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sw-my.sharepoint.com/personal/z5554629_ad_unsw_edu_au/Documents/UNSW (ADFA)/Project Data/AAA - Linked Estimates Completed Projects/Finalised/"/>
    </mc:Choice>
  </mc:AlternateContent>
  <xr:revisionPtr revIDLastSave="1353" documentId="11_EBD5FF183113428DCCA8C67884C48BF7DE1F129A" xr6:coauthVersionLast="45" xr6:coauthVersionMax="45" xr10:uidLastSave="{4D7F202D-B956-433B-896C-BBFE8C7751BF}"/>
  <bookViews>
    <workbookView xWindow="-120" yWindow="-120" windowWidth="29040" windowHeight="17640" activeTab="6" xr2:uid="{00000000-000D-0000-FFFF-FFFF00000000}"/>
  </bookViews>
  <sheets>
    <sheet name="Estimate" sheetId="1" r:id="rId1"/>
    <sheet name="Resources" sheetId="2" r:id="rId2"/>
    <sheet name="Model Inputs" sheetId="3" r:id="rId3"/>
    <sheet name="Non-Work Days" sheetId="4" r:id="rId4"/>
    <sheet name="Program Links" sheetId="5" r:id="rId5"/>
    <sheet name="Budget &amp; Revenue" sheetId="6" r:id="rId6"/>
    <sheet name="Portfolio WBS" sheetId="7" r:id="rId7"/>
    <sheet name="Actual Costs" sheetId="8" r:id="rId8"/>
  </sheets>
  <externalReferences>
    <externalReference r:id="rId9"/>
  </externalReferences>
  <definedNames>
    <definedName name="Workhrs">'Non-Work Days'!$B$71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17" i="3" l="1"/>
  <c r="E318" i="3"/>
  <c r="E319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293" i="3"/>
  <c r="E294" i="3"/>
  <c r="E295" i="3"/>
  <c r="E296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L22" i="8" l="1"/>
  <c r="M22" i="8"/>
  <c r="N22" i="8"/>
  <c r="O22" i="8"/>
  <c r="P22" i="8"/>
  <c r="Q22" i="8"/>
  <c r="R22" i="8"/>
  <c r="S22" i="8"/>
  <c r="T22" i="8"/>
  <c r="U22" i="8"/>
  <c r="V7" i="1"/>
  <c r="M4" i="8"/>
  <c r="N4" i="8"/>
  <c r="O4" i="8"/>
  <c r="P4" i="8"/>
  <c r="Q4" i="8"/>
  <c r="R4" i="8"/>
  <c r="S4" i="8"/>
  <c r="T4" i="8"/>
  <c r="U4" i="8"/>
  <c r="M5" i="8"/>
  <c r="N5" i="8"/>
  <c r="O5" i="8"/>
  <c r="P5" i="8"/>
  <c r="Q5" i="8"/>
  <c r="R5" i="8"/>
  <c r="S5" i="8"/>
  <c r="T5" i="8"/>
  <c r="U5" i="8"/>
  <c r="M6" i="8"/>
  <c r="N6" i="8"/>
  <c r="O6" i="8"/>
  <c r="P6" i="8"/>
  <c r="Q6" i="8"/>
  <c r="R6" i="8"/>
  <c r="S6" i="8"/>
  <c r="T6" i="8"/>
  <c r="U6" i="8"/>
  <c r="M7" i="8"/>
  <c r="N7" i="8"/>
  <c r="O7" i="8"/>
  <c r="P7" i="8"/>
  <c r="Q7" i="8"/>
  <c r="R7" i="8"/>
  <c r="S7" i="8"/>
  <c r="T7" i="8"/>
  <c r="U7" i="8"/>
  <c r="M8" i="8"/>
  <c r="N8" i="8"/>
  <c r="O8" i="8"/>
  <c r="P8" i="8"/>
  <c r="Q8" i="8"/>
  <c r="R8" i="8"/>
  <c r="S8" i="8"/>
  <c r="T8" i="8"/>
  <c r="U8" i="8"/>
  <c r="M9" i="8"/>
  <c r="N9" i="8"/>
  <c r="O9" i="8"/>
  <c r="P9" i="8"/>
  <c r="Q9" i="8"/>
  <c r="R9" i="8"/>
  <c r="S9" i="8"/>
  <c r="T9" i="8"/>
  <c r="U9" i="8"/>
  <c r="M10" i="8"/>
  <c r="N10" i="8"/>
  <c r="O10" i="8"/>
  <c r="P10" i="8"/>
  <c r="Q10" i="8"/>
  <c r="R10" i="8"/>
  <c r="S10" i="8"/>
  <c r="T10" i="8"/>
  <c r="U10" i="8"/>
  <c r="M11" i="8"/>
  <c r="N11" i="8"/>
  <c r="O11" i="8"/>
  <c r="P11" i="8"/>
  <c r="Q11" i="8"/>
  <c r="R11" i="8"/>
  <c r="S11" i="8"/>
  <c r="T11" i="8"/>
  <c r="U11" i="8"/>
  <c r="M12" i="8"/>
  <c r="N12" i="8"/>
  <c r="O12" i="8"/>
  <c r="P12" i="8"/>
  <c r="Q12" i="8"/>
  <c r="R12" i="8"/>
  <c r="S12" i="8"/>
  <c r="T12" i="8"/>
  <c r="U12" i="8"/>
  <c r="M13" i="8"/>
  <c r="N13" i="8"/>
  <c r="O13" i="8"/>
  <c r="P13" i="8"/>
  <c r="Q13" i="8"/>
  <c r="R13" i="8"/>
  <c r="S13" i="8"/>
  <c r="T13" i="8"/>
  <c r="U13" i="8"/>
  <c r="M14" i="8"/>
  <c r="N14" i="8"/>
  <c r="O14" i="8"/>
  <c r="P14" i="8"/>
  <c r="Q14" i="8"/>
  <c r="R14" i="8"/>
  <c r="S14" i="8"/>
  <c r="T14" i="8"/>
  <c r="U14" i="8"/>
  <c r="M15" i="8"/>
  <c r="N15" i="8"/>
  <c r="O15" i="8"/>
  <c r="P15" i="8"/>
  <c r="Q15" i="8"/>
  <c r="R15" i="8"/>
  <c r="S15" i="8"/>
  <c r="T15" i="8"/>
  <c r="U15" i="8"/>
  <c r="M16" i="8"/>
  <c r="N16" i="8"/>
  <c r="O16" i="8"/>
  <c r="P16" i="8"/>
  <c r="Q16" i="8"/>
  <c r="R16" i="8"/>
  <c r="S16" i="8"/>
  <c r="T16" i="8"/>
  <c r="U16" i="8"/>
  <c r="M17" i="8"/>
  <c r="N17" i="8"/>
  <c r="O17" i="8"/>
  <c r="P17" i="8"/>
  <c r="Q17" i="8"/>
  <c r="R17" i="8"/>
  <c r="S17" i="8"/>
  <c r="T17" i="8"/>
  <c r="U17" i="8"/>
  <c r="M18" i="8"/>
  <c r="N18" i="8"/>
  <c r="O18" i="8"/>
  <c r="P18" i="8"/>
  <c r="Q18" i="8"/>
  <c r="R18" i="8"/>
  <c r="S18" i="8"/>
  <c r="T18" i="8"/>
  <c r="U18" i="8"/>
  <c r="M19" i="8"/>
  <c r="N19" i="8"/>
  <c r="O19" i="8"/>
  <c r="P19" i="8"/>
  <c r="Q19" i="8"/>
  <c r="R19" i="8"/>
  <c r="S19" i="8"/>
  <c r="T19" i="8"/>
  <c r="U19" i="8"/>
  <c r="M20" i="8"/>
  <c r="N20" i="8"/>
  <c r="O20" i="8"/>
  <c r="P20" i="8"/>
  <c r="Q20" i="8"/>
  <c r="R20" i="8"/>
  <c r="S20" i="8"/>
  <c r="T20" i="8"/>
  <c r="U20" i="8"/>
  <c r="M21" i="8"/>
  <c r="N21" i="8"/>
  <c r="O21" i="8"/>
  <c r="P21" i="8"/>
  <c r="Q21" i="8"/>
  <c r="R21" i="8"/>
  <c r="S21" i="8"/>
  <c r="T21" i="8"/>
  <c r="U21" i="8"/>
  <c r="M23" i="8"/>
  <c r="N23" i="8"/>
  <c r="O23" i="8"/>
  <c r="P23" i="8"/>
  <c r="Q23" i="8"/>
  <c r="R23" i="8"/>
  <c r="S23" i="8"/>
  <c r="T23" i="8"/>
  <c r="U23" i="8"/>
  <c r="M24" i="8"/>
  <c r="N24" i="8"/>
  <c r="O24" i="8"/>
  <c r="P24" i="8"/>
  <c r="Q24" i="8"/>
  <c r="R24" i="8"/>
  <c r="S24" i="8"/>
  <c r="T24" i="8"/>
  <c r="U24" i="8"/>
  <c r="M25" i="8"/>
  <c r="N25" i="8"/>
  <c r="O25" i="8"/>
  <c r="P25" i="8"/>
  <c r="Q25" i="8"/>
  <c r="R25" i="8"/>
  <c r="S25" i="8"/>
  <c r="T25" i="8"/>
  <c r="U25" i="8"/>
  <c r="M26" i="8"/>
  <c r="N26" i="8"/>
  <c r="O26" i="8"/>
  <c r="P26" i="8"/>
  <c r="Q26" i="8"/>
  <c r="R26" i="8"/>
  <c r="S26" i="8"/>
  <c r="T26" i="8"/>
  <c r="U26" i="8"/>
  <c r="M27" i="8"/>
  <c r="N27" i="8"/>
  <c r="O27" i="8"/>
  <c r="P27" i="8"/>
  <c r="Q27" i="8"/>
  <c r="R27" i="8"/>
  <c r="S27" i="8"/>
  <c r="T27" i="8"/>
  <c r="U27" i="8"/>
  <c r="M28" i="8"/>
  <c r="N28" i="8"/>
  <c r="O28" i="8"/>
  <c r="P28" i="8"/>
  <c r="Q28" i="8"/>
  <c r="R28" i="8"/>
  <c r="S28" i="8"/>
  <c r="T28" i="8"/>
  <c r="U28" i="8"/>
  <c r="M29" i="8"/>
  <c r="N29" i="8"/>
  <c r="O29" i="8"/>
  <c r="P29" i="8"/>
  <c r="Q29" i="8"/>
  <c r="R29" i="8"/>
  <c r="S29" i="8"/>
  <c r="T29" i="8"/>
  <c r="U29" i="8"/>
  <c r="M30" i="8"/>
  <c r="N30" i="8"/>
  <c r="O30" i="8"/>
  <c r="P30" i="8"/>
  <c r="Q30" i="8"/>
  <c r="R30" i="8"/>
  <c r="S30" i="8"/>
  <c r="T30" i="8"/>
  <c r="U30" i="8"/>
  <c r="M31" i="8"/>
  <c r="N31" i="8"/>
  <c r="O31" i="8"/>
  <c r="P31" i="8"/>
  <c r="Q31" i="8"/>
  <c r="R31" i="8"/>
  <c r="S31" i="8"/>
  <c r="T31" i="8"/>
  <c r="U31" i="8"/>
  <c r="M32" i="8"/>
  <c r="N32" i="8"/>
  <c r="O32" i="8"/>
  <c r="P32" i="8"/>
  <c r="Q32" i="8"/>
  <c r="R32" i="8"/>
  <c r="S32" i="8"/>
  <c r="T32" i="8"/>
  <c r="U32" i="8"/>
  <c r="M33" i="8"/>
  <c r="N33" i="8"/>
  <c r="O33" i="8"/>
  <c r="P33" i="8"/>
  <c r="Q33" i="8"/>
  <c r="R33" i="8"/>
  <c r="S33" i="8"/>
  <c r="T33" i="8"/>
  <c r="U33" i="8"/>
  <c r="M34" i="8"/>
  <c r="N34" i="8"/>
  <c r="O34" i="8"/>
  <c r="P34" i="8"/>
  <c r="Q34" i="8"/>
  <c r="R34" i="8"/>
  <c r="S34" i="8"/>
  <c r="T34" i="8"/>
  <c r="U34" i="8"/>
  <c r="M35" i="8"/>
  <c r="N35" i="8"/>
  <c r="O35" i="8"/>
  <c r="P35" i="8"/>
  <c r="Q35" i="8"/>
  <c r="R35" i="8"/>
  <c r="S35" i="8"/>
  <c r="T35" i="8"/>
  <c r="U35" i="8"/>
  <c r="M36" i="8"/>
  <c r="N36" i="8"/>
  <c r="O36" i="8"/>
  <c r="P36" i="8"/>
  <c r="Q36" i="8"/>
  <c r="R36" i="8"/>
  <c r="S36" i="8"/>
  <c r="T36" i="8"/>
  <c r="U36" i="8"/>
  <c r="M37" i="8"/>
  <c r="N37" i="8"/>
  <c r="O37" i="8"/>
  <c r="P37" i="8"/>
  <c r="Q37" i="8"/>
  <c r="R37" i="8"/>
  <c r="S37" i="8"/>
  <c r="T37" i="8"/>
  <c r="U37" i="8"/>
  <c r="M38" i="8"/>
  <c r="N38" i="8"/>
  <c r="O38" i="8"/>
  <c r="P38" i="8"/>
  <c r="Q38" i="8"/>
  <c r="R38" i="8"/>
  <c r="S38" i="8"/>
  <c r="T38" i="8"/>
  <c r="U38" i="8"/>
  <c r="M39" i="8"/>
  <c r="N39" i="8"/>
  <c r="O39" i="8"/>
  <c r="P39" i="8"/>
  <c r="Q39" i="8"/>
  <c r="R39" i="8"/>
  <c r="S39" i="8"/>
  <c r="T39" i="8"/>
  <c r="U39" i="8"/>
  <c r="M40" i="8"/>
  <c r="N40" i="8"/>
  <c r="O40" i="8"/>
  <c r="P40" i="8"/>
  <c r="Q40" i="8"/>
  <c r="R40" i="8"/>
  <c r="S40" i="8"/>
  <c r="T40" i="8"/>
  <c r="U40" i="8"/>
  <c r="M41" i="8"/>
  <c r="N41" i="8"/>
  <c r="O41" i="8"/>
  <c r="P41" i="8"/>
  <c r="Q41" i="8"/>
  <c r="R41" i="8"/>
  <c r="S41" i="8"/>
  <c r="T41" i="8"/>
  <c r="U41" i="8"/>
  <c r="M42" i="8"/>
  <c r="N42" i="8"/>
  <c r="O42" i="8"/>
  <c r="P42" i="8"/>
  <c r="Q42" i="8"/>
  <c r="R42" i="8"/>
  <c r="S42" i="8"/>
  <c r="T42" i="8"/>
  <c r="U42" i="8"/>
  <c r="M43" i="8"/>
  <c r="N43" i="8"/>
  <c r="O43" i="8"/>
  <c r="P43" i="8"/>
  <c r="Q43" i="8"/>
  <c r="R43" i="8"/>
  <c r="S43" i="8"/>
  <c r="T43" i="8"/>
  <c r="U43" i="8"/>
  <c r="M44" i="8"/>
  <c r="N44" i="8"/>
  <c r="O44" i="8"/>
  <c r="P44" i="8"/>
  <c r="Q44" i="8"/>
  <c r="R44" i="8"/>
  <c r="S44" i="8"/>
  <c r="T44" i="8"/>
  <c r="U44" i="8"/>
  <c r="M45" i="8"/>
  <c r="N45" i="8"/>
  <c r="O45" i="8"/>
  <c r="P45" i="8"/>
  <c r="Q45" i="8"/>
  <c r="R45" i="8"/>
  <c r="S45" i="8"/>
  <c r="T45" i="8"/>
  <c r="U45" i="8"/>
  <c r="M46" i="8"/>
  <c r="N46" i="8"/>
  <c r="O46" i="8"/>
  <c r="P46" i="8"/>
  <c r="Q46" i="8"/>
  <c r="R46" i="8"/>
  <c r="S46" i="8"/>
  <c r="T46" i="8"/>
  <c r="U46" i="8"/>
  <c r="M47" i="8"/>
  <c r="N47" i="8"/>
  <c r="O47" i="8"/>
  <c r="P47" i="8"/>
  <c r="Q47" i="8"/>
  <c r="R47" i="8"/>
  <c r="S47" i="8"/>
  <c r="T47" i="8"/>
  <c r="U47" i="8"/>
  <c r="N3" i="8"/>
  <c r="O3" i="8"/>
  <c r="P3" i="8"/>
  <c r="Q3" i="8"/>
  <c r="R3" i="8"/>
  <c r="S3" i="8"/>
  <c r="T3" i="8"/>
  <c r="U3" i="8"/>
  <c r="M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3" i="8"/>
  <c r="T1110" i="1"/>
  <c r="T1111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7" i="1"/>
  <c r="S49" i="8" l="1"/>
  <c r="O49" i="8"/>
  <c r="R49" i="8"/>
  <c r="M49" i="8"/>
  <c r="N49" i="8"/>
  <c r="U49" i="8"/>
  <c r="Q49" i="8"/>
  <c r="T49" i="8"/>
  <c r="P49" i="8"/>
  <c r="L49" i="8"/>
  <c r="C8" i="5" l="1"/>
  <c r="C10" i="5"/>
  <c r="C11" i="5"/>
  <c r="C12" i="5"/>
  <c r="C13" i="5"/>
  <c r="C14" i="5"/>
  <c r="C15" i="5"/>
  <c r="C16" i="5"/>
  <c r="C17" i="5"/>
  <c r="C73" i="5"/>
  <c r="C76" i="5"/>
  <c r="C77" i="5"/>
  <c r="C78" i="5"/>
  <c r="C79" i="5"/>
  <c r="C80" i="5"/>
  <c r="C106" i="5"/>
  <c r="C113" i="5"/>
  <c r="C116" i="5"/>
  <c r="C117" i="5"/>
  <c r="C118" i="5"/>
  <c r="C119" i="5"/>
  <c r="C120" i="5"/>
  <c r="C146" i="5"/>
  <c r="C150" i="5"/>
  <c r="G6" i="5"/>
  <c r="H6" i="5"/>
  <c r="I6" i="5"/>
  <c r="J6" i="5"/>
  <c r="K6" i="5"/>
  <c r="L6" i="5"/>
  <c r="G7" i="5"/>
  <c r="H7" i="5"/>
  <c r="I7" i="5"/>
  <c r="J7" i="5"/>
  <c r="K7" i="5"/>
  <c r="L7" i="5"/>
  <c r="G8" i="5"/>
  <c r="H8" i="5"/>
  <c r="I8" i="5"/>
  <c r="J8" i="5"/>
  <c r="K8" i="5"/>
  <c r="L8" i="5"/>
  <c r="G9" i="5"/>
  <c r="H9" i="5"/>
  <c r="I9" i="5"/>
  <c r="J9" i="5"/>
  <c r="K9" i="5"/>
  <c r="L9" i="5"/>
  <c r="G10" i="5"/>
  <c r="H10" i="5"/>
  <c r="I10" i="5"/>
  <c r="J10" i="5"/>
  <c r="K10" i="5"/>
  <c r="L10" i="5"/>
  <c r="G11" i="5"/>
  <c r="H11" i="5"/>
  <c r="I11" i="5"/>
  <c r="J11" i="5"/>
  <c r="K11" i="5"/>
  <c r="L11" i="5"/>
  <c r="G12" i="5"/>
  <c r="H12" i="5"/>
  <c r="I12" i="5"/>
  <c r="J12" i="5"/>
  <c r="K12" i="5"/>
  <c r="L12" i="5"/>
  <c r="G13" i="5"/>
  <c r="H13" i="5"/>
  <c r="I13" i="5"/>
  <c r="J13" i="5"/>
  <c r="K13" i="5"/>
  <c r="L13" i="5"/>
  <c r="G14" i="5"/>
  <c r="H14" i="5"/>
  <c r="I14" i="5"/>
  <c r="J14" i="5"/>
  <c r="K14" i="5"/>
  <c r="L14" i="5"/>
  <c r="G15" i="5"/>
  <c r="H15" i="5"/>
  <c r="I15" i="5"/>
  <c r="J15" i="5"/>
  <c r="K15" i="5"/>
  <c r="L15" i="5"/>
  <c r="G16" i="5"/>
  <c r="H16" i="5"/>
  <c r="I16" i="5"/>
  <c r="J16" i="5"/>
  <c r="K16" i="5"/>
  <c r="L16" i="5"/>
  <c r="G17" i="5"/>
  <c r="H17" i="5"/>
  <c r="I17" i="5"/>
  <c r="J17" i="5"/>
  <c r="K17" i="5"/>
  <c r="L17" i="5"/>
  <c r="G18" i="5"/>
  <c r="H18" i="5"/>
  <c r="I18" i="5"/>
  <c r="J18" i="5"/>
  <c r="K18" i="5"/>
  <c r="L18" i="5"/>
  <c r="G19" i="5"/>
  <c r="H19" i="5"/>
  <c r="I19" i="5"/>
  <c r="J19" i="5"/>
  <c r="K19" i="5"/>
  <c r="L19" i="5"/>
  <c r="G20" i="5"/>
  <c r="H20" i="5"/>
  <c r="I20" i="5"/>
  <c r="J20" i="5"/>
  <c r="K20" i="5"/>
  <c r="L20" i="5"/>
  <c r="G21" i="5"/>
  <c r="H21" i="5"/>
  <c r="I21" i="5"/>
  <c r="J21" i="5"/>
  <c r="K21" i="5"/>
  <c r="L21" i="5"/>
  <c r="G22" i="5"/>
  <c r="H22" i="5"/>
  <c r="I22" i="5"/>
  <c r="J22" i="5"/>
  <c r="K22" i="5"/>
  <c r="L22" i="5"/>
  <c r="G23" i="5"/>
  <c r="H23" i="5"/>
  <c r="I23" i="5"/>
  <c r="J23" i="5"/>
  <c r="K23" i="5"/>
  <c r="L23" i="5"/>
  <c r="G24" i="5"/>
  <c r="H24" i="5"/>
  <c r="I24" i="5"/>
  <c r="J24" i="5"/>
  <c r="K24" i="5"/>
  <c r="L24" i="5"/>
  <c r="G25" i="5"/>
  <c r="H25" i="5"/>
  <c r="I25" i="5"/>
  <c r="J25" i="5"/>
  <c r="K25" i="5"/>
  <c r="L25" i="5"/>
  <c r="G26" i="5"/>
  <c r="H26" i="5"/>
  <c r="I26" i="5"/>
  <c r="J26" i="5"/>
  <c r="K26" i="5"/>
  <c r="L26" i="5"/>
  <c r="G27" i="5"/>
  <c r="H27" i="5"/>
  <c r="I27" i="5"/>
  <c r="J27" i="5"/>
  <c r="K27" i="5"/>
  <c r="L27" i="5"/>
  <c r="G28" i="5"/>
  <c r="H28" i="5"/>
  <c r="I28" i="5"/>
  <c r="J28" i="5"/>
  <c r="K28" i="5"/>
  <c r="L28" i="5"/>
  <c r="G29" i="5"/>
  <c r="H29" i="5"/>
  <c r="I29" i="5"/>
  <c r="J29" i="5"/>
  <c r="K29" i="5"/>
  <c r="L29" i="5"/>
  <c r="G30" i="5"/>
  <c r="H30" i="5"/>
  <c r="I30" i="5"/>
  <c r="J30" i="5"/>
  <c r="K30" i="5"/>
  <c r="L30" i="5"/>
  <c r="G31" i="5"/>
  <c r="H31" i="5"/>
  <c r="I31" i="5"/>
  <c r="J31" i="5"/>
  <c r="K31" i="5"/>
  <c r="L31" i="5"/>
  <c r="G32" i="5"/>
  <c r="H32" i="5"/>
  <c r="I32" i="5"/>
  <c r="J32" i="5"/>
  <c r="K32" i="5"/>
  <c r="L32" i="5"/>
  <c r="G33" i="5"/>
  <c r="H33" i="5"/>
  <c r="I33" i="5"/>
  <c r="J33" i="5"/>
  <c r="K33" i="5"/>
  <c r="L33" i="5"/>
  <c r="G34" i="5"/>
  <c r="H34" i="5"/>
  <c r="I34" i="5"/>
  <c r="J34" i="5"/>
  <c r="K34" i="5"/>
  <c r="L34" i="5"/>
  <c r="G35" i="5"/>
  <c r="H35" i="5"/>
  <c r="I35" i="5"/>
  <c r="J35" i="5"/>
  <c r="K35" i="5"/>
  <c r="L35" i="5"/>
  <c r="G36" i="5"/>
  <c r="H36" i="5"/>
  <c r="I36" i="5"/>
  <c r="J36" i="5"/>
  <c r="K36" i="5"/>
  <c r="L36" i="5"/>
  <c r="G37" i="5"/>
  <c r="H37" i="5"/>
  <c r="I37" i="5"/>
  <c r="J37" i="5"/>
  <c r="K37" i="5"/>
  <c r="L37" i="5"/>
  <c r="G38" i="5"/>
  <c r="H38" i="5"/>
  <c r="I38" i="5"/>
  <c r="J38" i="5"/>
  <c r="K38" i="5"/>
  <c r="L38" i="5"/>
  <c r="G39" i="5"/>
  <c r="H39" i="5"/>
  <c r="I39" i="5"/>
  <c r="J39" i="5"/>
  <c r="K39" i="5"/>
  <c r="L39" i="5"/>
  <c r="G40" i="5"/>
  <c r="H40" i="5"/>
  <c r="I40" i="5"/>
  <c r="J40" i="5"/>
  <c r="K40" i="5"/>
  <c r="L40" i="5"/>
  <c r="G41" i="5"/>
  <c r="H41" i="5"/>
  <c r="I41" i="5"/>
  <c r="J41" i="5"/>
  <c r="K41" i="5"/>
  <c r="L41" i="5"/>
  <c r="G42" i="5"/>
  <c r="H42" i="5"/>
  <c r="I42" i="5"/>
  <c r="J42" i="5"/>
  <c r="K42" i="5"/>
  <c r="L42" i="5"/>
  <c r="G43" i="5"/>
  <c r="H43" i="5"/>
  <c r="I43" i="5"/>
  <c r="J43" i="5"/>
  <c r="K43" i="5"/>
  <c r="L43" i="5"/>
  <c r="G44" i="5"/>
  <c r="H44" i="5"/>
  <c r="I44" i="5"/>
  <c r="J44" i="5"/>
  <c r="K44" i="5"/>
  <c r="L44" i="5"/>
  <c r="G45" i="5"/>
  <c r="H45" i="5"/>
  <c r="I45" i="5"/>
  <c r="J45" i="5"/>
  <c r="K45" i="5"/>
  <c r="L45" i="5"/>
  <c r="G46" i="5"/>
  <c r="H46" i="5"/>
  <c r="I46" i="5"/>
  <c r="J46" i="5"/>
  <c r="K46" i="5"/>
  <c r="L46" i="5"/>
  <c r="G47" i="5"/>
  <c r="H47" i="5"/>
  <c r="I47" i="5"/>
  <c r="J47" i="5"/>
  <c r="K47" i="5"/>
  <c r="L47" i="5"/>
  <c r="G48" i="5"/>
  <c r="H48" i="5"/>
  <c r="I48" i="5"/>
  <c r="J48" i="5"/>
  <c r="K48" i="5"/>
  <c r="L48" i="5"/>
  <c r="G49" i="5"/>
  <c r="H49" i="5"/>
  <c r="I49" i="5"/>
  <c r="J49" i="5"/>
  <c r="K49" i="5"/>
  <c r="L49" i="5"/>
  <c r="G50" i="5"/>
  <c r="H50" i="5"/>
  <c r="I50" i="5"/>
  <c r="J50" i="5"/>
  <c r="K50" i="5"/>
  <c r="L50" i="5"/>
  <c r="G51" i="5"/>
  <c r="H51" i="5"/>
  <c r="I51" i="5"/>
  <c r="J51" i="5"/>
  <c r="K51" i="5"/>
  <c r="L51" i="5"/>
  <c r="G52" i="5"/>
  <c r="H52" i="5"/>
  <c r="I52" i="5"/>
  <c r="J52" i="5"/>
  <c r="K52" i="5"/>
  <c r="L52" i="5"/>
  <c r="G53" i="5"/>
  <c r="H53" i="5"/>
  <c r="I53" i="5"/>
  <c r="J53" i="5"/>
  <c r="K53" i="5"/>
  <c r="L53" i="5"/>
  <c r="G54" i="5"/>
  <c r="H54" i="5"/>
  <c r="I54" i="5"/>
  <c r="J54" i="5"/>
  <c r="K54" i="5"/>
  <c r="L54" i="5"/>
  <c r="G55" i="5"/>
  <c r="H55" i="5"/>
  <c r="I55" i="5"/>
  <c r="J55" i="5"/>
  <c r="K55" i="5"/>
  <c r="L55" i="5"/>
  <c r="G56" i="5"/>
  <c r="H56" i="5"/>
  <c r="I56" i="5"/>
  <c r="J56" i="5"/>
  <c r="K56" i="5"/>
  <c r="L56" i="5"/>
  <c r="G57" i="5"/>
  <c r="H57" i="5"/>
  <c r="I57" i="5"/>
  <c r="J57" i="5"/>
  <c r="K57" i="5"/>
  <c r="L57" i="5"/>
  <c r="G58" i="5"/>
  <c r="H58" i="5"/>
  <c r="I58" i="5"/>
  <c r="J58" i="5"/>
  <c r="K58" i="5"/>
  <c r="L58" i="5"/>
  <c r="G59" i="5"/>
  <c r="H59" i="5"/>
  <c r="I59" i="5"/>
  <c r="J59" i="5"/>
  <c r="K59" i="5"/>
  <c r="L59" i="5"/>
  <c r="G60" i="5"/>
  <c r="H60" i="5"/>
  <c r="I60" i="5"/>
  <c r="J60" i="5"/>
  <c r="K60" i="5"/>
  <c r="L60" i="5"/>
  <c r="G61" i="5"/>
  <c r="H61" i="5"/>
  <c r="I61" i="5"/>
  <c r="J61" i="5"/>
  <c r="K61" i="5"/>
  <c r="L61" i="5"/>
  <c r="G62" i="5"/>
  <c r="H62" i="5"/>
  <c r="I62" i="5"/>
  <c r="J62" i="5"/>
  <c r="K62" i="5"/>
  <c r="L62" i="5"/>
  <c r="G63" i="5"/>
  <c r="H63" i="5"/>
  <c r="I63" i="5"/>
  <c r="J63" i="5"/>
  <c r="K63" i="5"/>
  <c r="L63" i="5"/>
  <c r="G64" i="5"/>
  <c r="H64" i="5"/>
  <c r="I64" i="5"/>
  <c r="J64" i="5"/>
  <c r="K64" i="5"/>
  <c r="L64" i="5"/>
  <c r="G65" i="5"/>
  <c r="H65" i="5"/>
  <c r="I65" i="5"/>
  <c r="J65" i="5"/>
  <c r="K65" i="5"/>
  <c r="L65" i="5"/>
  <c r="G66" i="5"/>
  <c r="H66" i="5"/>
  <c r="I66" i="5"/>
  <c r="J66" i="5"/>
  <c r="K66" i="5"/>
  <c r="L66" i="5"/>
  <c r="G67" i="5"/>
  <c r="H67" i="5"/>
  <c r="I67" i="5"/>
  <c r="J67" i="5"/>
  <c r="K67" i="5"/>
  <c r="L67" i="5"/>
  <c r="G68" i="5"/>
  <c r="H68" i="5"/>
  <c r="I68" i="5"/>
  <c r="J68" i="5"/>
  <c r="K68" i="5"/>
  <c r="L68" i="5"/>
  <c r="G69" i="5"/>
  <c r="H69" i="5"/>
  <c r="I69" i="5"/>
  <c r="J69" i="5"/>
  <c r="K69" i="5"/>
  <c r="L69" i="5"/>
  <c r="G70" i="5"/>
  <c r="H70" i="5"/>
  <c r="I70" i="5"/>
  <c r="J70" i="5"/>
  <c r="K70" i="5"/>
  <c r="L70" i="5"/>
  <c r="G71" i="5"/>
  <c r="H71" i="5"/>
  <c r="I71" i="5"/>
  <c r="J71" i="5"/>
  <c r="K71" i="5"/>
  <c r="L71" i="5"/>
  <c r="G72" i="5"/>
  <c r="H72" i="5"/>
  <c r="I72" i="5"/>
  <c r="J72" i="5"/>
  <c r="K72" i="5"/>
  <c r="L72" i="5"/>
  <c r="G73" i="5"/>
  <c r="H73" i="5"/>
  <c r="I73" i="5"/>
  <c r="J73" i="5"/>
  <c r="K73" i="5"/>
  <c r="L73" i="5"/>
  <c r="G74" i="5"/>
  <c r="H74" i="5"/>
  <c r="I74" i="5"/>
  <c r="J74" i="5"/>
  <c r="K74" i="5"/>
  <c r="L74" i="5"/>
  <c r="G75" i="5"/>
  <c r="H75" i="5"/>
  <c r="I75" i="5"/>
  <c r="J75" i="5"/>
  <c r="K75" i="5"/>
  <c r="L75" i="5"/>
  <c r="G76" i="5"/>
  <c r="H76" i="5"/>
  <c r="I76" i="5"/>
  <c r="J76" i="5"/>
  <c r="K76" i="5"/>
  <c r="L76" i="5"/>
  <c r="G77" i="5"/>
  <c r="H77" i="5"/>
  <c r="I77" i="5"/>
  <c r="J77" i="5"/>
  <c r="K77" i="5"/>
  <c r="L77" i="5"/>
  <c r="G78" i="5"/>
  <c r="H78" i="5"/>
  <c r="I78" i="5"/>
  <c r="J78" i="5"/>
  <c r="K78" i="5"/>
  <c r="L78" i="5"/>
  <c r="G79" i="5"/>
  <c r="H79" i="5"/>
  <c r="I79" i="5"/>
  <c r="J79" i="5"/>
  <c r="K79" i="5"/>
  <c r="L79" i="5"/>
  <c r="G80" i="5"/>
  <c r="H80" i="5"/>
  <c r="I80" i="5"/>
  <c r="J80" i="5"/>
  <c r="K80" i="5"/>
  <c r="L80" i="5"/>
  <c r="G81" i="5"/>
  <c r="H81" i="5"/>
  <c r="I81" i="5"/>
  <c r="J81" i="5"/>
  <c r="K81" i="5"/>
  <c r="L81" i="5"/>
  <c r="G82" i="5"/>
  <c r="H82" i="5"/>
  <c r="I82" i="5"/>
  <c r="J82" i="5"/>
  <c r="K82" i="5"/>
  <c r="L82" i="5"/>
  <c r="G83" i="5"/>
  <c r="H83" i="5"/>
  <c r="I83" i="5"/>
  <c r="J83" i="5"/>
  <c r="K83" i="5"/>
  <c r="L83" i="5"/>
  <c r="G84" i="5"/>
  <c r="H84" i="5"/>
  <c r="I84" i="5"/>
  <c r="J84" i="5"/>
  <c r="K84" i="5"/>
  <c r="L84" i="5"/>
  <c r="G85" i="5"/>
  <c r="H85" i="5"/>
  <c r="I85" i="5"/>
  <c r="J85" i="5"/>
  <c r="K85" i="5"/>
  <c r="L85" i="5"/>
  <c r="G86" i="5"/>
  <c r="H86" i="5"/>
  <c r="I86" i="5"/>
  <c r="J86" i="5"/>
  <c r="K86" i="5"/>
  <c r="L86" i="5"/>
  <c r="G87" i="5"/>
  <c r="H87" i="5"/>
  <c r="I87" i="5"/>
  <c r="J87" i="5"/>
  <c r="K87" i="5"/>
  <c r="L87" i="5"/>
  <c r="G88" i="5"/>
  <c r="H88" i="5"/>
  <c r="I88" i="5"/>
  <c r="J88" i="5"/>
  <c r="K88" i="5"/>
  <c r="L88" i="5"/>
  <c r="G89" i="5"/>
  <c r="H89" i="5"/>
  <c r="I89" i="5"/>
  <c r="J89" i="5"/>
  <c r="K89" i="5"/>
  <c r="L89" i="5"/>
  <c r="G90" i="5"/>
  <c r="H90" i="5"/>
  <c r="I90" i="5"/>
  <c r="J90" i="5"/>
  <c r="K90" i="5"/>
  <c r="L90" i="5"/>
  <c r="G91" i="5"/>
  <c r="H91" i="5"/>
  <c r="I91" i="5"/>
  <c r="J91" i="5"/>
  <c r="K91" i="5"/>
  <c r="L91" i="5"/>
  <c r="G92" i="5"/>
  <c r="H92" i="5"/>
  <c r="I92" i="5"/>
  <c r="J92" i="5"/>
  <c r="K92" i="5"/>
  <c r="L92" i="5"/>
  <c r="G93" i="5"/>
  <c r="H93" i="5"/>
  <c r="I93" i="5"/>
  <c r="J93" i="5"/>
  <c r="K93" i="5"/>
  <c r="L93" i="5"/>
  <c r="G94" i="5"/>
  <c r="H94" i="5"/>
  <c r="I94" i="5"/>
  <c r="J94" i="5"/>
  <c r="K94" i="5"/>
  <c r="L94" i="5"/>
  <c r="G95" i="5"/>
  <c r="H95" i="5"/>
  <c r="I95" i="5"/>
  <c r="J95" i="5"/>
  <c r="K95" i="5"/>
  <c r="L95" i="5"/>
  <c r="G96" i="5"/>
  <c r="H96" i="5"/>
  <c r="I96" i="5"/>
  <c r="J96" i="5"/>
  <c r="K96" i="5"/>
  <c r="L96" i="5"/>
  <c r="G97" i="5"/>
  <c r="H97" i="5"/>
  <c r="I97" i="5"/>
  <c r="J97" i="5"/>
  <c r="K97" i="5"/>
  <c r="L97" i="5"/>
  <c r="G98" i="5"/>
  <c r="H98" i="5"/>
  <c r="I98" i="5"/>
  <c r="J98" i="5"/>
  <c r="K98" i="5"/>
  <c r="L98" i="5"/>
  <c r="G99" i="5"/>
  <c r="H99" i="5"/>
  <c r="I99" i="5"/>
  <c r="J99" i="5"/>
  <c r="K99" i="5"/>
  <c r="L99" i="5"/>
  <c r="G100" i="5"/>
  <c r="H100" i="5"/>
  <c r="I100" i="5"/>
  <c r="J100" i="5"/>
  <c r="K100" i="5"/>
  <c r="L100" i="5"/>
  <c r="G101" i="5"/>
  <c r="H101" i="5"/>
  <c r="I101" i="5"/>
  <c r="J101" i="5"/>
  <c r="K101" i="5"/>
  <c r="L101" i="5"/>
  <c r="G102" i="5"/>
  <c r="H102" i="5"/>
  <c r="I102" i="5"/>
  <c r="J102" i="5"/>
  <c r="K102" i="5"/>
  <c r="L102" i="5"/>
  <c r="G103" i="5"/>
  <c r="H103" i="5"/>
  <c r="I103" i="5"/>
  <c r="J103" i="5"/>
  <c r="K103" i="5"/>
  <c r="L103" i="5"/>
  <c r="G104" i="5"/>
  <c r="H104" i="5"/>
  <c r="I104" i="5"/>
  <c r="J104" i="5"/>
  <c r="K104" i="5"/>
  <c r="L104" i="5"/>
  <c r="G105" i="5"/>
  <c r="H105" i="5"/>
  <c r="I105" i="5"/>
  <c r="J105" i="5"/>
  <c r="K105" i="5"/>
  <c r="L105" i="5"/>
  <c r="G106" i="5"/>
  <c r="H106" i="5"/>
  <c r="I106" i="5"/>
  <c r="J106" i="5"/>
  <c r="K106" i="5"/>
  <c r="L106" i="5"/>
  <c r="G107" i="5"/>
  <c r="H107" i="5"/>
  <c r="I107" i="5"/>
  <c r="J107" i="5"/>
  <c r="K107" i="5"/>
  <c r="L107" i="5"/>
  <c r="G108" i="5"/>
  <c r="H108" i="5"/>
  <c r="I108" i="5"/>
  <c r="J108" i="5"/>
  <c r="K108" i="5"/>
  <c r="L108" i="5"/>
  <c r="G109" i="5"/>
  <c r="H109" i="5"/>
  <c r="I109" i="5"/>
  <c r="J109" i="5"/>
  <c r="K109" i="5"/>
  <c r="L109" i="5"/>
  <c r="G110" i="5"/>
  <c r="H110" i="5"/>
  <c r="I110" i="5"/>
  <c r="J110" i="5"/>
  <c r="K110" i="5"/>
  <c r="L110" i="5"/>
  <c r="G111" i="5"/>
  <c r="H111" i="5"/>
  <c r="I111" i="5"/>
  <c r="J111" i="5"/>
  <c r="K111" i="5"/>
  <c r="L111" i="5"/>
  <c r="G112" i="5"/>
  <c r="H112" i="5"/>
  <c r="I112" i="5"/>
  <c r="J112" i="5"/>
  <c r="K112" i="5"/>
  <c r="L112" i="5"/>
  <c r="G113" i="5"/>
  <c r="H113" i="5"/>
  <c r="I113" i="5"/>
  <c r="J113" i="5"/>
  <c r="K113" i="5"/>
  <c r="L113" i="5"/>
  <c r="G114" i="5"/>
  <c r="H114" i="5"/>
  <c r="I114" i="5"/>
  <c r="J114" i="5"/>
  <c r="K114" i="5"/>
  <c r="L114" i="5"/>
  <c r="G115" i="5"/>
  <c r="H115" i="5"/>
  <c r="I115" i="5"/>
  <c r="J115" i="5"/>
  <c r="K115" i="5"/>
  <c r="L115" i="5"/>
  <c r="G116" i="5"/>
  <c r="H116" i="5"/>
  <c r="I116" i="5"/>
  <c r="J116" i="5"/>
  <c r="K116" i="5"/>
  <c r="L116" i="5"/>
  <c r="G117" i="5"/>
  <c r="H117" i="5"/>
  <c r="I117" i="5"/>
  <c r="J117" i="5"/>
  <c r="K117" i="5"/>
  <c r="L117" i="5"/>
  <c r="G118" i="5"/>
  <c r="H118" i="5"/>
  <c r="I118" i="5"/>
  <c r="J118" i="5"/>
  <c r="K118" i="5"/>
  <c r="L118" i="5"/>
  <c r="G119" i="5"/>
  <c r="H119" i="5"/>
  <c r="I119" i="5"/>
  <c r="J119" i="5"/>
  <c r="K119" i="5"/>
  <c r="L119" i="5"/>
  <c r="G120" i="5"/>
  <c r="H120" i="5"/>
  <c r="I120" i="5"/>
  <c r="J120" i="5"/>
  <c r="K120" i="5"/>
  <c r="L120" i="5"/>
  <c r="G121" i="5"/>
  <c r="H121" i="5"/>
  <c r="I121" i="5"/>
  <c r="J121" i="5"/>
  <c r="K121" i="5"/>
  <c r="L121" i="5"/>
  <c r="G122" i="5"/>
  <c r="H122" i="5"/>
  <c r="I122" i="5"/>
  <c r="J122" i="5"/>
  <c r="K122" i="5"/>
  <c r="L122" i="5"/>
  <c r="G123" i="5"/>
  <c r="H123" i="5"/>
  <c r="I123" i="5"/>
  <c r="J123" i="5"/>
  <c r="K123" i="5"/>
  <c r="L123" i="5"/>
  <c r="G124" i="5"/>
  <c r="H124" i="5"/>
  <c r="I124" i="5"/>
  <c r="J124" i="5"/>
  <c r="K124" i="5"/>
  <c r="L124" i="5"/>
  <c r="G125" i="5"/>
  <c r="H125" i="5"/>
  <c r="I125" i="5"/>
  <c r="J125" i="5"/>
  <c r="K125" i="5"/>
  <c r="L125" i="5"/>
  <c r="G126" i="5"/>
  <c r="H126" i="5"/>
  <c r="I126" i="5"/>
  <c r="J126" i="5"/>
  <c r="K126" i="5"/>
  <c r="L126" i="5"/>
  <c r="G127" i="5"/>
  <c r="H127" i="5"/>
  <c r="I127" i="5"/>
  <c r="J127" i="5"/>
  <c r="K127" i="5"/>
  <c r="L127" i="5"/>
  <c r="G128" i="5"/>
  <c r="H128" i="5"/>
  <c r="I128" i="5"/>
  <c r="J128" i="5"/>
  <c r="K128" i="5"/>
  <c r="L128" i="5"/>
  <c r="G129" i="5"/>
  <c r="H129" i="5"/>
  <c r="I129" i="5"/>
  <c r="J129" i="5"/>
  <c r="K129" i="5"/>
  <c r="L129" i="5"/>
  <c r="G130" i="5"/>
  <c r="H130" i="5"/>
  <c r="I130" i="5"/>
  <c r="J130" i="5"/>
  <c r="K130" i="5"/>
  <c r="L130" i="5"/>
  <c r="G131" i="5"/>
  <c r="H131" i="5"/>
  <c r="I131" i="5"/>
  <c r="J131" i="5"/>
  <c r="K131" i="5"/>
  <c r="L131" i="5"/>
  <c r="G132" i="5"/>
  <c r="H132" i="5"/>
  <c r="I132" i="5"/>
  <c r="J132" i="5"/>
  <c r="K132" i="5"/>
  <c r="L132" i="5"/>
  <c r="G133" i="5"/>
  <c r="H133" i="5"/>
  <c r="I133" i="5"/>
  <c r="J133" i="5"/>
  <c r="K133" i="5"/>
  <c r="L133" i="5"/>
  <c r="G134" i="5"/>
  <c r="H134" i="5"/>
  <c r="I134" i="5"/>
  <c r="J134" i="5"/>
  <c r="K134" i="5"/>
  <c r="L134" i="5"/>
  <c r="G135" i="5"/>
  <c r="H135" i="5"/>
  <c r="I135" i="5"/>
  <c r="J135" i="5"/>
  <c r="K135" i="5"/>
  <c r="L135" i="5"/>
  <c r="G136" i="5"/>
  <c r="H136" i="5"/>
  <c r="I136" i="5"/>
  <c r="J136" i="5"/>
  <c r="K136" i="5"/>
  <c r="L136" i="5"/>
  <c r="G137" i="5"/>
  <c r="H137" i="5"/>
  <c r="I137" i="5"/>
  <c r="J137" i="5"/>
  <c r="K137" i="5"/>
  <c r="L137" i="5"/>
  <c r="G138" i="5"/>
  <c r="H138" i="5"/>
  <c r="I138" i="5"/>
  <c r="J138" i="5"/>
  <c r="K138" i="5"/>
  <c r="L138" i="5"/>
  <c r="G139" i="5"/>
  <c r="H139" i="5"/>
  <c r="I139" i="5"/>
  <c r="J139" i="5"/>
  <c r="K139" i="5"/>
  <c r="L139" i="5"/>
  <c r="G140" i="5"/>
  <c r="H140" i="5"/>
  <c r="I140" i="5"/>
  <c r="J140" i="5"/>
  <c r="K140" i="5"/>
  <c r="L140" i="5"/>
  <c r="G141" i="5"/>
  <c r="H141" i="5"/>
  <c r="I141" i="5"/>
  <c r="J141" i="5"/>
  <c r="K141" i="5"/>
  <c r="L141" i="5"/>
  <c r="G142" i="5"/>
  <c r="H142" i="5"/>
  <c r="I142" i="5"/>
  <c r="J142" i="5"/>
  <c r="K142" i="5"/>
  <c r="L142" i="5"/>
  <c r="G143" i="5"/>
  <c r="H143" i="5"/>
  <c r="I143" i="5"/>
  <c r="J143" i="5"/>
  <c r="K143" i="5"/>
  <c r="L143" i="5"/>
  <c r="G144" i="5"/>
  <c r="H144" i="5"/>
  <c r="I144" i="5"/>
  <c r="J144" i="5"/>
  <c r="K144" i="5"/>
  <c r="L144" i="5"/>
  <c r="G145" i="5"/>
  <c r="H145" i="5"/>
  <c r="I145" i="5"/>
  <c r="J145" i="5"/>
  <c r="K145" i="5"/>
  <c r="L145" i="5"/>
  <c r="G146" i="5"/>
  <c r="H146" i="5"/>
  <c r="I146" i="5"/>
  <c r="J146" i="5"/>
  <c r="K146" i="5"/>
  <c r="L146" i="5"/>
  <c r="G147" i="5"/>
  <c r="H147" i="5"/>
  <c r="I147" i="5"/>
  <c r="J147" i="5"/>
  <c r="K147" i="5"/>
  <c r="L147" i="5"/>
  <c r="G148" i="5"/>
  <c r="H148" i="5"/>
  <c r="I148" i="5"/>
  <c r="J148" i="5"/>
  <c r="K148" i="5"/>
  <c r="L148" i="5"/>
  <c r="G149" i="5"/>
  <c r="H149" i="5"/>
  <c r="I149" i="5"/>
  <c r="J149" i="5"/>
  <c r="K149" i="5"/>
  <c r="L149" i="5"/>
  <c r="G150" i="5"/>
  <c r="H150" i="5"/>
  <c r="I150" i="5"/>
  <c r="J150" i="5"/>
  <c r="K150" i="5"/>
  <c r="L150" i="5"/>
  <c r="G151" i="5"/>
  <c r="H151" i="5"/>
  <c r="I151" i="5"/>
  <c r="J151" i="5"/>
  <c r="K151" i="5"/>
  <c r="L151" i="5"/>
  <c r="L5" i="5"/>
  <c r="K5" i="5"/>
  <c r="J5" i="5"/>
  <c r="I5" i="5"/>
  <c r="H5" i="5"/>
  <c r="G5" i="5"/>
  <c r="L296" i="6"/>
  <c r="N296" i="6"/>
  <c r="P296" i="6"/>
  <c r="R296" i="6"/>
  <c r="T296" i="6"/>
  <c r="I296" i="6"/>
  <c r="V296" i="6"/>
  <c r="E13" i="6"/>
  <c r="E21" i="6"/>
  <c r="E23" i="6"/>
  <c r="E24" i="6"/>
  <c r="E28" i="6"/>
  <c r="E29" i="6"/>
  <c r="E31" i="6"/>
  <c r="E32" i="6"/>
  <c r="E34" i="6"/>
  <c r="E35" i="6"/>
  <c r="E36" i="6"/>
  <c r="E40" i="6"/>
  <c r="E41" i="6"/>
  <c r="E45" i="6"/>
  <c r="E46" i="6"/>
  <c r="E49" i="6"/>
  <c r="E50" i="6"/>
  <c r="E53" i="6"/>
  <c r="E54" i="6"/>
  <c r="E56" i="6"/>
  <c r="E57" i="6"/>
  <c r="E59" i="6"/>
  <c r="E60" i="6"/>
  <c r="E62" i="6"/>
  <c r="E63" i="6"/>
  <c r="E65" i="6"/>
  <c r="E66" i="6"/>
  <c r="E70" i="6"/>
  <c r="E75" i="6"/>
  <c r="E76" i="6"/>
  <c r="E77" i="6"/>
  <c r="E78" i="6"/>
  <c r="E79" i="6"/>
  <c r="E80" i="6"/>
  <c r="E81" i="6"/>
  <c r="E84" i="6"/>
  <c r="E85" i="6"/>
  <c r="E88" i="6"/>
  <c r="E89" i="6"/>
  <c r="E95" i="6"/>
  <c r="E96" i="6"/>
  <c r="E99" i="6"/>
  <c r="E100" i="6"/>
  <c r="E103" i="6"/>
  <c r="E104" i="6"/>
  <c r="E107" i="6"/>
  <c r="E108" i="6"/>
  <c r="E111" i="6"/>
  <c r="E112" i="6"/>
  <c r="E115" i="6"/>
  <c r="E116" i="6"/>
  <c r="E119" i="6"/>
  <c r="E120" i="6"/>
  <c r="E123" i="6"/>
  <c r="E124" i="6"/>
  <c r="E129" i="6"/>
  <c r="E131" i="6"/>
  <c r="E132" i="6"/>
  <c r="E133" i="6"/>
  <c r="E134" i="6"/>
  <c r="E135" i="6"/>
  <c r="E136" i="6"/>
  <c r="E139" i="6"/>
  <c r="E143" i="6"/>
  <c r="E149" i="6"/>
  <c r="E151" i="6"/>
  <c r="E152" i="6"/>
  <c r="E155" i="6"/>
  <c r="E156" i="6"/>
  <c r="E159" i="6"/>
  <c r="E160" i="6"/>
  <c r="E163" i="6"/>
  <c r="E164" i="6"/>
  <c r="E165" i="6"/>
  <c r="E166" i="6"/>
  <c r="E170" i="6"/>
  <c r="E174" i="6"/>
  <c r="E175" i="6"/>
  <c r="E176" i="6"/>
  <c r="E178" i="6"/>
  <c r="E179" i="6"/>
  <c r="E182" i="6"/>
  <c r="E183" i="6"/>
  <c r="E185" i="6"/>
  <c r="E186" i="6"/>
  <c r="E188" i="6"/>
  <c r="E189" i="6"/>
  <c r="E194" i="6"/>
  <c r="E195" i="6"/>
  <c r="E199" i="6"/>
  <c r="E200" i="6"/>
  <c r="E204" i="6"/>
  <c r="E205" i="6"/>
  <c r="E208" i="6"/>
  <c r="E209" i="6"/>
  <c r="E210" i="6"/>
  <c r="E211" i="6"/>
  <c r="E212" i="6"/>
  <c r="E213" i="6"/>
  <c r="E214" i="6"/>
  <c r="E215" i="6"/>
  <c r="E218" i="6"/>
  <c r="E222" i="6"/>
  <c r="E228" i="6"/>
  <c r="E230" i="6"/>
  <c r="E231" i="6"/>
  <c r="E234" i="6"/>
  <c r="E235" i="6"/>
  <c r="E238" i="6"/>
  <c r="E239" i="6"/>
  <c r="E242" i="6"/>
  <c r="E243" i="6"/>
  <c r="E244" i="6"/>
  <c r="E245" i="6"/>
  <c r="E249" i="6"/>
  <c r="E253" i="6"/>
  <c r="E254" i="6"/>
  <c r="E256" i="6"/>
  <c r="E257" i="6"/>
  <c r="E260" i="6"/>
  <c r="E261" i="6"/>
  <c r="E263" i="6"/>
  <c r="E264" i="6"/>
  <c r="E266" i="6"/>
  <c r="E267" i="6"/>
  <c r="E272" i="6"/>
  <c r="E273" i="6"/>
  <c r="E277" i="6"/>
  <c r="E278" i="6"/>
  <c r="E282" i="6"/>
  <c r="E283" i="6"/>
  <c r="E284" i="6"/>
  <c r="E285" i="6"/>
  <c r="E286" i="6"/>
  <c r="E288" i="6"/>
  <c r="E9" i="6"/>
  <c r="Z298" i="6" l="1"/>
  <c r="AC296" i="6"/>
  <c r="AB296" i="6"/>
  <c r="AA296" i="6"/>
  <c r="Z296" i="6"/>
  <c r="Y296" i="6"/>
  <c r="X296" i="6"/>
  <c r="AC295" i="6"/>
  <c r="AB295" i="6"/>
  <c r="AA295" i="6"/>
  <c r="Z295" i="6"/>
  <c r="Y295" i="6"/>
  <c r="X295" i="6"/>
  <c r="V295" i="6"/>
  <c r="T295" i="6"/>
  <c r="R295" i="6"/>
  <c r="P295" i="6"/>
  <c r="N295" i="6"/>
  <c r="L295" i="6"/>
  <c r="AC294" i="6"/>
  <c r="AB294" i="6"/>
  <c r="AA294" i="6"/>
  <c r="Z294" i="6"/>
  <c r="Y294" i="6"/>
  <c r="X294" i="6"/>
  <c r="V294" i="6"/>
  <c r="T294" i="6"/>
  <c r="R294" i="6"/>
  <c r="P294" i="6"/>
  <c r="N294" i="6"/>
  <c r="L294" i="6"/>
  <c r="AC293" i="6"/>
  <c r="AB293" i="6"/>
  <c r="AA293" i="6"/>
  <c r="Z293" i="6"/>
  <c r="Y293" i="6"/>
  <c r="X293" i="6"/>
  <c r="V293" i="6"/>
  <c r="T293" i="6"/>
  <c r="R293" i="6"/>
  <c r="P293" i="6"/>
  <c r="N293" i="6"/>
  <c r="L293" i="6"/>
  <c r="AC292" i="6"/>
  <c r="AB292" i="6"/>
  <c r="AA292" i="6"/>
  <c r="Z292" i="6"/>
  <c r="Y292" i="6"/>
  <c r="X292" i="6"/>
  <c r="V292" i="6"/>
  <c r="T292" i="6"/>
  <c r="R292" i="6"/>
  <c r="P292" i="6"/>
  <c r="N292" i="6"/>
  <c r="L292" i="6"/>
  <c r="AC291" i="6"/>
  <c r="AB291" i="6"/>
  <c r="AA291" i="6"/>
  <c r="Z291" i="6"/>
  <c r="Y291" i="6"/>
  <c r="X291" i="6"/>
  <c r="V291" i="6"/>
  <c r="T291" i="6"/>
  <c r="R291" i="6"/>
  <c r="P291" i="6"/>
  <c r="N291" i="6"/>
  <c r="L291" i="6"/>
  <c r="AC290" i="6"/>
  <c r="AB290" i="6"/>
  <c r="AA290" i="6"/>
  <c r="Z290" i="6"/>
  <c r="Y290" i="6"/>
  <c r="X290" i="6"/>
  <c r="V290" i="6"/>
  <c r="T290" i="6"/>
  <c r="R290" i="6"/>
  <c r="P290" i="6"/>
  <c r="N290" i="6"/>
  <c r="L290" i="6"/>
  <c r="AC289" i="6"/>
  <c r="AB289" i="6"/>
  <c r="AA289" i="6"/>
  <c r="Z289" i="6"/>
  <c r="Y289" i="6"/>
  <c r="X289" i="6"/>
  <c r="V289" i="6"/>
  <c r="T289" i="6"/>
  <c r="R289" i="6"/>
  <c r="P289" i="6"/>
  <c r="N289" i="6"/>
  <c r="L289" i="6"/>
  <c r="AC288" i="6"/>
  <c r="AB288" i="6"/>
  <c r="AA288" i="6"/>
  <c r="Z288" i="6"/>
  <c r="Y288" i="6"/>
  <c r="X288" i="6"/>
  <c r="V288" i="6"/>
  <c r="T288" i="6"/>
  <c r="R288" i="6"/>
  <c r="P288" i="6"/>
  <c r="N288" i="6"/>
  <c r="L288" i="6"/>
  <c r="AC286" i="6"/>
  <c r="AB286" i="6"/>
  <c r="AA286" i="6"/>
  <c r="Z286" i="6"/>
  <c r="Y286" i="6"/>
  <c r="X286" i="6"/>
  <c r="V286" i="6"/>
  <c r="T286" i="6"/>
  <c r="R286" i="6"/>
  <c r="P286" i="6"/>
  <c r="N286" i="6"/>
  <c r="L286" i="6"/>
  <c r="AC285" i="6"/>
  <c r="AB285" i="6"/>
  <c r="AA285" i="6"/>
  <c r="Z285" i="6"/>
  <c r="Y285" i="6"/>
  <c r="X285" i="6"/>
  <c r="V285" i="6"/>
  <c r="T285" i="6"/>
  <c r="R285" i="6"/>
  <c r="P285" i="6"/>
  <c r="N285" i="6"/>
  <c r="L285" i="6"/>
  <c r="AC284" i="6"/>
  <c r="AB284" i="6"/>
  <c r="AA284" i="6"/>
  <c r="Z284" i="6"/>
  <c r="Y284" i="6"/>
  <c r="X284" i="6"/>
  <c r="V284" i="6"/>
  <c r="T284" i="6"/>
  <c r="R284" i="6"/>
  <c r="P284" i="6"/>
  <c r="N284" i="6"/>
  <c r="L284" i="6"/>
  <c r="AC283" i="6"/>
  <c r="AB283" i="6"/>
  <c r="AA283" i="6"/>
  <c r="Z283" i="6"/>
  <c r="Y283" i="6"/>
  <c r="X283" i="6"/>
  <c r="V283" i="6"/>
  <c r="T283" i="6"/>
  <c r="R283" i="6"/>
  <c r="P283" i="6"/>
  <c r="N283" i="6"/>
  <c r="L283" i="6"/>
  <c r="AC282" i="6"/>
  <c r="AB282" i="6"/>
  <c r="AA282" i="6"/>
  <c r="Z282" i="6"/>
  <c r="Y282" i="6"/>
  <c r="X282" i="6"/>
  <c r="V282" i="6"/>
  <c r="T282" i="6"/>
  <c r="R282" i="6"/>
  <c r="P282" i="6"/>
  <c r="N282" i="6"/>
  <c r="L282" i="6"/>
  <c r="AC281" i="6"/>
  <c r="AB281" i="6"/>
  <c r="AA281" i="6"/>
  <c r="Z281" i="6"/>
  <c r="Y281" i="6"/>
  <c r="X281" i="6"/>
  <c r="V281" i="6"/>
  <c r="T281" i="6"/>
  <c r="R281" i="6"/>
  <c r="P281" i="6"/>
  <c r="N281" i="6"/>
  <c r="L281" i="6"/>
  <c r="AC280" i="6"/>
  <c r="AB280" i="6"/>
  <c r="AA280" i="6"/>
  <c r="Z280" i="6"/>
  <c r="Y280" i="6"/>
  <c r="X280" i="6"/>
  <c r="V280" i="6"/>
  <c r="T280" i="6"/>
  <c r="R280" i="6"/>
  <c r="P280" i="6"/>
  <c r="N280" i="6"/>
  <c r="L280" i="6"/>
  <c r="AC279" i="6"/>
  <c r="AB279" i="6"/>
  <c r="AA279" i="6"/>
  <c r="Z279" i="6"/>
  <c r="Y279" i="6"/>
  <c r="X279" i="6"/>
  <c r="V279" i="6"/>
  <c r="T279" i="6"/>
  <c r="R279" i="6"/>
  <c r="P279" i="6"/>
  <c r="N279" i="6"/>
  <c r="L279" i="6"/>
  <c r="AC278" i="6"/>
  <c r="AB278" i="6"/>
  <c r="AA278" i="6"/>
  <c r="Z278" i="6"/>
  <c r="Y278" i="6"/>
  <c r="X278" i="6"/>
  <c r="V278" i="6"/>
  <c r="T278" i="6"/>
  <c r="R278" i="6"/>
  <c r="P278" i="6"/>
  <c r="N278" i="6"/>
  <c r="L278" i="6"/>
  <c r="AC277" i="6"/>
  <c r="AB277" i="6"/>
  <c r="AA277" i="6"/>
  <c r="Z277" i="6"/>
  <c r="Y277" i="6"/>
  <c r="X277" i="6"/>
  <c r="V277" i="6"/>
  <c r="T277" i="6"/>
  <c r="R277" i="6"/>
  <c r="P277" i="6"/>
  <c r="N277" i="6"/>
  <c r="L277" i="6"/>
  <c r="AC276" i="6"/>
  <c r="AB276" i="6"/>
  <c r="AA276" i="6"/>
  <c r="Z276" i="6"/>
  <c r="Y276" i="6"/>
  <c r="X276" i="6"/>
  <c r="V276" i="6"/>
  <c r="T276" i="6"/>
  <c r="R276" i="6"/>
  <c r="P276" i="6"/>
  <c r="N276" i="6"/>
  <c r="L276" i="6"/>
  <c r="AC275" i="6"/>
  <c r="AB275" i="6"/>
  <c r="AA275" i="6"/>
  <c r="Z275" i="6"/>
  <c r="Y275" i="6"/>
  <c r="X275" i="6"/>
  <c r="V275" i="6"/>
  <c r="T275" i="6"/>
  <c r="R275" i="6"/>
  <c r="P275" i="6"/>
  <c r="N275" i="6"/>
  <c r="L275" i="6"/>
  <c r="AC274" i="6"/>
  <c r="AB274" i="6"/>
  <c r="AA274" i="6"/>
  <c r="Z274" i="6"/>
  <c r="Y274" i="6"/>
  <c r="X274" i="6"/>
  <c r="V274" i="6"/>
  <c r="T274" i="6"/>
  <c r="R274" i="6"/>
  <c r="P274" i="6"/>
  <c r="N274" i="6"/>
  <c r="L274" i="6"/>
  <c r="AC273" i="6"/>
  <c r="AB273" i="6"/>
  <c r="AA273" i="6"/>
  <c r="Z273" i="6"/>
  <c r="Y273" i="6"/>
  <c r="X273" i="6"/>
  <c r="V273" i="6"/>
  <c r="T273" i="6"/>
  <c r="R273" i="6"/>
  <c r="P273" i="6"/>
  <c r="N273" i="6"/>
  <c r="L273" i="6"/>
  <c r="AC272" i="6"/>
  <c r="AB272" i="6"/>
  <c r="AA272" i="6"/>
  <c r="Z272" i="6"/>
  <c r="Y272" i="6"/>
  <c r="X272" i="6"/>
  <c r="V272" i="6"/>
  <c r="T272" i="6"/>
  <c r="R272" i="6"/>
  <c r="P272" i="6"/>
  <c r="N272" i="6"/>
  <c r="L272" i="6"/>
  <c r="AC271" i="6"/>
  <c r="AB271" i="6"/>
  <c r="AA271" i="6"/>
  <c r="Z271" i="6"/>
  <c r="Y271" i="6"/>
  <c r="X271" i="6"/>
  <c r="V271" i="6"/>
  <c r="T271" i="6"/>
  <c r="R271" i="6"/>
  <c r="P271" i="6"/>
  <c r="N271" i="6"/>
  <c r="L271" i="6"/>
  <c r="AC270" i="6"/>
  <c r="AB270" i="6"/>
  <c r="AA270" i="6"/>
  <c r="Z270" i="6"/>
  <c r="Y270" i="6"/>
  <c r="X270" i="6"/>
  <c r="V270" i="6"/>
  <c r="T270" i="6"/>
  <c r="R270" i="6"/>
  <c r="P270" i="6"/>
  <c r="N270" i="6"/>
  <c r="L270" i="6"/>
  <c r="AC269" i="6"/>
  <c r="AB269" i="6"/>
  <c r="AA269" i="6"/>
  <c r="Z269" i="6"/>
  <c r="Y269" i="6"/>
  <c r="X269" i="6"/>
  <c r="V269" i="6"/>
  <c r="T269" i="6"/>
  <c r="R269" i="6"/>
  <c r="P269" i="6"/>
  <c r="N269" i="6"/>
  <c r="L269" i="6"/>
  <c r="AC268" i="6"/>
  <c r="AB268" i="6"/>
  <c r="AA268" i="6"/>
  <c r="Z268" i="6"/>
  <c r="Y268" i="6"/>
  <c r="X268" i="6"/>
  <c r="V268" i="6"/>
  <c r="T268" i="6"/>
  <c r="R268" i="6"/>
  <c r="P268" i="6"/>
  <c r="N268" i="6"/>
  <c r="L268" i="6"/>
  <c r="AC267" i="6"/>
  <c r="AB267" i="6"/>
  <c r="AA267" i="6"/>
  <c r="Z267" i="6"/>
  <c r="Y267" i="6"/>
  <c r="X267" i="6"/>
  <c r="V267" i="6"/>
  <c r="T267" i="6"/>
  <c r="R267" i="6"/>
  <c r="P267" i="6"/>
  <c r="N267" i="6"/>
  <c r="L267" i="6"/>
  <c r="AC266" i="6"/>
  <c r="AB266" i="6"/>
  <c r="AA266" i="6"/>
  <c r="Z266" i="6"/>
  <c r="Y266" i="6"/>
  <c r="X266" i="6"/>
  <c r="V266" i="6"/>
  <c r="T266" i="6"/>
  <c r="R266" i="6"/>
  <c r="P266" i="6"/>
  <c r="N266" i="6"/>
  <c r="L266" i="6"/>
  <c r="AC265" i="6"/>
  <c r="AB265" i="6"/>
  <c r="AA265" i="6"/>
  <c r="Z265" i="6"/>
  <c r="Y265" i="6"/>
  <c r="X265" i="6"/>
  <c r="V265" i="6"/>
  <c r="T265" i="6"/>
  <c r="R265" i="6"/>
  <c r="P265" i="6"/>
  <c r="N265" i="6"/>
  <c r="L265" i="6"/>
  <c r="AC264" i="6"/>
  <c r="AB264" i="6"/>
  <c r="AA264" i="6"/>
  <c r="Z264" i="6"/>
  <c r="Y264" i="6"/>
  <c r="X264" i="6"/>
  <c r="V264" i="6"/>
  <c r="T264" i="6"/>
  <c r="R264" i="6"/>
  <c r="P264" i="6"/>
  <c r="N264" i="6"/>
  <c r="L264" i="6"/>
  <c r="AC263" i="6"/>
  <c r="AB263" i="6"/>
  <c r="AA263" i="6"/>
  <c r="Z263" i="6"/>
  <c r="Y263" i="6"/>
  <c r="X263" i="6"/>
  <c r="V263" i="6"/>
  <c r="T263" i="6"/>
  <c r="R263" i="6"/>
  <c r="P263" i="6"/>
  <c r="N263" i="6"/>
  <c r="L263" i="6"/>
  <c r="AC262" i="6"/>
  <c r="AB262" i="6"/>
  <c r="AA262" i="6"/>
  <c r="Z262" i="6"/>
  <c r="Y262" i="6"/>
  <c r="X262" i="6"/>
  <c r="V262" i="6"/>
  <c r="T262" i="6"/>
  <c r="R262" i="6"/>
  <c r="P262" i="6"/>
  <c r="N262" i="6"/>
  <c r="L262" i="6"/>
  <c r="AC261" i="6"/>
  <c r="AB261" i="6"/>
  <c r="AA261" i="6"/>
  <c r="Z261" i="6"/>
  <c r="Y261" i="6"/>
  <c r="X261" i="6"/>
  <c r="V261" i="6"/>
  <c r="T261" i="6"/>
  <c r="R261" i="6"/>
  <c r="P261" i="6"/>
  <c r="N261" i="6"/>
  <c r="L261" i="6"/>
  <c r="AC260" i="6"/>
  <c r="AB260" i="6"/>
  <c r="AA260" i="6"/>
  <c r="Z260" i="6"/>
  <c r="Y260" i="6"/>
  <c r="X260" i="6"/>
  <c r="V260" i="6"/>
  <c r="T260" i="6"/>
  <c r="R260" i="6"/>
  <c r="P260" i="6"/>
  <c r="N260" i="6"/>
  <c r="L260" i="6"/>
  <c r="AC259" i="6"/>
  <c r="AB259" i="6"/>
  <c r="AA259" i="6"/>
  <c r="Z259" i="6"/>
  <c r="Y259" i="6"/>
  <c r="X259" i="6"/>
  <c r="V259" i="6"/>
  <c r="T259" i="6"/>
  <c r="R259" i="6"/>
  <c r="P259" i="6"/>
  <c r="N259" i="6"/>
  <c r="L259" i="6"/>
  <c r="AC258" i="6"/>
  <c r="AB258" i="6"/>
  <c r="AA258" i="6"/>
  <c r="Z258" i="6"/>
  <c r="Y258" i="6"/>
  <c r="X258" i="6"/>
  <c r="V258" i="6"/>
  <c r="T258" i="6"/>
  <c r="R258" i="6"/>
  <c r="P258" i="6"/>
  <c r="N258" i="6"/>
  <c r="L258" i="6"/>
  <c r="AC257" i="6"/>
  <c r="AB257" i="6"/>
  <c r="AA257" i="6"/>
  <c r="Z257" i="6"/>
  <c r="Y257" i="6"/>
  <c r="X257" i="6"/>
  <c r="V257" i="6"/>
  <c r="T257" i="6"/>
  <c r="R257" i="6"/>
  <c r="P257" i="6"/>
  <c r="N257" i="6"/>
  <c r="L257" i="6"/>
  <c r="AC256" i="6"/>
  <c r="AB256" i="6"/>
  <c r="AA256" i="6"/>
  <c r="Z256" i="6"/>
  <c r="Y256" i="6"/>
  <c r="X256" i="6"/>
  <c r="V256" i="6"/>
  <c r="T256" i="6"/>
  <c r="R256" i="6"/>
  <c r="P256" i="6"/>
  <c r="N256" i="6"/>
  <c r="L256" i="6"/>
  <c r="AC255" i="6"/>
  <c r="AB255" i="6"/>
  <c r="AA255" i="6"/>
  <c r="Z255" i="6"/>
  <c r="Y255" i="6"/>
  <c r="X255" i="6"/>
  <c r="V255" i="6"/>
  <c r="T255" i="6"/>
  <c r="R255" i="6"/>
  <c r="P255" i="6"/>
  <c r="N255" i="6"/>
  <c r="L255" i="6"/>
  <c r="AC254" i="6"/>
  <c r="AB254" i="6"/>
  <c r="AA254" i="6"/>
  <c r="Z254" i="6"/>
  <c r="Y254" i="6"/>
  <c r="X254" i="6"/>
  <c r="V254" i="6"/>
  <c r="T254" i="6"/>
  <c r="R254" i="6"/>
  <c r="P254" i="6"/>
  <c r="N254" i="6"/>
  <c r="L254" i="6"/>
  <c r="AC253" i="6"/>
  <c r="AB253" i="6"/>
  <c r="AA253" i="6"/>
  <c r="Z253" i="6"/>
  <c r="Y253" i="6"/>
  <c r="X253" i="6"/>
  <c r="V253" i="6"/>
  <c r="T253" i="6"/>
  <c r="R253" i="6"/>
  <c r="P253" i="6"/>
  <c r="N253" i="6"/>
  <c r="L253" i="6"/>
  <c r="AC252" i="6"/>
  <c r="AB252" i="6"/>
  <c r="AA252" i="6"/>
  <c r="Z252" i="6"/>
  <c r="Y252" i="6"/>
  <c r="X252" i="6"/>
  <c r="V252" i="6"/>
  <c r="T252" i="6"/>
  <c r="R252" i="6"/>
  <c r="P252" i="6"/>
  <c r="N252" i="6"/>
  <c r="L252" i="6"/>
  <c r="AC251" i="6"/>
  <c r="AB251" i="6"/>
  <c r="AA251" i="6"/>
  <c r="Z251" i="6"/>
  <c r="Y251" i="6"/>
  <c r="X251" i="6"/>
  <c r="V251" i="6"/>
  <c r="T251" i="6"/>
  <c r="R251" i="6"/>
  <c r="P251" i="6"/>
  <c r="N251" i="6"/>
  <c r="L251" i="6"/>
  <c r="AC250" i="6"/>
  <c r="AB250" i="6"/>
  <c r="AA250" i="6"/>
  <c r="Z250" i="6"/>
  <c r="Y250" i="6"/>
  <c r="X250" i="6"/>
  <c r="V250" i="6"/>
  <c r="T250" i="6"/>
  <c r="R250" i="6"/>
  <c r="P250" i="6"/>
  <c r="N250" i="6"/>
  <c r="L250" i="6"/>
  <c r="AC249" i="6"/>
  <c r="AB249" i="6"/>
  <c r="AA249" i="6"/>
  <c r="Z249" i="6"/>
  <c r="Y249" i="6"/>
  <c r="X249" i="6"/>
  <c r="V249" i="6"/>
  <c r="T249" i="6"/>
  <c r="R249" i="6"/>
  <c r="P249" i="6"/>
  <c r="N249" i="6"/>
  <c r="L249" i="6"/>
  <c r="AC248" i="6"/>
  <c r="AB248" i="6"/>
  <c r="AA248" i="6"/>
  <c r="Z248" i="6"/>
  <c r="Y248" i="6"/>
  <c r="X248" i="6"/>
  <c r="V248" i="6"/>
  <c r="T248" i="6"/>
  <c r="R248" i="6"/>
  <c r="P248" i="6"/>
  <c r="N248" i="6"/>
  <c r="L248" i="6"/>
  <c r="AC247" i="6"/>
  <c r="AB247" i="6"/>
  <c r="AA247" i="6"/>
  <c r="Z247" i="6"/>
  <c r="Y247" i="6"/>
  <c r="X247" i="6"/>
  <c r="V247" i="6"/>
  <c r="T247" i="6"/>
  <c r="R247" i="6"/>
  <c r="P247" i="6"/>
  <c r="N247" i="6"/>
  <c r="L247" i="6"/>
  <c r="AC246" i="6"/>
  <c r="AB246" i="6"/>
  <c r="AA246" i="6"/>
  <c r="Z246" i="6"/>
  <c r="Y246" i="6"/>
  <c r="X246" i="6"/>
  <c r="V246" i="6"/>
  <c r="T246" i="6"/>
  <c r="R246" i="6"/>
  <c r="P246" i="6"/>
  <c r="N246" i="6"/>
  <c r="L246" i="6"/>
  <c r="AC245" i="6"/>
  <c r="AB245" i="6"/>
  <c r="AA245" i="6"/>
  <c r="Z245" i="6"/>
  <c r="Y245" i="6"/>
  <c r="X245" i="6"/>
  <c r="V245" i="6"/>
  <c r="T245" i="6"/>
  <c r="R245" i="6"/>
  <c r="P245" i="6"/>
  <c r="N245" i="6"/>
  <c r="L245" i="6"/>
  <c r="AC244" i="6"/>
  <c r="AB244" i="6"/>
  <c r="AA244" i="6"/>
  <c r="Z244" i="6"/>
  <c r="Y244" i="6"/>
  <c r="X244" i="6"/>
  <c r="V244" i="6"/>
  <c r="T244" i="6"/>
  <c r="R244" i="6"/>
  <c r="P244" i="6"/>
  <c r="N244" i="6"/>
  <c r="L244" i="6"/>
  <c r="AC243" i="6"/>
  <c r="AB243" i="6"/>
  <c r="AA243" i="6"/>
  <c r="Z243" i="6"/>
  <c r="Y243" i="6"/>
  <c r="X243" i="6"/>
  <c r="V243" i="6"/>
  <c r="T243" i="6"/>
  <c r="R243" i="6"/>
  <c r="P243" i="6"/>
  <c r="N243" i="6"/>
  <c r="L243" i="6"/>
  <c r="AC242" i="6"/>
  <c r="AB242" i="6"/>
  <c r="AA242" i="6"/>
  <c r="Z242" i="6"/>
  <c r="Y242" i="6"/>
  <c r="X242" i="6"/>
  <c r="V242" i="6"/>
  <c r="T242" i="6"/>
  <c r="R242" i="6"/>
  <c r="P242" i="6"/>
  <c r="N242" i="6"/>
  <c r="L242" i="6"/>
  <c r="AC241" i="6"/>
  <c r="AB241" i="6"/>
  <c r="AA241" i="6"/>
  <c r="Z241" i="6"/>
  <c r="Y241" i="6"/>
  <c r="X241" i="6"/>
  <c r="V241" i="6"/>
  <c r="T241" i="6"/>
  <c r="R241" i="6"/>
  <c r="P241" i="6"/>
  <c r="N241" i="6"/>
  <c r="L241" i="6"/>
  <c r="AC240" i="6"/>
  <c r="AB240" i="6"/>
  <c r="AA240" i="6"/>
  <c r="Z240" i="6"/>
  <c r="Y240" i="6"/>
  <c r="X240" i="6"/>
  <c r="V240" i="6"/>
  <c r="T240" i="6"/>
  <c r="R240" i="6"/>
  <c r="P240" i="6"/>
  <c r="N240" i="6"/>
  <c r="L240" i="6"/>
  <c r="AC239" i="6"/>
  <c r="AB239" i="6"/>
  <c r="AA239" i="6"/>
  <c r="Z239" i="6"/>
  <c r="Y239" i="6"/>
  <c r="X239" i="6"/>
  <c r="V239" i="6"/>
  <c r="T239" i="6"/>
  <c r="R239" i="6"/>
  <c r="P239" i="6"/>
  <c r="N239" i="6"/>
  <c r="L239" i="6"/>
  <c r="AC238" i="6"/>
  <c r="AB238" i="6"/>
  <c r="AA238" i="6"/>
  <c r="Z238" i="6"/>
  <c r="Y238" i="6"/>
  <c r="X238" i="6"/>
  <c r="V238" i="6"/>
  <c r="T238" i="6"/>
  <c r="R238" i="6"/>
  <c r="P238" i="6"/>
  <c r="N238" i="6"/>
  <c r="L238" i="6"/>
  <c r="AC237" i="6"/>
  <c r="AB237" i="6"/>
  <c r="AA237" i="6"/>
  <c r="Z237" i="6"/>
  <c r="Y237" i="6"/>
  <c r="X237" i="6"/>
  <c r="V237" i="6"/>
  <c r="T237" i="6"/>
  <c r="R237" i="6"/>
  <c r="P237" i="6"/>
  <c r="N237" i="6"/>
  <c r="L237" i="6"/>
  <c r="AC236" i="6"/>
  <c r="AB236" i="6"/>
  <c r="AA236" i="6"/>
  <c r="Z236" i="6"/>
  <c r="Y236" i="6"/>
  <c r="X236" i="6"/>
  <c r="V236" i="6"/>
  <c r="T236" i="6"/>
  <c r="R236" i="6"/>
  <c r="P236" i="6"/>
  <c r="N236" i="6"/>
  <c r="L236" i="6"/>
  <c r="AC235" i="6"/>
  <c r="AB235" i="6"/>
  <c r="AA235" i="6"/>
  <c r="Z235" i="6"/>
  <c r="Y235" i="6"/>
  <c r="X235" i="6"/>
  <c r="V235" i="6"/>
  <c r="T235" i="6"/>
  <c r="R235" i="6"/>
  <c r="P235" i="6"/>
  <c r="N235" i="6"/>
  <c r="L235" i="6"/>
  <c r="AC234" i="6"/>
  <c r="AB234" i="6"/>
  <c r="AA234" i="6"/>
  <c r="Z234" i="6"/>
  <c r="Y234" i="6"/>
  <c r="X234" i="6"/>
  <c r="V234" i="6"/>
  <c r="T234" i="6"/>
  <c r="R234" i="6"/>
  <c r="P234" i="6"/>
  <c r="N234" i="6"/>
  <c r="L234" i="6"/>
  <c r="AC233" i="6"/>
  <c r="AB233" i="6"/>
  <c r="AA233" i="6"/>
  <c r="Z233" i="6"/>
  <c r="Y233" i="6"/>
  <c r="X233" i="6"/>
  <c r="V233" i="6"/>
  <c r="T233" i="6"/>
  <c r="R233" i="6"/>
  <c r="P233" i="6"/>
  <c r="N233" i="6"/>
  <c r="L233" i="6"/>
  <c r="AC232" i="6"/>
  <c r="AB232" i="6"/>
  <c r="AA232" i="6"/>
  <c r="Z232" i="6"/>
  <c r="Y232" i="6"/>
  <c r="X232" i="6"/>
  <c r="V232" i="6"/>
  <c r="T232" i="6"/>
  <c r="R232" i="6"/>
  <c r="P232" i="6"/>
  <c r="N232" i="6"/>
  <c r="L232" i="6"/>
  <c r="AC231" i="6"/>
  <c r="AB231" i="6"/>
  <c r="AA231" i="6"/>
  <c r="Z231" i="6"/>
  <c r="Y231" i="6"/>
  <c r="X231" i="6"/>
  <c r="V231" i="6"/>
  <c r="T231" i="6"/>
  <c r="R231" i="6"/>
  <c r="P231" i="6"/>
  <c r="N231" i="6"/>
  <c r="L231" i="6"/>
  <c r="AC230" i="6"/>
  <c r="AB230" i="6"/>
  <c r="AA230" i="6"/>
  <c r="Z230" i="6"/>
  <c r="Y230" i="6"/>
  <c r="X230" i="6"/>
  <c r="V230" i="6"/>
  <c r="T230" i="6"/>
  <c r="R230" i="6"/>
  <c r="P230" i="6"/>
  <c r="N230" i="6"/>
  <c r="L230" i="6"/>
  <c r="AC229" i="6"/>
  <c r="AB229" i="6"/>
  <c r="AA229" i="6"/>
  <c r="Z229" i="6"/>
  <c r="Y229" i="6"/>
  <c r="X229" i="6"/>
  <c r="V229" i="6"/>
  <c r="T229" i="6"/>
  <c r="R229" i="6"/>
  <c r="P229" i="6"/>
  <c r="N229" i="6"/>
  <c r="L229" i="6"/>
  <c r="AC228" i="6"/>
  <c r="AB228" i="6"/>
  <c r="AA228" i="6"/>
  <c r="Z228" i="6"/>
  <c r="Y228" i="6"/>
  <c r="X228" i="6"/>
  <c r="V228" i="6"/>
  <c r="T228" i="6"/>
  <c r="R228" i="6"/>
  <c r="P228" i="6"/>
  <c r="N228" i="6"/>
  <c r="L228" i="6"/>
  <c r="AC227" i="6"/>
  <c r="AB227" i="6"/>
  <c r="AA227" i="6"/>
  <c r="Z227" i="6"/>
  <c r="Y227" i="6"/>
  <c r="X227" i="6"/>
  <c r="V227" i="6"/>
  <c r="T227" i="6"/>
  <c r="R227" i="6"/>
  <c r="P227" i="6"/>
  <c r="N227" i="6"/>
  <c r="L227" i="6"/>
  <c r="AC226" i="6"/>
  <c r="AB226" i="6"/>
  <c r="AA226" i="6"/>
  <c r="Z226" i="6"/>
  <c r="Y226" i="6"/>
  <c r="X226" i="6"/>
  <c r="V226" i="6"/>
  <c r="T226" i="6"/>
  <c r="R226" i="6"/>
  <c r="P226" i="6"/>
  <c r="N226" i="6"/>
  <c r="L226" i="6"/>
  <c r="AC225" i="6"/>
  <c r="AB225" i="6"/>
  <c r="AA225" i="6"/>
  <c r="Z225" i="6"/>
  <c r="Y225" i="6"/>
  <c r="X225" i="6"/>
  <c r="V225" i="6"/>
  <c r="T225" i="6"/>
  <c r="R225" i="6"/>
  <c r="P225" i="6"/>
  <c r="N225" i="6"/>
  <c r="L225" i="6"/>
  <c r="AC224" i="6"/>
  <c r="AB224" i="6"/>
  <c r="AA224" i="6"/>
  <c r="Z224" i="6"/>
  <c r="Y224" i="6"/>
  <c r="X224" i="6"/>
  <c r="V224" i="6"/>
  <c r="T224" i="6"/>
  <c r="R224" i="6"/>
  <c r="P224" i="6"/>
  <c r="N224" i="6"/>
  <c r="L224" i="6"/>
  <c r="AC223" i="6"/>
  <c r="AB223" i="6"/>
  <c r="AA223" i="6"/>
  <c r="Z223" i="6"/>
  <c r="Y223" i="6"/>
  <c r="X223" i="6"/>
  <c r="V223" i="6"/>
  <c r="T223" i="6"/>
  <c r="R223" i="6"/>
  <c r="P223" i="6"/>
  <c r="N223" i="6"/>
  <c r="L223" i="6"/>
  <c r="AC222" i="6"/>
  <c r="AB222" i="6"/>
  <c r="AA222" i="6"/>
  <c r="Z222" i="6"/>
  <c r="Y222" i="6"/>
  <c r="X222" i="6"/>
  <c r="V222" i="6"/>
  <c r="T222" i="6"/>
  <c r="R222" i="6"/>
  <c r="P222" i="6"/>
  <c r="N222" i="6"/>
  <c r="L222" i="6"/>
  <c r="AC221" i="6"/>
  <c r="AB221" i="6"/>
  <c r="AA221" i="6"/>
  <c r="Z221" i="6"/>
  <c r="Y221" i="6"/>
  <c r="X221" i="6"/>
  <c r="V221" i="6"/>
  <c r="T221" i="6"/>
  <c r="R221" i="6"/>
  <c r="P221" i="6"/>
  <c r="N221" i="6"/>
  <c r="L221" i="6"/>
  <c r="AC220" i="6"/>
  <c r="AB220" i="6"/>
  <c r="AA220" i="6"/>
  <c r="Z220" i="6"/>
  <c r="Y220" i="6"/>
  <c r="X220" i="6"/>
  <c r="V220" i="6"/>
  <c r="T220" i="6"/>
  <c r="R220" i="6"/>
  <c r="P220" i="6"/>
  <c r="N220" i="6"/>
  <c r="L220" i="6"/>
  <c r="AC219" i="6"/>
  <c r="AB219" i="6"/>
  <c r="AA219" i="6"/>
  <c r="Z219" i="6"/>
  <c r="Y219" i="6"/>
  <c r="X219" i="6"/>
  <c r="V219" i="6"/>
  <c r="T219" i="6"/>
  <c r="R219" i="6"/>
  <c r="P219" i="6"/>
  <c r="N219" i="6"/>
  <c r="L219" i="6"/>
  <c r="AC218" i="6"/>
  <c r="AB218" i="6"/>
  <c r="AA218" i="6"/>
  <c r="Z218" i="6"/>
  <c r="Y218" i="6"/>
  <c r="X218" i="6"/>
  <c r="V218" i="6"/>
  <c r="T218" i="6"/>
  <c r="R218" i="6"/>
  <c r="P218" i="6"/>
  <c r="N218" i="6"/>
  <c r="L218" i="6"/>
  <c r="AC217" i="6"/>
  <c r="AB217" i="6"/>
  <c r="AA217" i="6"/>
  <c r="Z217" i="6"/>
  <c r="Y217" i="6"/>
  <c r="X217" i="6"/>
  <c r="V217" i="6"/>
  <c r="T217" i="6"/>
  <c r="R217" i="6"/>
  <c r="P217" i="6"/>
  <c r="N217" i="6"/>
  <c r="L217" i="6"/>
  <c r="AC216" i="6"/>
  <c r="AB216" i="6"/>
  <c r="AA216" i="6"/>
  <c r="Z216" i="6"/>
  <c r="Y216" i="6"/>
  <c r="X216" i="6"/>
  <c r="V216" i="6"/>
  <c r="T216" i="6"/>
  <c r="R216" i="6"/>
  <c r="P216" i="6"/>
  <c r="N216" i="6"/>
  <c r="L216" i="6"/>
  <c r="AC215" i="6"/>
  <c r="AB215" i="6"/>
  <c r="AA215" i="6"/>
  <c r="Z215" i="6"/>
  <c r="Y215" i="6"/>
  <c r="X215" i="6"/>
  <c r="V215" i="6"/>
  <c r="T215" i="6"/>
  <c r="R215" i="6"/>
  <c r="P215" i="6"/>
  <c r="N215" i="6"/>
  <c r="L215" i="6"/>
  <c r="AC214" i="6"/>
  <c r="AB214" i="6"/>
  <c r="AA214" i="6"/>
  <c r="Z214" i="6"/>
  <c r="Y214" i="6"/>
  <c r="X214" i="6"/>
  <c r="V214" i="6"/>
  <c r="T214" i="6"/>
  <c r="R214" i="6"/>
  <c r="P214" i="6"/>
  <c r="N214" i="6"/>
  <c r="L214" i="6"/>
  <c r="AC213" i="6"/>
  <c r="AB213" i="6"/>
  <c r="AA213" i="6"/>
  <c r="Z213" i="6"/>
  <c r="Y213" i="6"/>
  <c r="X213" i="6"/>
  <c r="V213" i="6"/>
  <c r="T213" i="6"/>
  <c r="R213" i="6"/>
  <c r="P213" i="6"/>
  <c r="N213" i="6"/>
  <c r="L213" i="6"/>
  <c r="AC212" i="6"/>
  <c r="AB212" i="6"/>
  <c r="AA212" i="6"/>
  <c r="Z212" i="6"/>
  <c r="Y212" i="6"/>
  <c r="X212" i="6"/>
  <c r="V212" i="6"/>
  <c r="T212" i="6"/>
  <c r="R212" i="6"/>
  <c r="P212" i="6"/>
  <c r="N212" i="6"/>
  <c r="L212" i="6"/>
  <c r="AC211" i="6"/>
  <c r="AB211" i="6"/>
  <c r="AA211" i="6"/>
  <c r="Z211" i="6"/>
  <c r="Y211" i="6"/>
  <c r="X211" i="6"/>
  <c r="V211" i="6"/>
  <c r="T211" i="6"/>
  <c r="R211" i="6"/>
  <c r="P211" i="6"/>
  <c r="N211" i="6"/>
  <c r="L211" i="6"/>
  <c r="AC210" i="6"/>
  <c r="AB210" i="6"/>
  <c r="AA210" i="6"/>
  <c r="Z210" i="6"/>
  <c r="Y210" i="6"/>
  <c r="X210" i="6"/>
  <c r="V210" i="6"/>
  <c r="T210" i="6"/>
  <c r="R210" i="6"/>
  <c r="P210" i="6"/>
  <c r="N210" i="6"/>
  <c r="L210" i="6"/>
  <c r="AC209" i="6"/>
  <c r="AB209" i="6"/>
  <c r="AA209" i="6"/>
  <c r="Z209" i="6"/>
  <c r="Y209" i="6"/>
  <c r="X209" i="6"/>
  <c r="V209" i="6"/>
  <c r="T209" i="6"/>
  <c r="R209" i="6"/>
  <c r="P209" i="6"/>
  <c r="N209" i="6"/>
  <c r="L209" i="6"/>
  <c r="AC208" i="6"/>
  <c r="AB208" i="6"/>
  <c r="AA208" i="6"/>
  <c r="Z208" i="6"/>
  <c r="Y208" i="6"/>
  <c r="X208" i="6"/>
  <c r="V208" i="6"/>
  <c r="T208" i="6"/>
  <c r="R208" i="6"/>
  <c r="P208" i="6"/>
  <c r="N208" i="6"/>
  <c r="L208" i="6"/>
  <c r="AC207" i="6"/>
  <c r="AB207" i="6"/>
  <c r="AA207" i="6"/>
  <c r="Z207" i="6"/>
  <c r="Y207" i="6"/>
  <c r="X207" i="6"/>
  <c r="V207" i="6"/>
  <c r="T207" i="6"/>
  <c r="R207" i="6"/>
  <c r="P207" i="6"/>
  <c r="N207" i="6"/>
  <c r="L207" i="6"/>
  <c r="AC206" i="6"/>
  <c r="AB206" i="6"/>
  <c r="AA206" i="6"/>
  <c r="Z206" i="6"/>
  <c r="Y206" i="6"/>
  <c r="X206" i="6"/>
  <c r="V206" i="6"/>
  <c r="T206" i="6"/>
  <c r="R206" i="6"/>
  <c r="P206" i="6"/>
  <c r="N206" i="6"/>
  <c r="L206" i="6"/>
  <c r="AC205" i="6"/>
  <c r="AB205" i="6"/>
  <c r="AA205" i="6"/>
  <c r="Z205" i="6"/>
  <c r="Y205" i="6"/>
  <c r="X205" i="6"/>
  <c r="V205" i="6"/>
  <c r="T205" i="6"/>
  <c r="R205" i="6"/>
  <c r="P205" i="6"/>
  <c r="N205" i="6"/>
  <c r="L205" i="6"/>
  <c r="AC204" i="6"/>
  <c r="AB204" i="6"/>
  <c r="AA204" i="6"/>
  <c r="Z204" i="6"/>
  <c r="Y204" i="6"/>
  <c r="X204" i="6"/>
  <c r="V204" i="6"/>
  <c r="T204" i="6"/>
  <c r="R204" i="6"/>
  <c r="P204" i="6"/>
  <c r="N204" i="6"/>
  <c r="L204" i="6"/>
  <c r="AC203" i="6"/>
  <c r="AB203" i="6"/>
  <c r="AA203" i="6"/>
  <c r="Z203" i="6"/>
  <c r="Y203" i="6"/>
  <c r="X203" i="6"/>
  <c r="V203" i="6"/>
  <c r="T203" i="6"/>
  <c r="R203" i="6"/>
  <c r="P203" i="6"/>
  <c r="N203" i="6"/>
  <c r="L203" i="6"/>
  <c r="AC202" i="6"/>
  <c r="AB202" i="6"/>
  <c r="AA202" i="6"/>
  <c r="Z202" i="6"/>
  <c r="Y202" i="6"/>
  <c r="X202" i="6"/>
  <c r="V202" i="6"/>
  <c r="T202" i="6"/>
  <c r="R202" i="6"/>
  <c r="P202" i="6"/>
  <c r="N202" i="6"/>
  <c r="L202" i="6"/>
  <c r="AC201" i="6"/>
  <c r="AB201" i="6"/>
  <c r="AA201" i="6"/>
  <c r="Z201" i="6"/>
  <c r="Y201" i="6"/>
  <c r="X201" i="6"/>
  <c r="V201" i="6"/>
  <c r="T201" i="6"/>
  <c r="R201" i="6"/>
  <c r="P201" i="6"/>
  <c r="N201" i="6"/>
  <c r="L201" i="6"/>
  <c r="AC200" i="6"/>
  <c r="AB200" i="6"/>
  <c r="AA200" i="6"/>
  <c r="Z200" i="6"/>
  <c r="Y200" i="6"/>
  <c r="X200" i="6"/>
  <c r="V200" i="6"/>
  <c r="T200" i="6"/>
  <c r="R200" i="6"/>
  <c r="P200" i="6"/>
  <c r="N200" i="6"/>
  <c r="L200" i="6"/>
  <c r="AC199" i="6"/>
  <c r="AB199" i="6"/>
  <c r="AA199" i="6"/>
  <c r="Z199" i="6"/>
  <c r="Y199" i="6"/>
  <c r="X199" i="6"/>
  <c r="V199" i="6"/>
  <c r="T199" i="6"/>
  <c r="R199" i="6"/>
  <c r="P199" i="6"/>
  <c r="N199" i="6"/>
  <c r="L199" i="6"/>
  <c r="AC198" i="6"/>
  <c r="AB198" i="6"/>
  <c r="AA198" i="6"/>
  <c r="Z198" i="6"/>
  <c r="Y198" i="6"/>
  <c r="X198" i="6"/>
  <c r="V198" i="6"/>
  <c r="T198" i="6"/>
  <c r="R198" i="6"/>
  <c r="P198" i="6"/>
  <c r="N198" i="6"/>
  <c r="L198" i="6"/>
  <c r="AC197" i="6"/>
  <c r="AB197" i="6"/>
  <c r="AA197" i="6"/>
  <c r="Z197" i="6"/>
  <c r="Y197" i="6"/>
  <c r="X197" i="6"/>
  <c r="V197" i="6"/>
  <c r="T197" i="6"/>
  <c r="R197" i="6"/>
  <c r="P197" i="6"/>
  <c r="N197" i="6"/>
  <c r="L197" i="6"/>
  <c r="AC196" i="6"/>
  <c r="AB196" i="6"/>
  <c r="AA196" i="6"/>
  <c r="Z196" i="6"/>
  <c r="Y196" i="6"/>
  <c r="X196" i="6"/>
  <c r="V196" i="6"/>
  <c r="T196" i="6"/>
  <c r="R196" i="6"/>
  <c r="P196" i="6"/>
  <c r="N196" i="6"/>
  <c r="L196" i="6"/>
  <c r="AC195" i="6"/>
  <c r="AB195" i="6"/>
  <c r="AA195" i="6"/>
  <c r="Z195" i="6"/>
  <c r="Y195" i="6"/>
  <c r="X195" i="6"/>
  <c r="V195" i="6"/>
  <c r="T195" i="6"/>
  <c r="R195" i="6"/>
  <c r="P195" i="6"/>
  <c r="N195" i="6"/>
  <c r="L195" i="6"/>
  <c r="AC194" i="6"/>
  <c r="AB194" i="6"/>
  <c r="AA194" i="6"/>
  <c r="Z194" i="6"/>
  <c r="Y194" i="6"/>
  <c r="X194" i="6"/>
  <c r="V194" i="6"/>
  <c r="T194" i="6"/>
  <c r="R194" i="6"/>
  <c r="P194" i="6"/>
  <c r="N194" i="6"/>
  <c r="L194" i="6"/>
  <c r="AC193" i="6"/>
  <c r="AB193" i="6"/>
  <c r="AA193" i="6"/>
  <c r="Z193" i="6"/>
  <c r="Y193" i="6"/>
  <c r="X193" i="6"/>
  <c r="V193" i="6"/>
  <c r="T193" i="6"/>
  <c r="R193" i="6"/>
  <c r="P193" i="6"/>
  <c r="N193" i="6"/>
  <c r="L193" i="6"/>
  <c r="AC192" i="6"/>
  <c r="AB192" i="6"/>
  <c r="AA192" i="6"/>
  <c r="Z192" i="6"/>
  <c r="Y192" i="6"/>
  <c r="X192" i="6"/>
  <c r="V192" i="6"/>
  <c r="T192" i="6"/>
  <c r="R192" i="6"/>
  <c r="P192" i="6"/>
  <c r="N192" i="6"/>
  <c r="L192" i="6"/>
  <c r="AC191" i="6"/>
  <c r="AB191" i="6"/>
  <c r="AA191" i="6"/>
  <c r="Z191" i="6"/>
  <c r="Y191" i="6"/>
  <c r="X191" i="6"/>
  <c r="V191" i="6"/>
  <c r="T191" i="6"/>
  <c r="R191" i="6"/>
  <c r="P191" i="6"/>
  <c r="N191" i="6"/>
  <c r="L191" i="6"/>
  <c r="AC190" i="6"/>
  <c r="AB190" i="6"/>
  <c r="AA190" i="6"/>
  <c r="Z190" i="6"/>
  <c r="Y190" i="6"/>
  <c r="X190" i="6"/>
  <c r="V190" i="6"/>
  <c r="T190" i="6"/>
  <c r="R190" i="6"/>
  <c r="P190" i="6"/>
  <c r="N190" i="6"/>
  <c r="L190" i="6"/>
  <c r="AC189" i="6"/>
  <c r="AB189" i="6"/>
  <c r="AA189" i="6"/>
  <c r="Z189" i="6"/>
  <c r="Y189" i="6"/>
  <c r="X189" i="6"/>
  <c r="V189" i="6"/>
  <c r="T189" i="6"/>
  <c r="R189" i="6"/>
  <c r="P189" i="6"/>
  <c r="N189" i="6"/>
  <c r="L189" i="6"/>
  <c r="AC188" i="6"/>
  <c r="AB188" i="6"/>
  <c r="AA188" i="6"/>
  <c r="Z188" i="6"/>
  <c r="Y188" i="6"/>
  <c r="X188" i="6"/>
  <c r="V188" i="6"/>
  <c r="T188" i="6"/>
  <c r="R188" i="6"/>
  <c r="P188" i="6"/>
  <c r="N188" i="6"/>
  <c r="L188" i="6"/>
  <c r="AC187" i="6"/>
  <c r="AB187" i="6"/>
  <c r="AA187" i="6"/>
  <c r="Z187" i="6"/>
  <c r="Y187" i="6"/>
  <c r="X187" i="6"/>
  <c r="V187" i="6"/>
  <c r="T187" i="6"/>
  <c r="R187" i="6"/>
  <c r="P187" i="6"/>
  <c r="N187" i="6"/>
  <c r="L187" i="6"/>
  <c r="AC186" i="6"/>
  <c r="AB186" i="6"/>
  <c r="AA186" i="6"/>
  <c r="Z186" i="6"/>
  <c r="Y186" i="6"/>
  <c r="X186" i="6"/>
  <c r="V186" i="6"/>
  <c r="T186" i="6"/>
  <c r="R186" i="6"/>
  <c r="P186" i="6"/>
  <c r="N186" i="6"/>
  <c r="L186" i="6"/>
  <c r="AC185" i="6"/>
  <c r="AB185" i="6"/>
  <c r="AA185" i="6"/>
  <c r="Z185" i="6"/>
  <c r="Y185" i="6"/>
  <c r="X185" i="6"/>
  <c r="V185" i="6"/>
  <c r="T185" i="6"/>
  <c r="R185" i="6"/>
  <c r="P185" i="6"/>
  <c r="N185" i="6"/>
  <c r="L185" i="6"/>
  <c r="AC184" i="6"/>
  <c r="AB184" i="6"/>
  <c r="AA184" i="6"/>
  <c r="Z184" i="6"/>
  <c r="Y184" i="6"/>
  <c r="X184" i="6"/>
  <c r="V184" i="6"/>
  <c r="T184" i="6"/>
  <c r="R184" i="6"/>
  <c r="P184" i="6"/>
  <c r="N184" i="6"/>
  <c r="L184" i="6"/>
  <c r="AC183" i="6"/>
  <c r="AB183" i="6"/>
  <c r="AA183" i="6"/>
  <c r="Z183" i="6"/>
  <c r="Y183" i="6"/>
  <c r="X183" i="6"/>
  <c r="V183" i="6"/>
  <c r="T183" i="6"/>
  <c r="R183" i="6"/>
  <c r="P183" i="6"/>
  <c r="N183" i="6"/>
  <c r="L183" i="6"/>
  <c r="AC182" i="6"/>
  <c r="AB182" i="6"/>
  <c r="AA182" i="6"/>
  <c r="Z182" i="6"/>
  <c r="Y182" i="6"/>
  <c r="X182" i="6"/>
  <c r="V182" i="6"/>
  <c r="T182" i="6"/>
  <c r="R182" i="6"/>
  <c r="P182" i="6"/>
  <c r="N182" i="6"/>
  <c r="L182" i="6"/>
  <c r="AC181" i="6"/>
  <c r="AB181" i="6"/>
  <c r="AA181" i="6"/>
  <c r="Z181" i="6"/>
  <c r="Y181" i="6"/>
  <c r="X181" i="6"/>
  <c r="V181" i="6"/>
  <c r="T181" i="6"/>
  <c r="R181" i="6"/>
  <c r="P181" i="6"/>
  <c r="N181" i="6"/>
  <c r="L181" i="6"/>
  <c r="AC180" i="6"/>
  <c r="AB180" i="6"/>
  <c r="AA180" i="6"/>
  <c r="Z180" i="6"/>
  <c r="Y180" i="6"/>
  <c r="X180" i="6"/>
  <c r="V180" i="6"/>
  <c r="T180" i="6"/>
  <c r="R180" i="6"/>
  <c r="P180" i="6"/>
  <c r="N180" i="6"/>
  <c r="L180" i="6"/>
  <c r="AC179" i="6"/>
  <c r="AB179" i="6"/>
  <c r="AA179" i="6"/>
  <c r="Z179" i="6"/>
  <c r="Y179" i="6"/>
  <c r="X179" i="6"/>
  <c r="V179" i="6"/>
  <c r="T179" i="6"/>
  <c r="R179" i="6"/>
  <c r="P179" i="6"/>
  <c r="N179" i="6"/>
  <c r="L179" i="6"/>
  <c r="AC178" i="6"/>
  <c r="AB178" i="6"/>
  <c r="AA178" i="6"/>
  <c r="Z178" i="6"/>
  <c r="Y178" i="6"/>
  <c r="X178" i="6"/>
  <c r="V178" i="6"/>
  <c r="T178" i="6"/>
  <c r="R178" i="6"/>
  <c r="P178" i="6"/>
  <c r="N178" i="6"/>
  <c r="L178" i="6"/>
  <c r="AC177" i="6"/>
  <c r="AB177" i="6"/>
  <c r="AA177" i="6"/>
  <c r="Z177" i="6"/>
  <c r="Y177" i="6"/>
  <c r="X177" i="6"/>
  <c r="V177" i="6"/>
  <c r="T177" i="6"/>
  <c r="R177" i="6"/>
  <c r="P177" i="6"/>
  <c r="N177" i="6"/>
  <c r="L177" i="6"/>
  <c r="AC176" i="6"/>
  <c r="AB176" i="6"/>
  <c r="AA176" i="6"/>
  <c r="Z176" i="6"/>
  <c r="Y176" i="6"/>
  <c r="X176" i="6"/>
  <c r="V176" i="6"/>
  <c r="T176" i="6"/>
  <c r="R176" i="6"/>
  <c r="P176" i="6"/>
  <c r="N176" i="6"/>
  <c r="L176" i="6"/>
  <c r="AC175" i="6"/>
  <c r="AB175" i="6"/>
  <c r="AA175" i="6"/>
  <c r="Z175" i="6"/>
  <c r="Y175" i="6"/>
  <c r="X175" i="6"/>
  <c r="V175" i="6"/>
  <c r="T175" i="6"/>
  <c r="R175" i="6"/>
  <c r="P175" i="6"/>
  <c r="N175" i="6"/>
  <c r="L175" i="6"/>
  <c r="AC174" i="6"/>
  <c r="AB174" i="6"/>
  <c r="AA174" i="6"/>
  <c r="Z174" i="6"/>
  <c r="Y174" i="6"/>
  <c r="X174" i="6"/>
  <c r="V174" i="6"/>
  <c r="T174" i="6"/>
  <c r="R174" i="6"/>
  <c r="P174" i="6"/>
  <c r="N174" i="6"/>
  <c r="L174" i="6"/>
  <c r="AC173" i="6"/>
  <c r="AB173" i="6"/>
  <c r="AA173" i="6"/>
  <c r="Z173" i="6"/>
  <c r="Y173" i="6"/>
  <c r="X173" i="6"/>
  <c r="V173" i="6"/>
  <c r="T173" i="6"/>
  <c r="R173" i="6"/>
  <c r="P173" i="6"/>
  <c r="N173" i="6"/>
  <c r="L173" i="6"/>
  <c r="AC172" i="6"/>
  <c r="AB172" i="6"/>
  <c r="AA172" i="6"/>
  <c r="Z172" i="6"/>
  <c r="Y172" i="6"/>
  <c r="X172" i="6"/>
  <c r="V172" i="6"/>
  <c r="T172" i="6"/>
  <c r="R172" i="6"/>
  <c r="P172" i="6"/>
  <c r="N172" i="6"/>
  <c r="L172" i="6"/>
  <c r="AC171" i="6"/>
  <c r="AB171" i="6"/>
  <c r="AA171" i="6"/>
  <c r="Z171" i="6"/>
  <c r="Y171" i="6"/>
  <c r="X171" i="6"/>
  <c r="V171" i="6"/>
  <c r="T171" i="6"/>
  <c r="R171" i="6"/>
  <c r="P171" i="6"/>
  <c r="N171" i="6"/>
  <c r="L171" i="6"/>
  <c r="AC170" i="6"/>
  <c r="AB170" i="6"/>
  <c r="AA170" i="6"/>
  <c r="Z170" i="6"/>
  <c r="Y170" i="6"/>
  <c r="X170" i="6"/>
  <c r="V170" i="6"/>
  <c r="T170" i="6"/>
  <c r="R170" i="6"/>
  <c r="P170" i="6"/>
  <c r="N170" i="6"/>
  <c r="L170" i="6"/>
  <c r="AC169" i="6"/>
  <c r="AB169" i="6"/>
  <c r="AA169" i="6"/>
  <c r="Z169" i="6"/>
  <c r="Y169" i="6"/>
  <c r="X169" i="6"/>
  <c r="V169" i="6"/>
  <c r="T169" i="6"/>
  <c r="R169" i="6"/>
  <c r="P169" i="6"/>
  <c r="N169" i="6"/>
  <c r="L169" i="6"/>
  <c r="AC168" i="6"/>
  <c r="AB168" i="6"/>
  <c r="AA168" i="6"/>
  <c r="Z168" i="6"/>
  <c r="Y168" i="6"/>
  <c r="X168" i="6"/>
  <c r="V168" i="6"/>
  <c r="T168" i="6"/>
  <c r="R168" i="6"/>
  <c r="P168" i="6"/>
  <c r="N168" i="6"/>
  <c r="L168" i="6"/>
  <c r="AC167" i="6"/>
  <c r="AB167" i="6"/>
  <c r="AA167" i="6"/>
  <c r="Z167" i="6"/>
  <c r="Y167" i="6"/>
  <c r="X167" i="6"/>
  <c r="V167" i="6"/>
  <c r="T167" i="6"/>
  <c r="R167" i="6"/>
  <c r="P167" i="6"/>
  <c r="N167" i="6"/>
  <c r="L167" i="6"/>
  <c r="AC166" i="6"/>
  <c r="AB166" i="6"/>
  <c r="AA166" i="6"/>
  <c r="Z166" i="6"/>
  <c r="Y166" i="6"/>
  <c r="X166" i="6"/>
  <c r="V166" i="6"/>
  <c r="T166" i="6"/>
  <c r="R166" i="6"/>
  <c r="P166" i="6"/>
  <c r="N166" i="6"/>
  <c r="L166" i="6"/>
  <c r="AC165" i="6"/>
  <c r="AB165" i="6"/>
  <c r="AA165" i="6"/>
  <c r="Z165" i="6"/>
  <c r="Y165" i="6"/>
  <c r="X165" i="6"/>
  <c r="V165" i="6"/>
  <c r="T165" i="6"/>
  <c r="R165" i="6"/>
  <c r="P165" i="6"/>
  <c r="N165" i="6"/>
  <c r="L165" i="6"/>
  <c r="AC164" i="6"/>
  <c r="AB164" i="6"/>
  <c r="AA164" i="6"/>
  <c r="Z164" i="6"/>
  <c r="Y164" i="6"/>
  <c r="X164" i="6"/>
  <c r="V164" i="6"/>
  <c r="T164" i="6"/>
  <c r="R164" i="6"/>
  <c r="P164" i="6"/>
  <c r="N164" i="6"/>
  <c r="L164" i="6"/>
  <c r="AC163" i="6"/>
  <c r="AB163" i="6"/>
  <c r="AA163" i="6"/>
  <c r="Z163" i="6"/>
  <c r="Y163" i="6"/>
  <c r="X163" i="6"/>
  <c r="V163" i="6"/>
  <c r="T163" i="6"/>
  <c r="R163" i="6"/>
  <c r="P163" i="6"/>
  <c r="N163" i="6"/>
  <c r="L163" i="6"/>
  <c r="AC162" i="6"/>
  <c r="AB162" i="6"/>
  <c r="AA162" i="6"/>
  <c r="Z162" i="6"/>
  <c r="Y162" i="6"/>
  <c r="X162" i="6"/>
  <c r="V162" i="6"/>
  <c r="T162" i="6"/>
  <c r="R162" i="6"/>
  <c r="P162" i="6"/>
  <c r="N162" i="6"/>
  <c r="L162" i="6"/>
  <c r="AC161" i="6"/>
  <c r="AB161" i="6"/>
  <c r="AA161" i="6"/>
  <c r="Z161" i="6"/>
  <c r="Y161" i="6"/>
  <c r="X161" i="6"/>
  <c r="V161" i="6"/>
  <c r="T161" i="6"/>
  <c r="R161" i="6"/>
  <c r="P161" i="6"/>
  <c r="N161" i="6"/>
  <c r="L161" i="6"/>
  <c r="AC160" i="6"/>
  <c r="AB160" i="6"/>
  <c r="AA160" i="6"/>
  <c r="Z160" i="6"/>
  <c r="Y160" i="6"/>
  <c r="X160" i="6"/>
  <c r="V160" i="6"/>
  <c r="T160" i="6"/>
  <c r="R160" i="6"/>
  <c r="P160" i="6"/>
  <c r="N160" i="6"/>
  <c r="L160" i="6"/>
  <c r="AC159" i="6"/>
  <c r="AB159" i="6"/>
  <c r="AA159" i="6"/>
  <c r="Z159" i="6"/>
  <c r="Y159" i="6"/>
  <c r="X159" i="6"/>
  <c r="V159" i="6"/>
  <c r="T159" i="6"/>
  <c r="R159" i="6"/>
  <c r="P159" i="6"/>
  <c r="N159" i="6"/>
  <c r="L159" i="6"/>
  <c r="AC158" i="6"/>
  <c r="AB158" i="6"/>
  <c r="AA158" i="6"/>
  <c r="Z158" i="6"/>
  <c r="Y158" i="6"/>
  <c r="X158" i="6"/>
  <c r="V158" i="6"/>
  <c r="T158" i="6"/>
  <c r="R158" i="6"/>
  <c r="P158" i="6"/>
  <c r="N158" i="6"/>
  <c r="L158" i="6"/>
  <c r="AC157" i="6"/>
  <c r="AB157" i="6"/>
  <c r="AA157" i="6"/>
  <c r="Z157" i="6"/>
  <c r="Y157" i="6"/>
  <c r="X157" i="6"/>
  <c r="V157" i="6"/>
  <c r="T157" i="6"/>
  <c r="R157" i="6"/>
  <c r="P157" i="6"/>
  <c r="N157" i="6"/>
  <c r="L157" i="6"/>
  <c r="AC156" i="6"/>
  <c r="AB156" i="6"/>
  <c r="AA156" i="6"/>
  <c r="Z156" i="6"/>
  <c r="Y156" i="6"/>
  <c r="X156" i="6"/>
  <c r="V156" i="6"/>
  <c r="T156" i="6"/>
  <c r="R156" i="6"/>
  <c r="P156" i="6"/>
  <c r="N156" i="6"/>
  <c r="L156" i="6"/>
  <c r="AC155" i="6"/>
  <c r="AB155" i="6"/>
  <c r="AA155" i="6"/>
  <c r="Z155" i="6"/>
  <c r="Y155" i="6"/>
  <c r="X155" i="6"/>
  <c r="V155" i="6"/>
  <c r="T155" i="6"/>
  <c r="R155" i="6"/>
  <c r="P155" i="6"/>
  <c r="N155" i="6"/>
  <c r="L155" i="6"/>
  <c r="AC154" i="6"/>
  <c r="AB154" i="6"/>
  <c r="AA154" i="6"/>
  <c r="Z154" i="6"/>
  <c r="Y154" i="6"/>
  <c r="X154" i="6"/>
  <c r="V154" i="6"/>
  <c r="T154" i="6"/>
  <c r="R154" i="6"/>
  <c r="P154" i="6"/>
  <c r="N154" i="6"/>
  <c r="L154" i="6"/>
  <c r="AC153" i="6"/>
  <c r="AB153" i="6"/>
  <c r="AA153" i="6"/>
  <c r="Z153" i="6"/>
  <c r="Y153" i="6"/>
  <c r="X153" i="6"/>
  <c r="V153" i="6"/>
  <c r="T153" i="6"/>
  <c r="R153" i="6"/>
  <c r="P153" i="6"/>
  <c r="N153" i="6"/>
  <c r="L153" i="6"/>
  <c r="AC152" i="6"/>
  <c r="AB152" i="6"/>
  <c r="AA152" i="6"/>
  <c r="Z152" i="6"/>
  <c r="Y152" i="6"/>
  <c r="X152" i="6"/>
  <c r="V152" i="6"/>
  <c r="T152" i="6"/>
  <c r="R152" i="6"/>
  <c r="P152" i="6"/>
  <c r="N152" i="6"/>
  <c r="L152" i="6"/>
  <c r="AC151" i="6"/>
  <c r="AB151" i="6"/>
  <c r="AA151" i="6"/>
  <c r="Z151" i="6"/>
  <c r="Y151" i="6"/>
  <c r="X151" i="6"/>
  <c r="V151" i="6"/>
  <c r="T151" i="6"/>
  <c r="R151" i="6"/>
  <c r="P151" i="6"/>
  <c r="N151" i="6"/>
  <c r="L151" i="6"/>
  <c r="AC150" i="6"/>
  <c r="AB150" i="6"/>
  <c r="AA150" i="6"/>
  <c r="Z150" i="6"/>
  <c r="Y150" i="6"/>
  <c r="X150" i="6"/>
  <c r="V150" i="6"/>
  <c r="T150" i="6"/>
  <c r="R150" i="6"/>
  <c r="P150" i="6"/>
  <c r="N150" i="6"/>
  <c r="L150" i="6"/>
  <c r="AC149" i="6"/>
  <c r="AB149" i="6"/>
  <c r="AA149" i="6"/>
  <c r="Z149" i="6"/>
  <c r="Y149" i="6"/>
  <c r="X149" i="6"/>
  <c r="V149" i="6"/>
  <c r="T149" i="6"/>
  <c r="R149" i="6"/>
  <c r="P149" i="6"/>
  <c r="N149" i="6"/>
  <c r="L149" i="6"/>
  <c r="AC148" i="6"/>
  <c r="AB148" i="6"/>
  <c r="AA148" i="6"/>
  <c r="Z148" i="6"/>
  <c r="Y148" i="6"/>
  <c r="X148" i="6"/>
  <c r="V148" i="6"/>
  <c r="T148" i="6"/>
  <c r="R148" i="6"/>
  <c r="P148" i="6"/>
  <c r="N148" i="6"/>
  <c r="L148" i="6"/>
  <c r="AC147" i="6"/>
  <c r="AB147" i="6"/>
  <c r="AA147" i="6"/>
  <c r="Z147" i="6"/>
  <c r="Y147" i="6"/>
  <c r="X147" i="6"/>
  <c r="V147" i="6"/>
  <c r="T147" i="6"/>
  <c r="R147" i="6"/>
  <c r="P147" i="6"/>
  <c r="N147" i="6"/>
  <c r="L147" i="6"/>
  <c r="AC146" i="6"/>
  <c r="AB146" i="6"/>
  <c r="AA146" i="6"/>
  <c r="Z146" i="6"/>
  <c r="Y146" i="6"/>
  <c r="X146" i="6"/>
  <c r="V146" i="6"/>
  <c r="T146" i="6"/>
  <c r="R146" i="6"/>
  <c r="P146" i="6"/>
  <c r="N146" i="6"/>
  <c r="L146" i="6"/>
  <c r="AC145" i="6"/>
  <c r="AB145" i="6"/>
  <c r="AA145" i="6"/>
  <c r="Z145" i="6"/>
  <c r="Y145" i="6"/>
  <c r="X145" i="6"/>
  <c r="V145" i="6"/>
  <c r="T145" i="6"/>
  <c r="R145" i="6"/>
  <c r="P145" i="6"/>
  <c r="N145" i="6"/>
  <c r="L145" i="6"/>
  <c r="AC144" i="6"/>
  <c r="AB144" i="6"/>
  <c r="AA144" i="6"/>
  <c r="Z144" i="6"/>
  <c r="Y144" i="6"/>
  <c r="X144" i="6"/>
  <c r="V144" i="6"/>
  <c r="T144" i="6"/>
  <c r="R144" i="6"/>
  <c r="P144" i="6"/>
  <c r="N144" i="6"/>
  <c r="L144" i="6"/>
  <c r="AC143" i="6"/>
  <c r="AB143" i="6"/>
  <c r="AA143" i="6"/>
  <c r="Z143" i="6"/>
  <c r="Y143" i="6"/>
  <c r="X143" i="6"/>
  <c r="V143" i="6"/>
  <c r="T143" i="6"/>
  <c r="R143" i="6"/>
  <c r="P143" i="6"/>
  <c r="N143" i="6"/>
  <c r="L143" i="6"/>
  <c r="AC142" i="6"/>
  <c r="AB142" i="6"/>
  <c r="AA142" i="6"/>
  <c r="Z142" i="6"/>
  <c r="Y142" i="6"/>
  <c r="X142" i="6"/>
  <c r="V142" i="6"/>
  <c r="T142" i="6"/>
  <c r="R142" i="6"/>
  <c r="P142" i="6"/>
  <c r="N142" i="6"/>
  <c r="L142" i="6"/>
  <c r="AC141" i="6"/>
  <c r="AB141" i="6"/>
  <c r="AA141" i="6"/>
  <c r="Z141" i="6"/>
  <c r="Y141" i="6"/>
  <c r="X141" i="6"/>
  <c r="V141" i="6"/>
  <c r="T141" i="6"/>
  <c r="R141" i="6"/>
  <c r="P141" i="6"/>
  <c r="N141" i="6"/>
  <c r="L141" i="6"/>
  <c r="AC140" i="6"/>
  <c r="AB140" i="6"/>
  <c r="AA140" i="6"/>
  <c r="Z140" i="6"/>
  <c r="Y140" i="6"/>
  <c r="X140" i="6"/>
  <c r="V140" i="6"/>
  <c r="T140" i="6"/>
  <c r="R140" i="6"/>
  <c r="P140" i="6"/>
  <c r="N140" i="6"/>
  <c r="L140" i="6"/>
  <c r="AC139" i="6"/>
  <c r="AB139" i="6"/>
  <c r="AA139" i="6"/>
  <c r="Z139" i="6"/>
  <c r="Y139" i="6"/>
  <c r="X139" i="6"/>
  <c r="V139" i="6"/>
  <c r="T139" i="6"/>
  <c r="R139" i="6"/>
  <c r="P139" i="6"/>
  <c r="N139" i="6"/>
  <c r="L139" i="6"/>
  <c r="AC138" i="6"/>
  <c r="AB138" i="6"/>
  <c r="AA138" i="6"/>
  <c r="Z138" i="6"/>
  <c r="Y138" i="6"/>
  <c r="X138" i="6"/>
  <c r="V138" i="6"/>
  <c r="T138" i="6"/>
  <c r="R138" i="6"/>
  <c r="P138" i="6"/>
  <c r="N138" i="6"/>
  <c r="L138" i="6"/>
  <c r="AC137" i="6"/>
  <c r="AB137" i="6"/>
  <c r="AA137" i="6"/>
  <c r="Z137" i="6"/>
  <c r="Y137" i="6"/>
  <c r="X137" i="6"/>
  <c r="V137" i="6"/>
  <c r="T137" i="6"/>
  <c r="R137" i="6"/>
  <c r="P137" i="6"/>
  <c r="N137" i="6"/>
  <c r="L137" i="6"/>
  <c r="AC136" i="6"/>
  <c r="AB136" i="6"/>
  <c r="AA136" i="6"/>
  <c r="Z136" i="6"/>
  <c r="Y136" i="6"/>
  <c r="X136" i="6"/>
  <c r="V136" i="6"/>
  <c r="T136" i="6"/>
  <c r="R136" i="6"/>
  <c r="P136" i="6"/>
  <c r="N136" i="6"/>
  <c r="L136" i="6"/>
  <c r="AC135" i="6"/>
  <c r="AB135" i="6"/>
  <c r="AA135" i="6"/>
  <c r="Z135" i="6"/>
  <c r="Y135" i="6"/>
  <c r="X135" i="6"/>
  <c r="V135" i="6"/>
  <c r="T135" i="6"/>
  <c r="R135" i="6"/>
  <c r="P135" i="6"/>
  <c r="N135" i="6"/>
  <c r="L135" i="6"/>
  <c r="AC134" i="6"/>
  <c r="AB134" i="6"/>
  <c r="AA134" i="6"/>
  <c r="Z134" i="6"/>
  <c r="Y134" i="6"/>
  <c r="X134" i="6"/>
  <c r="V134" i="6"/>
  <c r="T134" i="6"/>
  <c r="R134" i="6"/>
  <c r="P134" i="6"/>
  <c r="N134" i="6"/>
  <c r="L134" i="6"/>
  <c r="AC133" i="6"/>
  <c r="AB133" i="6"/>
  <c r="AA133" i="6"/>
  <c r="Z133" i="6"/>
  <c r="Y133" i="6"/>
  <c r="X133" i="6"/>
  <c r="V133" i="6"/>
  <c r="T133" i="6"/>
  <c r="R133" i="6"/>
  <c r="P133" i="6"/>
  <c r="N133" i="6"/>
  <c r="L133" i="6"/>
  <c r="AC132" i="6"/>
  <c r="AB132" i="6"/>
  <c r="AA132" i="6"/>
  <c r="Z132" i="6"/>
  <c r="Y132" i="6"/>
  <c r="X132" i="6"/>
  <c r="V132" i="6"/>
  <c r="T132" i="6"/>
  <c r="R132" i="6"/>
  <c r="P132" i="6"/>
  <c r="N132" i="6"/>
  <c r="L132" i="6"/>
  <c r="AC131" i="6"/>
  <c r="AB131" i="6"/>
  <c r="AA131" i="6"/>
  <c r="Z131" i="6"/>
  <c r="Y131" i="6"/>
  <c r="X131" i="6"/>
  <c r="V131" i="6"/>
  <c r="T131" i="6"/>
  <c r="R131" i="6"/>
  <c r="P131" i="6"/>
  <c r="N131" i="6"/>
  <c r="L131" i="6"/>
  <c r="AC130" i="6"/>
  <c r="AB130" i="6"/>
  <c r="AA130" i="6"/>
  <c r="Z130" i="6"/>
  <c r="Y130" i="6"/>
  <c r="X130" i="6"/>
  <c r="V130" i="6"/>
  <c r="T130" i="6"/>
  <c r="R130" i="6"/>
  <c r="P130" i="6"/>
  <c r="N130" i="6"/>
  <c r="L130" i="6"/>
  <c r="AC129" i="6"/>
  <c r="AB129" i="6"/>
  <c r="AA129" i="6"/>
  <c r="Z129" i="6"/>
  <c r="Y129" i="6"/>
  <c r="X129" i="6"/>
  <c r="V129" i="6"/>
  <c r="T129" i="6"/>
  <c r="R129" i="6"/>
  <c r="P129" i="6"/>
  <c r="N129" i="6"/>
  <c r="L129" i="6"/>
  <c r="AC128" i="6"/>
  <c r="AB128" i="6"/>
  <c r="AA128" i="6"/>
  <c r="Z128" i="6"/>
  <c r="Y128" i="6"/>
  <c r="X128" i="6"/>
  <c r="V128" i="6"/>
  <c r="T128" i="6"/>
  <c r="R128" i="6"/>
  <c r="P128" i="6"/>
  <c r="N128" i="6"/>
  <c r="L128" i="6"/>
  <c r="AC127" i="6"/>
  <c r="AB127" i="6"/>
  <c r="AA127" i="6"/>
  <c r="Z127" i="6"/>
  <c r="Y127" i="6"/>
  <c r="X127" i="6"/>
  <c r="V127" i="6"/>
  <c r="T127" i="6"/>
  <c r="R127" i="6"/>
  <c r="P127" i="6"/>
  <c r="N127" i="6"/>
  <c r="L127" i="6"/>
  <c r="AC126" i="6"/>
  <c r="AB126" i="6"/>
  <c r="AA126" i="6"/>
  <c r="Z126" i="6"/>
  <c r="Y126" i="6"/>
  <c r="X126" i="6"/>
  <c r="V126" i="6"/>
  <c r="T126" i="6"/>
  <c r="R126" i="6"/>
  <c r="P126" i="6"/>
  <c r="N126" i="6"/>
  <c r="L126" i="6"/>
  <c r="AC125" i="6"/>
  <c r="AB125" i="6"/>
  <c r="AA125" i="6"/>
  <c r="Z125" i="6"/>
  <c r="Y125" i="6"/>
  <c r="X125" i="6"/>
  <c r="V125" i="6"/>
  <c r="T125" i="6"/>
  <c r="R125" i="6"/>
  <c r="P125" i="6"/>
  <c r="N125" i="6"/>
  <c r="L125" i="6"/>
  <c r="AC124" i="6"/>
  <c r="AB124" i="6"/>
  <c r="AA124" i="6"/>
  <c r="Z124" i="6"/>
  <c r="Y124" i="6"/>
  <c r="X124" i="6"/>
  <c r="V124" i="6"/>
  <c r="T124" i="6"/>
  <c r="R124" i="6"/>
  <c r="P124" i="6"/>
  <c r="N124" i="6"/>
  <c r="L124" i="6"/>
  <c r="AC123" i="6"/>
  <c r="AB123" i="6"/>
  <c r="AA123" i="6"/>
  <c r="Z123" i="6"/>
  <c r="Y123" i="6"/>
  <c r="X123" i="6"/>
  <c r="V123" i="6"/>
  <c r="T123" i="6"/>
  <c r="R123" i="6"/>
  <c r="P123" i="6"/>
  <c r="N123" i="6"/>
  <c r="L123" i="6"/>
  <c r="AC122" i="6"/>
  <c r="AB122" i="6"/>
  <c r="AA122" i="6"/>
  <c r="Z122" i="6"/>
  <c r="Y122" i="6"/>
  <c r="X122" i="6"/>
  <c r="V122" i="6"/>
  <c r="T122" i="6"/>
  <c r="R122" i="6"/>
  <c r="P122" i="6"/>
  <c r="N122" i="6"/>
  <c r="L122" i="6"/>
  <c r="AC121" i="6"/>
  <c r="AB121" i="6"/>
  <c r="AA121" i="6"/>
  <c r="Z121" i="6"/>
  <c r="Y121" i="6"/>
  <c r="X121" i="6"/>
  <c r="V121" i="6"/>
  <c r="T121" i="6"/>
  <c r="R121" i="6"/>
  <c r="P121" i="6"/>
  <c r="N121" i="6"/>
  <c r="L121" i="6"/>
  <c r="AC120" i="6"/>
  <c r="AB120" i="6"/>
  <c r="AA120" i="6"/>
  <c r="Z120" i="6"/>
  <c r="Y120" i="6"/>
  <c r="X120" i="6"/>
  <c r="V120" i="6"/>
  <c r="T120" i="6"/>
  <c r="R120" i="6"/>
  <c r="P120" i="6"/>
  <c r="N120" i="6"/>
  <c r="L120" i="6"/>
  <c r="AC119" i="6"/>
  <c r="AB119" i="6"/>
  <c r="AA119" i="6"/>
  <c r="Z119" i="6"/>
  <c r="Y119" i="6"/>
  <c r="X119" i="6"/>
  <c r="V119" i="6"/>
  <c r="T119" i="6"/>
  <c r="R119" i="6"/>
  <c r="P119" i="6"/>
  <c r="N119" i="6"/>
  <c r="L119" i="6"/>
  <c r="AC118" i="6"/>
  <c r="AB118" i="6"/>
  <c r="AA118" i="6"/>
  <c r="Z118" i="6"/>
  <c r="Y118" i="6"/>
  <c r="X118" i="6"/>
  <c r="V118" i="6"/>
  <c r="T118" i="6"/>
  <c r="R118" i="6"/>
  <c r="P118" i="6"/>
  <c r="N118" i="6"/>
  <c r="L118" i="6"/>
  <c r="AC117" i="6"/>
  <c r="AB117" i="6"/>
  <c r="AA117" i="6"/>
  <c r="Z117" i="6"/>
  <c r="Y117" i="6"/>
  <c r="X117" i="6"/>
  <c r="V117" i="6"/>
  <c r="T117" i="6"/>
  <c r="R117" i="6"/>
  <c r="P117" i="6"/>
  <c r="N117" i="6"/>
  <c r="L117" i="6"/>
  <c r="AC116" i="6"/>
  <c r="AB116" i="6"/>
  <c r="AA116" i="6"/>
  <c r="Z116" i="6"/>
  <c r="Y116" i="6"/>
  <c r="X116" i="6"/>
  <c r="V116" i="6"/>
  <c r="T116" i="6"/>
  <c r="R116" i="6"/>
  <c r="P116" i="6"/>
  <c r="N116" i="6"/>
  <c r="L116" i="6"/>
  <c r="AC115" i="6"/>
  <c r="AB115" i="6"/>
  <c r="AA115" i="6"/>
  <c r="Z115" i="6"/>
  <c r="Y115" i="6"/>
  <c r="X115" i="6"/>
  <c r="V115" i="6"/>
  <c r="T115" i="6"/>
  <c r="R115" i="6"/>
  <c r="P115" i="6"/>
  <c r="N115" i="6"/>
  <c r="L115" i="6"/>
  <c r="AC114" i="6"/>
  <c r="AB114" i="6"/>
  <c r="AA114" i="6"/>
  <c r="Z114" i="6"/>
  <c r="Y114" i="6"/>
  <c r="X114" i="6"/>
  <c r="V114" i="6"/>
  <c r="T114" i="6"/>
  <c r="R114" i="6"/>
  <c r="P114" i="6"/>
  <c r="N114" i="6"/>
  <c r="L114" i="6"/>
  <c r="AC113" i="6"/>
  <c r="AB113" i="6"/>
  <c r="AA113" i="6"/>
  <c r="Z113" i="6"/>
  <c r="Y113" i="6"/>
  <c r="X113" i="6"/>
  <c r="V113" i="6"/>
  <c r="T113" i="6"/>
  <c r="R113" i="6"/>
  <c r="P113" i="6"/>
  <c r="N113" i="6"/>
  <c r="L113" i="6"/>
  <c r="AC112" i="6"/>
  <c r="AB112" i="6"/>
  <c r="AA112" i="6"/>
  <c r="Z112" i="6"/>
  <c r="Y112" i="6"/>
  <c r="X112" i="6"/>
  <c r="V112" i="6"/>
  <c r="T112" i="6"/>
  <c r="R112" i="6"/>
  <c r="P112" i="6"/>
  <c r="N112" i="6"/>
  <c r="L112" i="6"/>
  <c r="AC111" i="6"/>
  <c r="AB111" i="6"/>
  <c r="AA111" i="6"/>
  <c r="Z111" i="6"/>
  <c r="Y111" i="6"/>
  <c r="X111" i="6"/>
  <c r="V111" i="6"/>
  <c r="T111" i="6"/>
  <c r="R111" i="6"/>
  <c r="P111" i="6"/>
  <c r="N111" i="6"/>
  <c r="L111" i="6"/>
  <c r="AC110" i="6"/>
  <c r="AB110" i="6"/>
  <c r="AA110" i="6"/>
  <c r="Z110" i="6"/>
  <c r="Y110" i="6"/>
  <c r="X110" i="6"/>
  <c r="V110" i="6"/>
  <c r="T110" i="6"/>
  <c r="R110" i="6"/>
  <c r="P110" i="6"/>
  <c r="N110" i="6"/>
  <c r="L110" i="6"/>
  <c r="AC109" i="6"/>
  <c r="AB109" i="6"/>
  <c r="AA109" i="6"/>
  <c r="Z109" i="6"/>
  <c r="Y109" i="6"/>
  <c r="X109" i="6"/>
  <c r="V109" i="6"/>
  <c r="T109" i="6"/>
  <c r="R109" i="6"/>
  <c r="P109" i="6"/>
  <c r="N109" i="6"/>
  <c r="L109" i="6"/>
  <c r="AC108" i="6"/>
  <c r="AB108" i="6"/>
  <c r="AA108" i="6"/>
  <c r="Z108" i="6"/>
  <c r="Y108" i="6"/>
  <c r="X108" i="6"/>
  <c r="V108" i="6"/>
  <c r="T108" i="6"/>
  <c r="R108" i="6"/>
  <c r="P108" i="6"/>
  <c r="N108" i="6"/>
  <c r="L108" i="6"/>
  <c r="AC107" i="6"/>
  <c r="AB107" i="6"/>
  <c r="AA107" i="6"/>
  <c r="Z107" i="6"/>
  <c r="Y107" i="6"/>
  <c r="X107" i="6"/>
  <c r="V107" i="6"/>
  <c r="T107" i="6"/>
  <c r="R107" i="6"/>
  <c r="P107" i="6"/>
  <c r="N107" i="6"/>
  <c r="L107" i="6"/>
  <c r="AC106" i="6"/>
  <c r="AB106" i="6"/>
  <c r="AA106" i="6"/>
  <c r="Z106" i="6"/>
  <c r="Y106" i="6"/>
  <c r="X106" i="6"/>
  <c r="V106" i="6"/>
  <c r="T106" i="6"/>
  <c r="R106" i="6"/>
  <c r="P106" i="6"/>
  <c r="N106" i="6"/>
  <c r="L106" i="6"/>
  <c r="AC105" i="6"/>
  <c r="AB105" i="6"/>
  <c r="AA105" i="6"/>
  <c r="Z105" i="6"/>
  <c r="Y105" i="6"/>
  <c r="X105" i="6"/>
  <c r="V105" i="6"/>
  <c r="T105" i="6"/>
  <c r="R105" i="6"/>
  <c r="P105" i="6"/>
  <c r="N105" i="6"/>
  <c r="L105" i="6"/>
  <c r="AC104" i="6"/>
  <c r="AB104" i="6"/>
  <c r="AA104" i="6"/>
  <c r="Z104" i="6"/>
  <c r="Y104" i="6"/>
  <c r="X104" i="6"/>
  <c r="V104" i="6"/>
  <c r="T104" i="6"/>
  <c r="R104" i="6"/>
  <c r="P104" i="6"/>
  <c r="N104" i="6"/>
  <c r="L104" i="6"/>
  <c r="AC103" i="6"/>
  <c r="AB103" i="6"/>
  <c r="AA103" i="6"/>
  <c r="Z103" i="6"/>
  <c r="Y103" i="6"/>
  <c r="X103" i="6"/>
  <c r="V103" i="6"/>
  <c r="T103" i="6"/>
  <c r="R103" i="6"/>
  <c r="P103" i="6"/>
  <c r="N103" i="6"/>
  <c r="L103" i="6"/>
  <c r="AC102" i="6"/>
  <c r="AB102" i="6"/>
  <c r="AA102" i="6"/>
  <c r="Z102" i="6"/>
  <c r="Y102" i="6"/>
  <c r="X102" i="6"/>
  <c r="V102" i="6"/>
  <c r="T102" i="6"/>
  <c r="R102" i="6"/>
  <c r="P102" i="6"/>
  <c r="N102" i="6"/>
  <c r="L102" i="6"/>
  <c r="AC101" i="6"/>
  <c r="AB101" i="6"/>
  <c r="AA101" i="6"/>
  <c r="Z101" i="6"/>
  <c r="Y101" i="6"/>
  <c r="X101" i="6"/>
  <c r="V101" i="6"/>
  <c r="T101" i="6"/>
  <c r="R101" i="6"/>
  <c r="P101" i="6"/>
  <c r="N101" i="6"/>
  <c r="L101" i="6"/>
  <c r="AC100" i="6"/>
  <c r="AB100" i="6"/>
  <c r="AA100" i="6"/>
  <c r="Z100" i="6"/>
  <c r="Y100" i="6"/>
  <c r="X100" i="6"/>
  <c r="V100" i="6"/>
  <c r="T100" i="6"/>
  <c r="R100" i="6"/>
  <c r="P100" i="6"/>
  <c r="N100" i="6"/>
  <c r="L100" i="6"/>
  <c r="AC99" i="6"/>
  <c r="AB99" i="6"/>
  <c r="AA99" i="6"/>
  <c r="Z99" i="6"/>
  <c r="Y99" i="6"/>
  <c r="X99" i="6"/>
  <c r="V99" i="6"/>
  <c r="T99" i="6"/>
  <c r="R99" i="6"/>
  <c r="P99" i="6"/>
  <c r="N99" i="6"/>
  <c r="L99" i="6"/>
  <c r="AC98" i="6"/>
  <c r="AB98" i="6"/>
  <c r="AA98" i="6"/>
  <c r="Z98" i="6"/>
  <c r="Y98" i="6"/>
  <c r="X98" i="6"/>
  <c r="V98" i="6"/>
  <c r="T98" i="6"/>
  <c r="R98" i="6"/>
  <c r="P98" i="6"/>
  <c r="N98" i="6"/>
  <c r="L98" i="6"/>
  <c r="AC97" i="6"/>
  <c r="AB97" i="6"/>
  <c r="AA97" i="6"/>
  <c r="Z97" i="6"/>
  <c r="Y97" i="6"/>
  <c r="X97" i="6"/>
  <c r="V97" i="6"/>
  <c r="T97" i="6"/>
  <c r="R97" i="6"/>
  <c r="P97" i="6"/>
  <c r="N97" i="6"/>
  <c r="L97" i="6"/>
  <c r="AC96" i="6"/>
  <c r="AB96" i="6"/>
  <c r="AA96" i="6"/>
  <c r="Z96" i="6"/>
  <c r="Y96" i="6"/>
  <c r="X96" i="6"/>
  <c r="V96" i="6"/>
  <c r="T96" i="6"/>
  <c r="R96" i="6"/>
  <c r="P96" i="6"/>
  <c r="N96" i="6"/>
  <c r="L96" i="6"/>
  <c r="AC95" i="6"/>
  <c r="AB95" i="6"/>
  <c r="AA95" i="6"/>
  <c r="Z95" i="6"/>
  <c r="Y95" i="6"/>
  <c r="X95" i="6"/>
  <c r="V95" i="6"/>
  <c r="T95" i="6"/>
  <c r="R95" i="6"/>
  <c r="P95" i="6"/>
  <c r="N95" i="6"/>
  <c r="L95" i="6"/>
  <c r="AC94" i="6"/>
  <c r="AB94" i="6"/>
  <c r="AA94" i="6"/>
  <c r="Z94" i="6"/>
  <c r="Y94" i="6"/>
  <c r="X94" i="6"/>
  <c r="V94" i="6"/>
  <c r="T94" i="6"/>
  <c r="R94" i="6"/>
  <c r="P94" i="6"/>
  <c r="N94" i="6"/>
  <c r="L94" i="6"/>
  <c r="AC93" i="6"/>
  <c r="AB93" i="6"/>
  <c r="AA93" i="6"/>
  <c r="Z93" i="6"/>
  <c r="Y93" i="6"/>
  <c r="X93" i="6"/>
  <c r="V93" i="6"/>
  <c r="T93" i="6"/>
  <c r="R93" i="6"/>
  <c r="P93" i="6"/>
  <c r="N93" i="6"/>
  <c r="L93" i="6"/>
  <c r="AC92" i="6"/>
  <c r="AB92" i="6"/>
  <c r="AA92" i="6"/>
  <c r="Z92" i="6"/>
  <c r="Y92" i="6"/>
  <c r="X92" i="6"/>
  <c r="V92" i="6"/>
  <c r="T92" i="6"/>
  <c r="R92" i="6"/>
  <c r="P92" i="6"/>
  <c r="N92" i="6"/>
  <c r="L92" i="6"/>
  <c r="AC91" i="6"/>
  <c r="AB91" i="6"/>
  <c r="AA91" i="6"/>
  <c r="Z91" i="6"/>
  <c r="Y91" i="6"/>
  <c r="X91" i="6"/>
  <c r="V91" i="6"/>
  <c r="T91" i="6"/>
  <c r="R91" i="6"/>
  <c r="P91" i="6"/>
  <c r="N91" i="6"/>
  <c r="L91" i="6"/>
  <c r="AC90" i="6"/>
  <c r="AB90" i="6"/>
  <c r="AA90" i="6"/>
  <c r="Z90" i="6"/>
  <c r="Y90" i="6"/>
  <c r="X90" i="6"/>
  <c r="V90" i="6"/>
  <c r="T90" i="6"/>
  <c r="R90" i="6"/>
  <c r="P90" i="6"/>
  <c r="N90" i="6"/>
  <c r="L90" i="6"/>
  <c r="AC89" i="6"/>
  <c r="AB89" i="6"/>
  <c r="AA89" i="6"/>
  <c r="Z89" i="6"/>
  <c r="Y89" i="6"/>
  <c r="X89" i="6"/>
  <c r="V89" i="6"/>
  <c r="T89" i="6"/>
  <c r="R89" i="6"/>
  <c r="P89" i="6"/>
  <c r="N89" i="6"/>
  <c r="L89" i="6"/>
  <c r="AC88" i="6"/>
  <c r="AB88" i="6"/>
  <c r="AA88" i="6"/>
  <c r="Z88" i="6"/>
  <c r="Y88" i="6"/>
  <c r="X88" i="6"/>
  <c r="V88" i="6"/>
  <c r="T88" i="6"/>
  <c r="R88" i="6"/>
  <c r="P88" i="6"/>
  <c r="N88" i="6"/>
  <c r="L88" i="6"/>
  <c r="AC87" i="6"/>
  <c r="AB87" i="6"/>
  <c r="AA87" i="6"/>
  <c r="Z87" i="6"/>
  <c r="Y87" i="6"/>
  <c r="X87" i="6"/>
  <c r="V87" i="6"/>
  <c r="T87" i="6"/>
  <c r="R87" i="6"/>
  <c r="P87" i="6"/>
  <c r="N87" i="6"/>
  <c r="L87" i="6"/>
  <c r="AC86" i="6"/>
  <c r="AB86" i="6"/>
  <c r="AA86" i="6"/>
  <c r="Z86" i="6"/>
  <c r="Y86" i="6"/>
  <c r="X86" i="6"/>
  <c r="V86" i="6"/>
  <c r="T86" i="6"/>
  <c r="R86" i="6"/>
  <c r="P86" i="6"/>
  <c r="N86" i="6"/>
  <c r="L86" i="6"/>
  <c r="AC85" i="6"/>
  <c r="AB85" i="6"/>
  <c r="AA85" i="6"/>
  <c r="Z85" i="6"/>
  <c r="Y85" i="6"/>
  <c r="X85" i="6"/>
  <c r="V85" i="6"/>
  <c r="T85" i="6"/>
  <c r="R85" i="6"/>
  <c r="P85" i="6"/>
  <c r="N85" i="6"/>
  <c r="L85" i="6"/>
  <c r="AC84" i="6"/>
  <c r="AB84" i="6"/>
  <c r="AA84" i="6"/>
  <c r="Z84" i="6"/>
  <c r="Y84" i="6"/>
  <c r="X84" i="6"/>
  <c r="V84" i="6"/>
  <c r="T84" i="6"/>
  <c r="R84" i="6"/>
  <c r="P84" i="6"/>
  <c r="N84" i="6"/>
  <c r="L84" i="6"/>
  <c r="AC83" i="6"/>
  <c r="AB83" i="6"/>
  <c r="AA83" i="6"/>
  <c r="Z83" i="6"/>
  <c r="Y83" i="6"/>
  <c r="X83" i="6"/>
  <c r="V83" i="6"/>
  <c r="T83" i="6"/>
  <c r="R83" i="6"/>
  <c r="P83" i="6"/>
  <c r="N83" i="6"/>
  <c r="L83" i="6"/>
  <c r="AC82" i="6"/>
  <c r="AB82" i="6"/>
  <c r="AA82" i="6"/>
  <c r="Z82" i="6"/>
  <c r="Y82" i="6"/>
  <c r="X82" i="6"/>
  <c r="V82" i="6"/>
  <c r="T82" i="6"/>
  <c r="R82" i="6"/>
  <c r="P82" i="6"/>
  <c r="N82" i="6"/>
  <c r="L82" i="6"/>
  <c r="AC81" i="6"/>
  <c r="AB81" i="6"/>
  <c r="AA81" i="6"/>
  <c r="Z81" i="6"/>
  <c r="Y81" i="6"/>
  <c r="X81" i="6"/>
  <c r="V81" i="6"/>
  <c r="T81" i="6"/>
  <c r="R81" i="6"/>
  <c r="P81" i="6"/>
  <c r="N81" i="6"/>
  <c r="L81" i="6"/>
  <c r="AC80" i="6"/>
  <c r="AB80" i="6"/>
  <c r="AA80" i="6"/>
  <c r="Z80" i="6"/>
  <c r="Y80" i="6"/>
  <c r="X80" i="6"/>
  <c r="V80" i="6"/>
  <c r="T80" i="6"/>
  <c r="R80" i="6"/>
  <c r="P80" i="6"/>
  <c r="N80" i="6"/>
  <c r="L80" i="6"/>
  <c r="AC79" i="6"/>
  <c r="AB79" i="6"/>
  <c r="AA79" i="6"/>
  <c r="Z79" i="6"/>
  <c r="Y79" i="6"/>
  <c r="X79" i="6"/>
  <c r="V79" i="6"/>
  <c r="T79" i="6"/>
  <c r="R79" i="6"/>
  <c r="P79" i="6"/>
  <c r="N79" i="6"/>
  <c r="L79" i="6"/>
  <c r="AC78" i="6"/>
  <c r="AB78" i="6"/>
  <c r="AA78" i="6"/>
  <c r="Z78" i="6"/>
  <c r="Y78" i="6"/>
  <c r="X78" i="6"/>
  <c r="V78" i="6"/>
  <c r="T78" i="6"/>
  <c r="R78" i="6"/>
  <c r="P78" i="6"/>
  <c r="N78" i="6"/>
  <c r="L78" i="6"/>
  <c r="AC77" i="6"/>
  <c r="AB77" i="6"/>
  <c r="AA77" i="6"/>
  <c r="Z77" i="6"/>
  <c r="Y77" i="6"/>
  <c r="X77" i="6"/>
  <c r="V77" i="6"/>
  <c r="T77" i="6"/>
  <c r="R77" i="6"/>
  <c r="P77" i="6"/>
  <c r="N77" i="6"/>
  <c r="L77" i="6"/>
  <c r="AC76" i="6"/>
  <c r="AB76" i="6"/>
  <c r="AA76" i="6"/>
  <c r="Z76" i="6"/>
  <c r="Y76" i="6"/>
  <c r="X76" i="6"/>
  <c r="V76" i="6"/>
  <c r="T76" i="6"/>
  <c r="R76" i="6"/>
  <c r="P76" i="6"/>
  <c r="N76" i="6"/>
  <c r="L76" i="6"/>
  <c r="AC75" i="6"/>
  <c r="AB75" i="6"/>
  <c r="AA75" i="6"/>
  <c r="Z75" i="6"/>
  <c r="Y75" i="6"/>
  <c r="X75" i="6"/>
  <c r="V75" i="6"/>
  <c r="T75" i="6"/>
  <c r="R75" i="6"/>
  <c r="P75" i="6"/>
  <c r="N75" i="6"/>
  <c r="L75" i="6"/>
  <c r="AC74" i="6"/>
  <c r="AB74" i="6"/>
  <c r="AA74" i="6"/>
  <c r="Z74" i="6"/>
  <c r="Y74" i="6"/>
  <c r="X74" i="6"/>
  <c r="V74" i="6"/>
  <c r="T74" i="6"/>
  <c r="R74" i="6"/>
  <c r="P74" i="6"/>
  <c r="N74" i="6"/>
  <c r="L74" i="6"/>
  <c r="AC73" i="6"/>
  <c r="AB73" i="6"/>
  <c r="AA73" i="6"/>
  <c r="Z73" i="6"/>
  <c r="Y73" i="6"/>
  <c r="X73" i="6"/>
  <c r="V73" i="6"/>
  <c r="T73" i="6"/>
  <c r="R73" i="6"/>
  <c r="P73" i="6"/>
  <c r="N73" i="6"/>
  <c r="L73" i="6"/>
  <c r="AC72" i="6"/>
  <c r="AB72" i="6"/>
  <c r="AA72" i="6"/>
  <c r="Z72" i="6"/>
  <c r="Y72" i="6"/>
  <c r="X72" i="6"/>
  <c r="V72" i="6"/>
  <c r="T72" i="6"/>
  <c r="R72" i="6"/>
  <c r="P72" i="6"/>
  <c r="N72" i="6"/>
  <c r="L72" i="6"/>
  <c r="AC71" i="6"/>
  <c r="AB71" i="6"/>
  <c r="AA71" i="6"/>
  <c r="Z71" i="6"/>
  <c r="Y71" i="6"/>
  <c r="X71" i="6"/>
  <c r="V71" i="6"/>
  <c r="T71" i="6"/>
  <c r="R71" i="6"/>
  <c r="P71" i="6"/>
  <c r="N71" i="6"/>
  <c r="L71" i="6"/>
  <c r="AC70" i="6"/>
  <c r="AB70" i="6"/>
  <c r="AA70" i="6"/>
  <c r="Z70" i="6"/>
  <c r="Y70" i="6"/>
  <c r="X70" i="6"/>
  <c r="V70" i="6"/>
  <c r="T70" i="6"/>
  <c r="R70" i="6"/>
  <c r="P70" i="6"/>
  <c r="N70" i="6"/>
  <c r="L70" i="6"/>
  <c r="AC69" i="6"/>
  <c r="AB69" i="6"/>
  <c r="AA69" i="6"/>
  <c r="Z69" i="6"/>
  <c r="Y69" i="6"/>
  <c r="X69" i="6"/>
  <c r="V69" i="6"/>
  <c r="T69" i="6"/>
  <c r="R69" i="6"/>
  <c r="P69" i="6"/>
  <c r="N69" i="6"/>
  <c r="L69" i="6"/>
  <c r="AC68" i="6"/>
  <c r="AB68" i="6"/>
  <c r="AA68" i="6"/>
  <c r="Z68" i="6"/>
  <c r="Y68" i="6"/>
  <c r="X68" i="6"/>
  <c r="V68" i="6"/>
  <c r="T68" i="6"/>
  <c r="R68" i="6"/>
  <c r="P68" i="6"/>
  <c r="N68" i="6"/>
  <c r="L68" i="6"/>
  <c r="AC67" i="6"/>
  <c r="AB67" i="6"/>
  <c r="AA67" i="6"/>
  <c r="Z67" i="6"/>
  <c r="Y67" i="6"/>
  <c r="X67" i="6"/>
  <c r="V67" i="6"/>
  <c r="T67" i="6"/>
  <c r="R67" i="6"/>
  <c r="P67" i="6"/>
  <c r="N67" i="6"/>
  <c r="L67" i="6"/>
  <c r="AC66" i="6"/>
  <c r="AB66" i="6"/>
  <c r="AA66" i="6"/>
  <c r="Z66" i="6"/>
  <c r="Y66" i="6"/>
  <c r="X66" i="6"/>
  <c r="V66" i="6"/>
  <c r="T66" i="6"/>
  <c r="R66" i="6"/>
  <c r="P66" i="6"/>
  <c r="N66" i="6"/>
  <c r="L66" i="6"/>
  <c r="AC65" i="6"/>
  <c r="AB65" i="6"/>
  <c r="AA65" i="6"/>
  <c r="Z65" i="6"/>
  <c r="Y65" i="6"/>
  <c r="X65" i="6"/>
  <c r="V65" i="6"/>
  <c r="T65" i="6"/>
  <c r="R65" i="6"/>
  <c r="P65" i="6"/>
  <c r="N65" i="6"/>
  <c r="L65" i="6"/>
  <c r="AC64" i="6"/>
  <c r="AB64" i="6"/>
  <c r="AA64" i="6"/>
  <c r="Z64" i="6"/>
  <c r="Y64" i="6"/>
  <c r="X64" i="6"/>
  <c r="V64" i="6"/>
  <c r="T64" i="6"/>
  <c r="R64" i="6"/>
  <c r="P64" i="6"/>
  <c r="N64" i="6"/>
  <c r="L64" i="6"/>
  <c r="AC63" i="6"/>
  <c r="AB63" i="6"/>
  <c r="AA63" i="6"/>
  <c r="Z63" i="6"/>
  <c r="Y63" i="6"/>
  <c r="X63" i="6"/>
  <c r="V63" i="6"/>
  <c r="T63" i="6"/>
  <c r="R63" i="6"/>
  <c r="P63" i="6"/>
  <c r="N63" i="6"/>
  <c r="L63" i="6"/>
  <c r="AC62" i="6"/>
  <c r="AB62" i="6"/>
  <c r="AA62" i="6"/>
  <c r="Z62" i="6"/>
  <c r="Y62" i="6"/>
  <c r="X62" i="6"/>
  <c r="V62" i="6"/>
  <c r="T62" i="6"/>
  <c r="R62" i="6"/>
  <c r="P62" i="6"/>
  <c r="N62" i="6"/>
  <c r="L62" i="6"/>
  <c r="AC61" i="6"/>
  <c r="AB61" i="6"/>
  <c r="AA61" i="6"/>
  <c r="Z61" i="6"/>
  <c r="Y61" i="6"/>
  <c r="X61" i="6"/>
  <c r="V61" i="6"/>
  <c r="T61" i="6"/>
  <c r="R61" i="6"/>
  <c r="P61" i="6"/>
  <c r="N61" i="6"/>
  <c r="L61" i="6"/>
  <c r="AC60" i="6"/>
  <c r="AB60" i="6"/>
  <c r="AA60" i="6"/>
  <c r="Z60" i="6"/>
  <c r="Y60" i="6"/>
  <c r="X60" i="6"/>
  <c r="V60" i="6"/>
  <c r="T60" i="6"/>
  <c r="R60" i="6"/>
  <c r="P60" i="6"/>
  <c r="N60" i="6"/>
  <c r="L60" i="6"/>
  <c r="AC59" i="6"/>
  <c r="AB59" i="6"/>
  <c r="AA59" i="6"/>
  <c r="Z59" i="6"/>
  <c r="Y59" i="6"/>
  <c r="X59" i="6"/>
  <c r="V59" i="6"/>
  <c r="T59" i="6"/>
  <c r="R59" i="6"/>
  <c r="P59" i="6"/>
  <c r="N59" i="6"/>
  <c r="L59" i="6"/>
  <c r="AC58" i="6"/>
  <c r="AB58" i="6"/>
  <c r="AA58" i="6"/>
  <c r="Z58" i="6"/>
  <c r="Y58" i="6"/>
  <c r="X58" i="6"/>
  <c r="V58" i="6"/>
  <c r="T58" i="6"/>
  <c r="R58" i="6"/>
  <c r="P58" i="6"/>
  <c r="N58" i="6"/>
  <c r="L58" i="6"/>
  <c r="AC57" i="6"/>
  <c r="AB57" i="6"/>
  <c r="AA57" i="6"/>
  <c r="Z57" i="6"/>
  <c r="Y57" i="6"/>
  <c r="X57" i="6"/>
  <c r="V57" i="6"/>
  <c r="T57" i="6"/>
  <c r="R57" i="6"/>
  <c r="P57" i="6"/>
  <c r="N57" i="6"/>
  <c r="L57" i="6"/>
  <c r="AC56" i="6"/>
  <c r="AB56" i="6"/>
  <c r="AA56" i="6"/>
  <c r="Z56" i="6"/>
  <c r="Y56" i="6"/>
  <c r="X56" i="6"/>
  <c r="V56" i="6"/>
  <c r="T56" i="6"/>
  <c r="R56" i="6"/>
  <c r="P56" i="6"/>
  <c r="N56" i="6"/>
  <c r="L56" i="6"/>
  <c r="AC55" i="6"/>
  <c r="AB55" i="6"/>
  <c r="AA55" i="6"/>
  <c r="Z55" i="6"/>
  <c r="Y55" i="6"/>
  <c r="X55" i="6"/>
  <c r="V55" i="6"/>
  <c r="T55" i="6"/>
  <c r="R55" i="6"/>
  <c r="P55" i="6"/>
  <c r="N55" i="6"/>
  <c r="L55" i="6"/>
  <c r="AC54" i="6"/>
  <c r="AB54" i="6"/>
  <c r="AA54" i="6"/>
  <c r="Z54" i="6"/>
  <c r="Y54" i="6"/>
  <c r="X54" i="6"/>
  <c r="V54" i="6"/>
  <c r="T54" i="6"/>
  <c r="R54" i="6"/>
  <c r="P54" i="6"/>
  <c r="N54" i="6"/>
  <c r="L54" i="6"/>
  <c r="AC53" i="6"/>
  <c r="AB53" i="6"/>
  <c r="AA53" i="6"/>
  <c r="Z53" i="6"/>
  <c r="Y53" i="6"/>
  <c r="X53" i="6"/>
  <c r="V53" i="6"/>
  <c r="T53" i="6"/>
  <c r="R53" i="6"/>
  <c r="P53" i="6"/>
  <c r="N53" i="6"/>
  <c r="L53" i="6"/>
  <c r="AC52" i="6"/>
  <c r="AB52" i="6"/>
  <c r="AA52" i="6"/>
  <c r="Z52" i="6"/>
  <c r="Y52" i="6"/>
  <c r="X52" i="6"/>
  <c r="V52" i="6"/>
  <c r="T52" i="6"/>
  <c r="R52" i="6"/>
  <c r="P52" i="6"/>
  <c r="N52" i="6"/>
  <c r="L52" i="6"/>
  <c r="AC51" i="6"/>
  <c r="AB51" i="6"/>
  <c r="AA51" i="6"/>
  <c r="Z51" i="6"/>
  <c r="Y51" i="6"/>
  <c r="X51" i="6"/>
  <c r="V51" i="6"/>
  <c r="T51" i="6"/>
  <c r="R51" i="6"/>
  <c r="P51" i="6"/>
  <c r="N51" i="6"/>
  <c r="L51" i="6"/>
  <c r="AC50" i="6"/>
  <c r="AB50" i="6"/>
  <c r="AA50" i="6"/>
  <c r="Z50" i="6"/>
  <c r="Y50" i="6"/>
  <c r="X50" i="6"/>
  <c r="V50" i="6"/>
  <c r="T50" i="6"/>
  <c r="R50" i="6"/>
  <c r="P50" i="6"/>
  <c r="N50" i="6"/>
  <c r="L50" i="6"/>
  <c r="AC49" i="6"/>
  <c r="AB49" i="6"/>
  <c r="AA49" i="6"/>
  <c r="Z49" i="6"/>
  <c r="Y49" i="6"/>
  <c r="X49" i="6"/>
  <c r="V49" i="6"/>
  <c r="T49" i="6"/>
  <c r="R49" i="6"/>
  <c r="P49" i="6"/>
  <c r="N49" i="6"/>
  <c r="L49" i="6"/>
  <c r="AC48" i="6"/>
  <c r="AB48" i="6"/>
  <c r="AA48" i="6"/>
  <c r="Z48" i="6"/>
  <c r="Y48" i="6"/>
  <c r="X48" i="6"/>
  <c r="V48" i="6"/>
  <c r="T48" i="6"/>
  <c r="R48" i="6"/>
  <c r="P48" i="6"/>
  <c r="N48" i="6"/>
  <c r="L48" i="6"/>
  <c r="AC47" i="6"/>
  <c r="AB47" i="6"/>
  <c r="AA47" i="6"/>
  <c r="Z47" i="6"/>
  <c r="Y47" i="6"/>
  <c r="X47" i="6"/>
  <c r="V47" i="6"/>
  <c r="T47" i="6"/>
  <c r="R47" i="6"/>
  <c r="P47" i="6"/>
  <c r="N47" i="6"/>
  <c r="L47" i="6"/>
  <c r="AC46" i="6"/>
  <c r="AB46" i="6"/>
  <c r="AA46" i="6"/>
  <c r="Z46" i="6"/>
  <c r="Y46" i="6"/>
  <c r="X46" i="6"/>
  <c r="V46" i="6"/>
  <c r="T46" i="6"/>
  <c r="R46" i="6"/>
  <c r="P46" i="6"/>
  <c r="N46" i="6"/>
  <c r="L46" i="6"/>
  <c r="AC45" i="6"/>
  <c r="AB45" i="6"/>
  <c r="AA45" i="6"/>
  <c r="Z45" i="6"/>
  <c r="Y45" i="6"/>
  <c r="X45" i="6"/>
  <c r="V45" i="6"/>
  <c r="T45" i="6"/>
  <c r="R45" i="6"/>
  <c r="P45" i="6"/>
  <c r="N45" i="6"/>
  <c r="L45" i="6"/>
  <c r="AC44" i="6"/>
  <c r="AB44" i="6"/>
  <c r="AA44" i="6"/>
  <c r="Z44" i="6"/>
  <c r="Y44" i="6"/>
  <c r="X44" i="6"/>
  <c r="V44" i="6"/>
  <c r="T44" i="6"/>
  <c r="R44" i="6"/>
  <c r="P44" i="6"/>
  <c r="N44" i="6"/>
  <c r="L44" i="6"/>
  <c r="AC43" i="6"/>
  <c r="AB43" i="6"/>
  <c r="AA43" i="6"/>
  <c r="Z43" i="6"/>
  <c r="Y43" i="6"/>
  <c r="X43" i="6"/>
  <c r="V43" i="6"/>
  <c r="T43" i="6"/>
  <c r="R43" i="6"/>
  <c r="P43" i="6"/>
  <c r="N43" i="6"/>
  <c r="L43" i="6"/>
  <c r="AC42" i="6"/>
  <c r="AB42" i="6"/>
  <c r="AA42" i="6"/>
  <c r="Z42" i="6"/>
  <c r="Y42" i="6"/>
  <c r="X42" i="6"/>
  <c r="V42" i="6"/>
  <c r="T42" i="6"/>
  <c r="R42" i="6"/>
  <c r="P42" i="6"/>
  <c r="N42" i="6"/>
  <c r="L42" i="6"/>
  <c r="AC41" i="6"/>
  <c r="AB41" i="6"/>
  <c r="AA41" i="6"/>
  <c r="Z41" i="6"/>
  <c r="Y41" i="6"/>
  <c r="X41" i="6"/>
  <c r="V41" i="6"/>
  <c r="T41" i="6"/>
  <c r="R41" i="6"/>
  <c r="P41" i="6"/>
  <c r="N41" i="6"/>
  <c r="L41" i="6"/>
  <c r="AC40" i="6"/>
  <c r="AB40" i="6"/>
  <c r="AA40" i="6"/>
  <c r="Z40" i="6"/>
  <c r="Y40" i="6"/>
  <c r="X40" i="6"/>
  <c r="V40" i="6"/>
  <c r="T40" i="6"/>
  <c r="R40" i="6"/>
  <c r="P40" i="6"/>
  <c r="N40" i="6"/>
  <c r="L40" i="6"/>
  <c r="AC39" i="6"/>
  <c r="AB39" i="6"/>
  <c r="AA39" i="6"/>
  <c r="Z39" i="6"/>
  <c r="Y39" i="6"/>
  <c r="X39" i="6"/>
  <c r="V39" i="6"/>
  <c r="T39" i="6"/>
  <c r="R39" i="6"/>
  <c r="P39" i="6"/>
  <c r="N39" i="6"/>
  <c r="L39" i="6"/>
  <c r="AC38" i="6"/>
  <c r="AB38" i="6"/>
  <c r="AA38" i="6"/>
  <c r="Z38" i="6"/>
  <c r="Y38" i="6"/>
  <c r="X38" i="6"/>
  <c r="V38" i="6"/>
  <c r="T38" i="6"/>
  <c r="R38" i="6"/>
  <c r="P38" i="6"/>
  <c r="N38" i="6"/>
  <c r="L38" i="6"/>
  <c r="AC37" i="6"/>
  <c r="AB37" i="6"/>
  <c r="AA37" i="6"/>
  <c r="Z37" i="6"/>
  <c r="Y37" i="6"/>
  <c r="X37" i="6"/>
  <c r="V37" i="6"/>
  <c r="T37" i="6"/>
  <c r="R37" i="6"/>
  <c r="P37" i="6"/>
  <c r="N37" i="6"/>
  <c r="L37" i="6"/>
  <c r="AC36" i="6"/>
  <c r="AB36" i="6"/>
  <c r="AA36" i="6"/>
  <c r="Z36" i="6"/>
  <c r="Y36" i="6"/>
  <c r="X36" i="6"/>
  <c r="V36" i="6"/>
  <c r="T36" i="6"/>
  <c r="R36" i="6"/>
  <c r="P36" i="6"/>
  <c r="N36" i="6"/>
  <c r="L36" i="6"/>
  <c r="AC35" i="6"/>
  <c r="AB35" i="6"/>
  <c r="AA35" i="6"/>
  <c r="Z35" i="6"/>
  <c r="Y35" i="6"/>
  <c r="X35" i="6"/>
  <c r="V35" i="6"/>
  <c r="T35" i="6"/>
  <c r="R35" i="6"/>
  <c r="P35" i="6"/>
  <c r="N35" i="6"/>
  <c r="L35" i="6"/>
  <c r="AC34" i="6"/>
  <c r="AB34" i="6"/>
  <c r="AA34" i="6"/>
  <c r="Z34" i="6"/>
  <c r="Y34" i="6"/>
  <c r="X34" i="6"/>
  <c r="V34" i="6"/>
  <c r="T34" i="6"/>
  <c r="R34" i="6"/>
  <c r="P34" i="6"/>
  <c r="N34" i="6"/>
  <c r="L34" i="6"/>
  <c r="AC33" i="6"/>
  <c r="AB33" i="6"/>
  <c r="AA33" i="6"/>
  <c r="Z33" i="6"/>
  <c r="Y33" i="6"/>
  <c r="X33" i="6"/>
  <c r="V33" i="6"/>
  <c r="T33" i="6"/>
  <c r="R33" i="6"/>
  <c r="P33" i="6"/>
  <c r="N33" i="6"/>
  <c r="L33" i="6"/>
  <c r="AC32" i="6"/>
  <c r="AB32" i="6"/>
  <c r="AA32" i="6"/>
  <c r="Z32" i="6"/>
  <c r="Y32" i="6"/>
  <c r="X32" i="6"/>
  <c r="V32" i="6"/>
  <c r="T32" i="6"/>
  <c r="R32" i="6"/>
  <c r="P32" i="6"/>
  <c r="N32" i="6"/>
  <c r="L32" i="6"/>
  <c r="AC31" i="6"/>
  <c r="AB31" i="6"/>
  <c r="AA31" i="6"/>
  <c r="Z31" i="6"/>
  <c r="Y31" i="6"/>
  <c r="X31" i="6"/>
  <c r="V31" i="6"/>
  <c r="T31" i="6"/>
  <c r="R31" i="6"/>
  <c r="P31" i="6"/>
  <c r="N31" i="6"/>
  <c r="L31" i="6"/>
  <c r="AC30" i="6"/>
  <c r="AB30" i="6"/>
  <c r="AA30" i="6"/>
  <c r="Z30" i="6"/>
  <c r="Y30" i="6"/>
  <c r="X30" i="6"/>
  <c r="V30" i="6"/>
  <c r="T30" i="6"/>
  <c r="R30" i="6"/>
  <c r="P30" i="6"/>
  <c r="N30" i="6"/>
  <c r="L30" i="6"/>
  <c r="AC29" i="6"/>
  <c r="AB29" i="6"/>
  <c r="AA29" i="6"/>
  <c r="Z29" i="6"/>
  <c r="Y29" i="6"/>
  <c r="X29" i="6"/>
  <c r="V29" i="6"/>
  <c r="T29" i="6"/>
  <c r="R29" i="6"/>
  <c r="P29" i="6"/>
  <c r="N29" i="6"/>
  <c r="L29" i="6"/>
  <c r="AC28" i="6"/>
  <c r="AB28" i="6"/>
  <c r="AA28" i="6"/>
  <c r="Z28" i="6"/>
  <c r="Y28" i="6"/>
  <c r="X28" i="6"/>
  <c r="V28" i="6"/>
  <c r="T28" i="6"/>
  <c r="R28" i="6"/>
  <c r="P28" i="6"/>
  <c r="N28" i="6"/>
  <c r="L28" i="6"/>
  <c r="AC27" i="6"/>
  <c r="AB27" i="6"/>
  <c r="AA27" i="6"/>
  <c r="Z27" i="6"/>
  <c r="Y27" i="6"/>
  <c r="X27" i="6"/>
  <c r="V27" i="6"/>
  <c r="T27" i="6"/>
  <c r="R27" i="6"/>
  <c r="P27" i="6"/>
  <c r="N27" i="6"/>
  <c r="L27" i="6"/>
  <c r="AC26" i="6"/>
  <c r="AB26" i="6"/>
  <c r="AA26" i="6"/>
  <c r="Z26" i="6"/>
  <c r="Y26" i="6"/>
  <c r="X26" i="6"/>
  <c r="V26" i="6"/>
  <c r="T26" i="6"/>
  <c r="R26" i="6"/>
  <c r="P26" i="6"/>
  <c r="N26" i="6"/>
  <c r="L26" i="6"/>
  <c r="AC25" i="6"/>
  <c r="AB25" i="6"/>
  <c r="AA25" i="6"/>
  <c r="Z25" i="6"/>
  <c r="Y25" i="6"/>
  <c r="X25" i="6"/>
  <c r="V25" i="6"/>
  <c r="T25" i="6"/>
  <c r="R25" i="6"/>
  <c r="P25" i="6"/>
  <c r="N25" i="6"/>
  <c r="L25" i="6"/>
  <c r="AC24" i="6"/>
  <c r="AB24" i="6"/>
  <c r="AA24" i="6"/>
  <c r="Z24" i="6"/>
  <c r="Y24" i="6"/>
  <c r="X24" i="6"/>
  <c r="V24" i="6"/>
  <c r="T24" i="6"/>
  <c r="R24" i="6"/>
  <c r="P24" i="6"/>
  <c r="N24" i="6"/>
  <c r="L24" i="6"/>
  <c r="AC23" i="6"/>
  <c r="AB23" i="6"/>
  <c r="AA23" i="6"/>
  <c r="Z23" i="6"/>
  <c r="Y23" i="6"/>
  <c r="X23" i="6"/>
  <c r="V23" i="6"/>
  <c r="T23" i="6"/>
  <c r="R23" i="6"/>
  <c r="P23" i="6"/>
  <c r="N23" i="6"/>
  <c r="L23" i="6"/>
  <c r="AC22" i="6"/>
  <c r="AB22" i="6"/>
  <c r="AA22" i="6"/>
  <c r="Z22" i="6"/>
  <c r="Y22" i="6"/>
  <c r="X22" i="6"/>
  <c r="V22" i="6"/>
  <c r="T22" i="6"/>
  <c r="R22" i="6"/>
  <c r="P22" i="6"/>
  <c r="N22" i="6"/>
  <c r="L22" i="6"/>
  <c r="AC21" i="6"/>
  <c r="AB21" i="6"/>
  <c r="AA21" i="6"/>
  <c r="Z21" i="6"/>
  <c r="Y21" i="6"/>
  <c r="X21" i="6"/>
  <c r="V21" i="6"/>
  <c r="T21" i="6"/>
  <c r="R21" i="6"/>
  <c r="P21" i="6"/>
  <c r="N21" i="6"/>
  <c r="L21" i="6"/>
  <c r="AC20" i="6"/>
  <c r="AB20" i="6"/>
  <c r="AA20" i="6"/>
  <c r="Z20" i="6"/>
  <c r="Y20" i="6"/>
  <c r="X20" i="6"/>
  <c r="V20" i="6"/>
  <c r="T20" i="6"/>
  <c r="R20" i="6"/>
  <c r="P20" i="6"/>
  <c r="N20" i="6"/>
  <c r="L20" i="6"/>
  <c r="AC19" i="6"/>
  <c r="AB19" i="6"/>
  <c r="AA19" i="6"/>
  <c r="Z19" i="6"/>
  <c r="Y19" i="6"/>
  <c r="X19" i="6"/>
  <c r="V19" i="6"/>
  <c r="T19" i="6"/>
  <c r="R19" i="6"/>
  <c r="P19" i="6"/>
  <c r="N19" i="6"/>
  <c r="L19" i="6"/>
  <c r="AC18" i="6"/>
  <c r="AB18" i="6"/>
  <c r="AA18" i="6"/>
  <c r="Z18" i="6"/>
  <c r="Y18" i="6"/>
  <c r="X18" i="6"/>
  <c r="V18" i="6"/>
  <c r="T18" i="6"/>
  <c r="R18" i="6"/>
  <c r="P18" i="6"/>
  <c r="N18" i="6"/>
  <c r="L18" i="6"/>
  <c r="AC17" i="6"/>
  <c r="AB17" i="6"/>
  <c r="AA17" i="6"/>
  <c r="Z17" i="6"/>
  <c r="Y17" i="6"/>
  <c r="X17" i="6"/>
  <c r="V17" i="6"/>
  <c r="T17" i="6"/>
  <c r="R17" i="6"/>
  <c r="P17" i="6"/>
  <c r="N17" i="6"/>
  <c r="L17" i="6"/>
  <c r="AC16" i="6"/>
  <c r="AB16" i="6"/>
  <c r="AA16" i="6"/>
  <c r="Z16" i="6"/>
  <c r="Y16" i="6"/>
  <c r="X16" i="6"/>
  <c r="V16" i="6"/>
  <c r="T16" i="6"/>
  <c r="R16" i="6"/>
  <c r="P16" i="6"/>
  <c r="N16" i="6"/>
  <c r="L16" i="6"/>
  <c r="AC15" i="6"/>
  <c r="AB15" i="6"/>
  <c r="AA15" i="6"/>
  <c r="Z15" i="6"/>
  <c r="Y15" i="6"/>
  <c r="X15" i="6"/>
  <c r="V15" i="6"/>
  <c r="T15" i="6"/>
  <c r="R15" i="6"/>
  <c r="P15" i="6"/>
  <c r="N15" i="6"/>
  <c r="L15" i="6"/>
  <c r="AC14" i="6"/>
  <c r="AB14" i="6"/>
  <c r="AA14" i="6"/>
  <c r="Z14" i="6"/>
  <c r="Y14" i="6"/>
  <c r="X14" i="6"/>
  <c r="V14" i="6"/>
  <c r="T14" i="6"/>
  <c r="R14" i="6"/>
  <c r="P14" i="6"/>
  <c r="N14" i="6"/>
  <c r="L14" i="6"/>
  <c r="AC13" i="6"/>
  <c r="AB13" i="6"/>
  <c r="AA13" i="6"/>
  <c r="Z13" i="6"/>
  <c r="Y13" i="6"/>
  <c r="X13" i="6"/>
  <c r="V13" i="6"/>
  <c r="T13" i="6"/>
  <c r="R13" i="6"/>
  <c r="P13" i="6"/>
  <c r="N13" i="6"/>
  <c r="L13" i="6"/>
  <c r="AC12" i="6"/>
  <c r="AB12" i="6"/>
  <c r="AA12" i="6"/>
  <c r="Z12" i="6"/>
  <c r="Y12" i="6"/>
  <c r="X12" i="6"/>
  <c r="V12" i="6"/>
  <c r="T12" i="6"/>
  <c r="R12" i="6"/>
  <c r="P12" i="6"/>
  <c r="N12" i="6"/>
  <c r="L12" i="6"/>
  <c r="AC11" i="6"/>
  <c r="AB11" i="6"/>
  <c r="AA11" i="6"/>
  <c r="Z11" i="6"/>
  <c r="Y11" i="6"/>
  <c r="X11" i="6"/>
  <c r="V11" i="6"/>
  <c r="T11" i="6"/>
  <c r="R11" i="6"/>
  <c r="P11" i="6"/>
  <c r="N11" i="6"/>
  <c r="L11" i="6"/>
  <c r="AC10" i="6"/>
  <c r="AB10" i="6"/>
  <c r="AA10" i="6"/>
  <c r="Z10" i="6"/>
  <c r="Y10" i="6"/>
  <c r="X10" i="6"/>
  <c r="V10" i="6"/>
  <c r="T10" i="6"/>
  <c r="R10" i="6"/>
  <c r="P10" i="6"/>
  <c r="N10" i="6"/>
  <c r="L10" i="6"/>
  <c r="AC9" i="6"/>
  <c r="AB9" i="6"/>
  <c r="AA9" i="6"/>
  <c r="Z9" i="6"/>
  <c r="Y9" i="6"/>
  <c r="X9" i="6"/>
  <c r="V9" i="6"/>
  <c r="T9" i="6"/>
  <c r="R9" i="6"/>
  <c r="P9" i="6"/>
  <c r="N9" i="6"/>
  <c r="L9" i="6"/>
  <c r="AC8" i="6"/>
  <c r="AB8" i="6"/>
  <c r="AA8" i="6"/>
  <c r="Z8" i="6"/>
  <c r="Y8" i="6"/>
  <c r="X8" i="6"/>
  <c r="V8" i="6"/>
  <c r="T8" i="6"/>
  <c r="R8" i="6"/>
  <c r="P8" i="6"/>
  <c r="N8" i="6"/>
  <c r="L8" i="6"/>
  <c r="AC7" i="6"/>
  <c r="AB7" i="6"/>
  <c r="AA7" i="6"/>
  <c r="Z7" i="6"/>
  <c r="Y7" i="6"/>
  <c r="X7" i="6"/>
  <c r="V7" i="6"/>
  <c r="T7" i="6"/>
  <c r="R7" i="6"/>
  <c r="P7" i="6"/>
  <c r="N7" i="6"/>
  <c r="L7" i="6"/>
  <c r="AC6" i="6"/>
  <c r="AC298" i="6" s="1"/>
  <c r="AB6" i="6"/>
  <c r="AB298" i="6" s="1"/>
  <c r="AA6" i="6"/>
  <c r="AA298" i="6" s="1"/>
  <c r="Z6" i="6"/>
  <c r="Y6" i="6"/>
  <c r="Y298" i="6" s="1"/>
  <c r="X6" i="6"/>
  <c r="X298" i="6" s="1"/>
  <c r="V6" i="6"/>
  <c r="T6" i="6"/>
  <c r="R6" i="6"/>
  <c r="P6" i="6"/>
  <c r="N6" i="6"/>
  <c r="L6" i="6"/>
  <c r="B318" i="3" l="1"/>
  <c r="B319" i="3"/>
  <c r="I1329" i="1"/>
  <c r="E1329" i="1"/>
  <c r="M1329" i="1" s="1"/>
  <c r="P1328" i="1"/>
  <c r="N1328" i="1"/>
  <c r="M1328" i="1"/>
  <c r="I1328" i="1"/>
  <c r="G1328" i="1"/>
  <c r="H1327" i="1"/>
  <c r="H1328" i="1" s="1"/>
  <c r="H1324" i="1"/>
  <c r="H1325" i="1" s="1"/>
  <c r="B317" i="3"/>
  <c r="I1325" i="1"/>
  <c r="E1325" i="1"/>
  <c r="M1325" i="1" s="1"/>
  <c r="M1324" i="1" s="1"/>
  <c r="H1321" i="1"/>
  <c r="H1322" i="1" s="1"/>
  <c r="H1318" i="1"/>
  <c r="H1319" i="1" s="1"/>
  <c r="B307" i="3"/>
  <c r="B308" i="3"/>
  <c r="B309" i="3"/>
  <c r="B310" i="3"/>
  <c r="B311" i="3"/>
  <c r="B312" i="3"/>
  <c r="B313" i="3"/>
  <c r="B314" i="3"/>
  <c r="B315" i="3"/>
  <c r="B316" i="3"/>
  <c r="I1322" i="1"/>
  <c r="E1322" i="1"/>
  <c r="M1322" i="1" s="1"/>
  <c r="M1321" i="1" s="1"/>
  <c r="I1319" i="1"/>
  <c r="E1319" i="1"/>
  <c r="M1319" i="1" s="1"/>
  <c r="M1318" i="1" s="1"/>
  <c r="I1316" i="1"/>
  <c r="E1316" i="1"/>
  <c r="M1316" i="1" s="1"/>
  <c r="I1315" i="1"/>
  <c r="G1315" i="1"/>
  <c r="G1316" i="1" s="1"/>
  <c r="E1315" i="1"/>
  <c r="P1315" i="1" s="1"/>
  <c r="I1314" i="1"/>
  <c r="E1314" i="1"/>
  <c r="O1314" i="1" s="1"/>
  <c r="I1313" i="1"/>
  <c r="E1313" i="1"/>
  <c r="I1312" i="1"/>
  <c r="E1312" i="1"/>
  <c r="M1312" i="1" s="1"/>
  <c r="H1311" i="1"/>
  <c r="H1312" i="1" s="1"/>
  <c r="I1309" i="1"/>
  <c r="E1309" i="1"/>
  <c r="P1309" i="1" s="1"/>
  <c r="I1308" i="1"/>
  <c r="E1308" i="1"/>
  <c r="P1308" i="1" s="1"/>
  <c r="I1307" i="1"/>
  <c r="G1307" i="1"/>
  <c r="G1309" i="1" s="1"/>
  <c r="E1307" i="1"/>
  <c r="P1307" i="1" s="1"/>
  <c r="I1305" i="1"/>
  <c r="E1305" i="1"/>
  <c r="O1305" i="1" s="1"/>
  <c r="I1304" i="1"/>
  <c r="G1304" i="1"/>
  <c r="E1304" i="1"/>
  <c r="P1304" i="1" s="1"/>
  <c r="I1302" i="1"/>
  <c r="E1302" i="1"/>
  <c r="P1302" i="1" s="1"/>
  <c r="I1301" i="1"/>
  <c r="G1301" i="1"/>
  <c r="G1302" i="1" s="1"/>
  <c r="E1301" i="1"/>
  <c r="P1301" i="1" s="1"/>
  <c r="I1299" i="1"/>
  <c r="E1299" i="1"/>
  <c r="O1299" i="1" s="1"/>
  <c r="I1298" i="1"/>
  <c r="E1298" i="1"/>
  <c r="M1298" i="1" s="1"/>
  <c r="I1297" i="1"/>
  <c r="G1297" i="1"/>
  <c r="G1299" i="1" s="1"/>
  <c r="E1297" i="1"/>
  <c r="M1297" i="1" s="1"/>
  <c r="I1295" i="1"/>
  <c r="E1295" i="1"/>
  <c r="O1295" i="1" s="1"/>
  <c r="I1294" i="1"/>
  <c r="E1294" i="1"/>
  <c r="M1294" i="1" s="1"/>
  <c r="H1292" i="1"/>
  <c r="H1309" i="1" s="1"/>
  <c r="J1325" i="1" l="1"/>
  <c r="J1324" i="1" s="1"/>
  <c r="L1328" i="1"/>
  <c r="J1328" i="1"/>
  <c r="M1327" i="1"/>
  <c r="K1329" i="1"/>
  <c r="O1329" i="1"/>
  <c r="H1329" i="1"/>
  <c r="J1329" i="1" s="1"/>
  <c r="N1329" i="1" s="1"/>
  <c r="N1327" i="1" s="1"/>
  <c r="L1329" i="1"/>
  <c r="P1329" i="1"/>
  <c r="P1327" i="1" s="1"/>
  <c r="N1325" i="1"/>
  <c r="N1324" i="1" s="1"/>
  <c r="J1322" i="1"/>
  <c r="J1321" i="1" s="1"/>
  <c r="O1325" i="1"/>
  <c r="J1319" i="1"/>
  <c r="J1318" i="1" s="1"/>
  <c r="N1322" i="1"/>
  <c r="N1321" i="1" s="1"/>
  <c r="O1322" i="1"/>
  <c r="O1321" i="1" s="1"/>
  <c r="N1319" i="1"/>
  <c r="N1318" i="1" s="1"/>
  <c r="J1316" i="1"/>
  <c r="O1316" i="1" s="1"/>
  <c r="O1319" i="1"/>
  <c r="O1318" i="1" s="1"/>
  <c r="J1309" i="1"/>
  <c r="O1309" i="1" s="1"/>
  <c r="M1301" i="1"/>
  <c r="M1302" i="1"/>
  <c r="P1299" i="1"/>
  <c r="N1315" i="1"/>
  <c r="L1294" i="1"/>
  <c r="M1304" i="1"/>
  <c r="N1305" i="1"/>
  <c r="P1294" i="1"/>
  <c r="M1295" i="1"/>
  <c r="P1305" i="1"/>
  <c r="J1312" i="1"/>
  <c r="N1312" i="1" s="1"/>
  <c r="H1294" i="1"/>
  <c r="J1294" i="1" s="1"/>
  <c r="K1294" i="1"/>
  <c r="O1294" i="1"/>
  <c r="H1295" i="1"/>
  <c r="J1295" i="1" s="1"/>
  <c r="N1295" i="1" s="1"/>
  <c r="L1295" i="1"/>
  <c r="P1295" i="1"/>
  <c r="H1297" i="1"/>
  <c r="L1297" i="1" s="1"/>
  <c r="P1297" i="1"/>
  <c r="P1298" i="1"/>
  <c r="H1301" i="1"/>
  <c r="H1302" i="1"/>
  <c r="H1304" i="1"/>
  <c r="M1308" i="1"/>
  <c r="M1309" i="1"/>
  <c r="K1313" i="1"/>
  <c r="O1313" i="1"/>
  <c r="H1314" i="1"/>
  <c r="J1314" i="1" s="1"/>
  <c r="N1314" i="1" s="1"/>
  <c r="L1314" i="1"/>
  <c r="P1314" i="1"/>
  <c r="N1316" i="1"/>
  <c r="N1307" i="1"/>
  <c r="N1308" i="1"/>
  <c r="N1309" i="1"/>
  <c r="K1312" i="1"/>
  <c r="O1312" i="1"/>
  <c r="H1313" i="1"/>
  <c r="J1313" i="1" s="1"/>
  <c r="L1313" i="1"/>
  <c r="P1313" i="1"/>
  <c r="M1314" i="1"/>
  <c r="J1315" i="1"/>
  <c r="M1315" i="1" s="1"/>
  <c r="N1297" i="1"/>
  <c r="N1298" i="1"/>
  <c r="N1299" i="1"/>
  <c r="N1301" i="1"/>
  <c r="N1302" i="1"/>
  <c r="N1304" i="1"/>
  <c r="O1307" i="1"/>
  <c r="G1308" i="1"/>
  <c r="L1312" i="1"/>
  <c r="P1312" i="1"/>
  <c r="M1313" i="1"/>
  <c r="O1315" i="1"/>
  <c r="L1316" i="1"/>
  <c r="K1316" i="1" s="1"/>
  <c r="P1316" i="1"/>
  <c r="K1295" i="1"/>
  <c r="G1298" i="1"/>
  <c r="H1305" i="1"/>
  <c r="H1307" i="1"/>
  <c r="J1307" i="1" s="1"/>
  <c r="M1307" i="1" s="1"/>
  <c r="H1308" i="1"/>
  <c r="L1309" i="1"/>
  <c r="K1309" i="1" s="1"/>
  <c r="K1314" i="1"/>
  <c r="L1315" i="1"/>
  <c r="K1315" i="1" s="1"/>
  <c r="P1319" i="1" l="1"/>
  <c r="P1318" i="1" s="1"/>
  <c r="P1322" i="1"/>
  <c r="P1321" i="1" s="1"/>
  <c r="P1325" i="1"/>
  <c r="P1324" i="1" s="1"/>
  <c r="O1324" i="1"/>
  <c r="L1327" i="1"/>
  <c r="C151" i="5" s="1"/>
  <c r="Q1329" i="1"/>
  <c r="J1327" i="1"/>
  <c r="O1328" i="1"/>
  <c r="K1328" i="1"/>
  <c r="Q1322" i="1"/>
  <c r="Q1321" i="1" s="1"/>
  <c r="E294" i="6" s="1"/>
  <c r="L1311" i="1"/>
  <c r="P1292" i="1"/>
  <c r="N1294" i="1"/>
  <c r="L1307" i="1"/>
  <c r="K1307" i="1" s="1"/>
  <c r="Q1316" i="1"/>
  <c r="J1308" i="1"/>
  <c r="O1308" i="1" s="1"/>
  <c r="Q1308" i="1" s="1"/>
  <c r="O1311" i="1"/>
  <c r="Q1307" i="1"/>
  <c r="Q1315" i="1"/>
  <c r="J1311" i="1"/>
  <c r="K1297" i="1"/>
  <c r="Q1314" i="1"/>
  <c r="L1308" i="1"/>
  <c r="K1308" i="1" s="1"/>
  <c r="L1305" i="1"/>
  <c r="K1305" i="1" s="1"/>
  <c r="J1305" i="1"/>
  <c r="M1305" i="1" s="1"/>
  <c r="Q1305" i="1" s="1"/>
  <c r="P1311" i="1"/>
  <c r="P1290" i="1" s="1"/>
  <c r="Q1309" i="1"/>
  <c r="J1302" i="1"/>
  <c r="O1302" i="1" s="1"/>
  <c r="Q1302" i="1" s="1"/>
  <c r="L1302" i="1"/>
  <c r="K1302" i="1" s="1"/>
  <c r="N1313" i="1"/>
  <c r="Q1313" i="1" s="1"/>
  <c r="J1301" i="1"/>
  <c r="O1301" i="1" s="1"/>
  <c r="Q1301" i="1" s="1"/>
  <c r="L1301" i="1"/>
  <c r="K1301" i="1" s="1"/>
  <c r="J1297" i="1"/>
  <c r="O1297" i="1" s="1"/>
  <c r="H1299" i="1"/>
  <c r="H1298" i="1"/>
  <c r="Q1295" i="1"/>
  <c r="M1311" i="1"/>
  <c r="J1304" i="1"/>
  <c r="O1304" i="1" s="1"/>
  <c r="Q1304" i="1" s="1"/>
  <c r="L1304" i="1"/>
  <c r="K1304" i="1" s="1"/>
  <c r="Q1312" i="1"/>
  <c r="Q1319" i="1" l="1"/>
  <c r="Q1318" i="1" s="1"/>
  <c r="E293" i="6" s="1"/>
  <c r="Q1325" i="1"/>
  <c r="Q1324" i="1" s="1"/>
  <c r="E295" i="6" s="1"/>
  <c r="O1327" i="1"/>
  <c r="Q1328" i="1"/>
  <c r="Q1327" i="1" s="1"/>
  <c r="L1292" i="1"/>
  <c r="N1292" i="1"/>
  <c r="Q1294" i="1"/>
  <c r="N1311" i="1"/>
  <c r="N1290" i="1" s="1"/>
  <c r="J1299" i="1"/>
  <c r="M1299" i="1" s="1"/>
  <c r="L1299" i="1"/>
  <c r="K1299" i="1" s="1"/>
  <c r="Q1297" i="1"/>
  <c r="Q1311" i="1"/>
  <c r="J1298" i="1"/>
  <c r="J1292" i="1" s="1"/>
  <c r="L1298" i="1"/>
  <c r="K1298" i="1" s="1"/>
  <c r="F151" i="5" l="1"/>
  <c r="E296" i="6"/>
  <c r="M1292" i="1"/>
  <c r="M1290" i="1"/>
  <c r="J1290" i="1"/>
  <c r="O1298" i="1"/>
  <c r="Q1299" i="1"/>
  <c r="O1292" i="1" l="1"/>
  <c r="O1290" i="1"/>
  <c r="Q1298" i="1"/>
  <c r="Q1292" i="1" l="1"/>
  <c r="Q1290" i="1"/>
  <c r="H1282" i="1"/>
  <c r="H1283" i="1" s="1"/>
  <c r="H1284" i="1" s="1"/>
  <c r="H1285" i="1" s="1"/>
  <c r="H1286" i="1" s="1"/>
  <c r="H1287" i="1" s="1"/>
  <c r="H1288" i="1" s="1"/>
  <c r="B305" i="3"/>
  <c r="B306" i="3"/>
  <c r="I1288" i="1"/>
  <c r="E1288" i="1"/>
  <c r="M1288" i="1" s="1"/>
  <c r="I1287" i="1"/>
  <c r="E1287" i="1"/>
  <c r="I1286" i="1"/>
  <c r="E1286" i="1"/>
  <c r="M1286" i="1" s="1"/>
  <c r="I1285" i="1"/>
  <c r="E1285" i="1"/>
  <c r="M1285" i="1" s="1"/>
  <c r="I1284" i="1"/>
  <c r="E1284" i="1"/>
  <c r="M1284" i="1" s="1"/>
  <c r="I1283" i="1"/>
  <c r="G1283" i="1"/>
  <c r="G1288" i="1" s="1"/>
  <c r="E1283" i="1"/>
  <c r="M1283" i="1" s="1"/>
  <c r="P784" i="1"/>
  <c r="P1074" i="1"/>
  <c r="B304" i="3"/>
  <c r="I1280" i="1"/>
  <c r="E1280" i="1"/>
  <c r="M1280" i="1" s="1"/>
  <c r="H1279" i="1"/>
  <c r="H1280" i="1" s="1"/>
  <c r="G1274" i="1"/>
  <c r="G1275" i="1" s="1"/>
  <c r="G1276" i="1" s="1"/>
  <c r="G1277" i="1" s="1"/>
  <c r="B303" i="3"/>
  <c r="G1267" i="1"/>
  <c r="G1269" i="1" s="1"/>
  <c r="B302" i="3"/>
  <c r="E1268" i="1"/>
  <c r="M1268" i="1" s="1"/>
  <c r="I1268" i="1"/>
  <c r="E1269" i="1"/>
  <c r="N1269" i="1" s="1"/>
  <c r="I1269" i="1"/>
  <c r="E1270" i="1"/>
  <c r="M1270" i="1" s="1"/>
  <c r="I1270" i="1"/>
  <c r="E1271" i="1"/>
  <c r="P1271" i="1" s="1"/>
  <c r="I1271" i="1"/>
  <c r="E1274" i="1"/>
  <c r="M1274" i="1" s="1"/>
  <c r="I1274" i="1"/>
  <c r="E1275" i="1"/>
  <c r="M1275" i="1" s="1"/>
  <c r="I1275" i="1"/>
  <c r="E1276" i="1"/>
  <c r="N1276" i="1" s="1"/>
  <c r="I1276" i="1"/>
  <c r="E1277" i="1"/>
  <c r="P1277" i="1" s="1"/>
  <c r="I1277" i="1"/>
  <c r="G1262" i="1"/>
  <c r="H1260" i="1"/>
  <c r="H1261" i="1" s="1"/>
  <c r="H1262" i="1" s="1"/>
  <c r="B300" i="3"/>
  <c r="B301" i="3"/>
  <c r="I1267" i="1"/>
  <c r="E1267" i="1"/>
  <c r="P1267" i="1" s="1"/>
  <c r="I1265" i="1"/>
  <c r="E1265" i="1"/>
  <c r="P1265" i="1" s="1"/>
  <c r="I1264" i="1"/>
  <c r="E1264" i="1"/>
  <c r="P1264" i="1" s="1"/>
  <c r="I1263" i="1"/>
  <c r="E1263" i="1"/>
  <c r="P1263" i="1" s="1"/>
  <c r="I1262" i="1"/>
  <c r="E1262" i="1"/>
  <c r="P1262" i="1" s="1"/>
  <c r="I1261" i="1"/>
  <c r="E1261" i="1"/>
  <c r="B298" i="3"/>
  <c r="B299" i="3"/>
  <c r="I1258" i="1"/>
  <c r="E1258" i="1"/>
  <c r="I1257" i="1"/>
  <c r="E1257" i="1"/>
  <c r="M1257" i="1" s="1"/>
  <c r="I1256" i="1"/>
  <c r="E1256" i="1"/>
  <c r="P1256" i="1" s="1"/>
  <c r="I1255" i="1"/>
  <c r="E1255" i="1"/>
  <c r="M1255" i="1" s="1"/>
  <c r="I1254" i="1"/>
  <c r="E1254" i="1"/>
  <c r="I1253" i="1"/>
  <c r="E1253" i="1"/>
  <c r="M1253" i="1" s="1"/>
  <c r="I1252" i="1"/>
  <c r="G1252" i="1"/>
  <c r="G1257" i="1" s="1"/>
  <c r="G1258" i="1" s="1"/>
  <c r="E1252" i="1"/>
  <c r="M1252" i="1" s="1"/>
  <c r="H1251" i="1"/>
  <c r="H1258" i="1" s="1"/>
  <c r="H1174" i="1"/>
  <c r="H1173" i="1"/>
  <c r="H1172" i="1"/>
  <c r="H1167" i="1"/>
  <c r="H1165" i="1"/>
  <c r="H1164" i="1"/>
  <c r="H1163" i="1"/>
  <c r="H1162" i="1"/>
  <c r="H1161" i="1"/>
  <c r="B297" i="3"/>
  <c r="B295" i="3"/>
  <c r="B29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4" i="3"/>
  <c r="B296" i="3"/>
  <c r="F150" i="5" l="1"/>
  <c r="E292" i="6"/>
  <c r="J1283" i="1"/>
  <c r="J1288" i="1"/>
  <c r="O1288" i="1" s="1"/>
  <c r="N1286" i="1"/>
  <c r="G1284" i="1"/>
  <c r="J1284" i="1" s="1"/>
  <c r="O1284" i="1" s="1"/>
  <c r="G1285" i="1"/>
  <c r="J1285" i="1" s="1"/>
  <c r="O1285" i="1" s="1"/>
  <c r="G1286" i="1"/>
  <c r="J1286" i="1" s="1"/>
  <c r="O1286" i="1" s="1"/>
  <c r="G1287" i="1"/>
  <c r="J1287" i="1" s="1"/>
  <c r="M1287" i="1" s="1"/>
  <c r="M1282" i="1" s="1"/>
  <c r="O1287" i="1"/>
  <c r="N1284" i="1"/>
  <c r="N1285" i="1"/>
  <c r="N1287" i="1"/>
  <c r="N1288" i="1"/>
  <c r="L1283" i="1"/>
  <c r="P1283" i="1"/>
  <c r="P1284" i="1"/>
  <c r="P1285" i="1"/>
  <c r="P1286" i="1"/>
  <c r="P1287" i="1"/>
  <c r="L1288" i="1"/>
  <c r="K1288" i="1" s="1"/>
  <c r="P1288" i="1"/>
  <c r="N1283" i="1"/>
  <c r="J1280" i="1"/>
  <c r="J1279" i="1" s="1"/>
  <c r="P1255" i="1"/>
  <c r="M1254" i="1"/>
  <c r="P1254" i="1"/>
  <c r="M1258" i="1"/>
  <c r="P1258" i="1"/>
  <c r="P1276" i="1"/>
  <c r="P1270" i="1"/>
  <c r="P1275" i="1"/>
  <c r="P1269" i="1"/>
  <c r="P1257" i="1"/>
  <c r="P1253" i="1"/>
  <c r="P1274" i="1"/>
  <c r="P1268" i="1"/>
  <c r="P1252" i="1"/>
  <c r="N1280" i="1"/>
  <c r="N1279" i="1" s="1"/>
  <c r="M1279" i="1"/>
  <c r="O1280" i="1"/>
  <c r="O1279" i="1" s="1"/>
  <c r="N1275" i="1"/>
  <c r="N1277" i="1"/>
  <c r="G1268" i="1"/>
  <c r="G1271" i="1"/>
  <c r="G1270" i="1"/>
  <c r="M1276" i="1"/>
  <c r="H1267" i="1"/>
  <c r="N1271" i="1"/>
  <c r="N1270" i="1"/>
  <c r="M1269" i="1"/>
  <c r="N1268" i="1"/>
  <c r="N1274" i="1"/>
  <c r="H1265" i="1"/>
  <c r="H1264" i="1"/>
  <c r="H1263" i="1"/>
  <c r="M1262" i="1"/>
  <c r="M1261" i="1"/>
  <c r="M1264" i="1"/>
  <c r="M1263" i="1"/>
  <c r="M1267" i="1"/>
  <c r="J1262" i="1"/>
  <c r="O1262" i="1" s="1"/>
  <c r="J1261" i="1"/>
  <c r="P1261" i="1" s="1"/>
  <c r="N1262" i="1"/>
  <c r="N1263" i="1"/>
  <c r="N1264" i="1"/>
  <c r="N1265" i="1"/>
  <c r="N1267" i="1"/>
  <c r="O1261" i="1"/>
  <c r="G1263" i="1"/>
  <c r="G1264" i="1"/>
  <c r="G1265" i="1"/>
  <c r="O1265" i="1"/>
  <c r="J1258" i="1"/>
  <c r="O1258" i="1" s="1"/>
  <c r="N1253" i="1"/>
  <c r="N1255" i="1"/>
  <c r="N1256" i="1"/>
  <c r="N1258" i="1"/>
  <c r="H1252" i="1"/>
  <c r="J1252" i="1" s="1"/>
  <c r="O1252" i="1" s="1"/>
  <c r="H1253" i="1"/>
  <c r="H1254" i="1"/>
  <c r="H1255" i="1"/>
  <c r="H1256" i="1"/>
  <c r="H1257" i="1"/>
  <c r="J1257" i="1" s="1"/>
  <c r="O1257" i="1" s="1"/>
  <c r="N1252" i="1"/>
  <c r="N1254" i="1"/>
  <c r="N1257" i="1"/>
  <c r="G1253" i="1"/>
  <c r="G1254" i="1"/>
  <c r="G1255" i="1"/>
  <c r="G1256" i="1"/>
  <c r="O1256" i="1"/>
  <c r="I1248" i="1"/>
  <c r="E1248" i="1"/>
  <c r="I1247" i="1"/>
  <c r="E1247" i="1"/>
  <c r="I1245" i="1"/>
  <c r="E1245" i="1"/>
  <c r="I1244" i="1"/>
  <c r="E1244" i="1"/>
  <c r="I1243" i="1"/>
  <c r="E1243" i="1"/>
  <c r="I1242" i="1"/>
  <c r="G1242" i="1"/>
  <c r="G1248" i="1" s="1"/>
  <c r="E1242" i="1"/>
  <c r="I1241" i="1"/>
  <c r="E1241" i="1"/>
  <c r="P1241" i="1" s="1"/>
  <c r="H1240" i="1"/>
  <c r="H1241" i="1" s="1"/>
  <c r="I1238" i="1"/>
  <c r="E1238" i="1"/>
  <c r="P1238" i="1" s="1"/>
  <c r="I1237" i="1"/>
  <c r="E1237" i="1"/>
  <c r="P1237" i="1" s="1"/>
  <c r="I1235" i="1"/>
  <c r="E1235" i="1"/>
  <c r="I1234" i="1"/>
  <c r="E1234" i="1"/>
  <c r="P1234" i="1" s="1"/>
  <c r="I1233" i="1"/>
  <c r="E1233" i="1"/>
  <c r="P1233" i="1" s="1"/>
  <c r="I1232" i="1"/>
  <c r="G1232" i="1"/>
  <c r="G1238" i="1" s="1"/>
  <c r="E1232" i="1"/>
  <c r="P1232" i="1" s="1"/>
  <c r="I1231" i="1"/>
  <c r="E1231" i="1"/>
  <c r="H1230" i="1"/>
  <c r="H1231" i="1" s="1"/>
  <c r="H1238" i="1" s="1"/>
  <c r="I1228" i="1"/>
  <c r="E1228" i="1"/>
  <c r="I1227" i="1"/>
  <c r="E1227" i="1"/>
  <c r="I1225" i="1"/>
  <c r="E1225" i="1"/>
  <c r="I1224" i="1"/>
  <c r="E1224" i="1"/>
  <c r="I1223" i="1"/>
  <c r="E1223" i="1"/>
  <c r="I1222" i="1"/>
  <c r="G1222" i="1"/>
  <c r="G1228" i="1" s="1"/>
  <c r="E1222" i="1"/>
  <c r="I1221" i="1"/>
  <c r="E1221" i="1"/>
  <c r="H1220" i="1"/>
  <c r="H1221" i="1" s="1"/>
  <c r="H1228" i="1" s="1"/>
  <c r="I1215" i="1"/>
  <c r="E1215" i="1"/>
  <c r="I1214" i="1"/>
  <c r="E1214" i="1"/>
  <c r="I1213" i="1"/>
  <c r="E1213" i="1"/>
  <c r="P1213" i="1" s="1"/>
  <c r="I1212" i="1"/>
  <c r="E1212" i="1"/>
  <c r="I1211" i="1"/>
  <c r="E1211" i="1"/>
  <c r="I1210" i="1"/>
  <c r="E1210" i="1"/>
  <c r="I1209" i="1"/>
  <c r="G1209" i="1"/>
  <c r="G1214" i="1" s="1"/>
  <c r="G1215" i="1" s="1"/>
  <c r="E1209" i="1"/>
  <c r="H1208" i="1"/>
  <c r="H1215" i="1" s="1"/>
  <c r="I1205" i="1"/>
  <c r="E1205" i="1"/>
  <c r="P1205" i="1" s="1"/>
  <c r="I1204" i="1"/>
  <c r="E1204" i="1"/>
  <c r="I1203" i="1"/>
  <c r="E1203" i="1"/>
  <c r="I1202" i="1"/>
  <c r="G1202" i="1"/>
  <c r="G1205" i="1" s="1"/>
  <c r="E1202" i="1"/>
  <c r="P1202" i="1" s="1"/>
  <c r="H1200" i="1"/>
  <c r="I1198" i="1"/>
  <c r="E1198" i="1"/>
  <c r="I1197" i="1"/>
  <c r="E1197" i="1"/>
  <c r="I1196" i="1"/>
  <c r="E1196" i="1"/>
  <c r="I1195" i="1"/>
  <c r="E1195" i="1"/>
  <c r="I1194" i="1"/>
  <c r="E1194" i="1"/>
  <c r="I1193" i="1"/>
  <c r="G1193" i="1"/>
  <c r="G1198" i="1" s="1"/>
  <c r="E1193" i="1"/>
  <c r="P1193" i="1" s="1"/>
  <c r="H1192" i="1"/>
  <c r="I1190" i="1"/>
  <c r="J1190" i="1" s="1"/>
  <c r="E1190" i="1"/>
  <c r="P1190" i="1" s="1"/>
  <c r="I1189" i="1"/>
  <c r="J1189" i="1" s="1"/>
  <c r="E1189" i="1"/>
  <c r="I1188" i="1"/>
  <c r="J1188" i="1" s="1"/>
  <c r="E1188" i="1"/>
  <c r="P1188" i="1" s="1"/>
  <c r="I1186" i="1"/>
  <c r="E1186" i="1"/>
  <c r="I1185" i="1"/>
  <c r="E1185" i="1"/>
  <c r="I1184" i="1"/>
  <c r="E1184" i="1"/>
  <c r="I1183" i="1"/>
  <c r="G1183" i="1"/>
  <c r="G1186" i="1" s="1"/>
  <c r="E1183" i="1"/>
  <c r="H1181" i="1"/>
  <c r="H1183" i="1" s="1"/>
  <c r="I1174" i="1"/>
  <c r="J1174" i="1" s="1"/>
  <c r="E1174" i="1"/>
  <c r="P1174" i="1" s="1"/>
  <c r="I1173" i="1"/>
  <c r="J1173" i="1" s="1"/>
  <c r="E1173" i="1"/>
  <c r="P1173" i="1" s="1"/>
  <c r="I1172" i="1"/>
  <c r="J1172" i="1" s="1"/>
  <c r="E1172" i="1"/>
  <c r="P1172" i="1" s="1"/>
  <c r="I1165" i="1"/>
  <c r="J1165" i="1" s="1"/>
  <c r="E1165" i="1"/>
  <c r="I1164" i="1"/>
  <c r="J1164" i="1" s="1"/>
  <c r="E1164" i="1"/>
  <c r="I1163" i="1"/>
  <c r="J1163" i="1" s="1"/>
  <c r="E1163" i="1"/>
  <c r="I1162" i="1"/>
  <c r="J1162" i="1" s="1"/>
  <c r="E1162" i="1"/>
  <c r="O1162" i="1" s="1"/>
  <c r="I1161" i="1"/>
  <c r="J1161" i="1" s="1"/>
  <c r="E1161" i="1"/>
  <c r="O1161" i="1" s="1"/>
  <c r="K1283" i="1" l="1"/>
  <c r="L1282" i="1"/>
  <c r="C149" i="5" s="1"/>
  <c r="N1282" i="1"/>
  <c r="L1287" i="1"/>
  <c r="K1287" i="1" s="1"/>
  <c r="P1282" i="1"/>
  <c r="O1283" i="1"/>
  <c r="O1282" i="1" s="1"/>
  <c r="J1282" i="1"/>
  <c r="L1284" i="1"/>
  <c r="K1284" i="1" s="1"/>
  <c r="L1285" i="1"/>
  <c r="K1285" i="1" s="1"/>
  <c r="P1280" i="1"/>
  <c r="P1279" i="1" s="1"/>
  <c r="Q1285" i="1"/>
  <c r="Q1287" i="1"/>
  <c r="Q1284" i="1"/>
  <c r="Q1286" i="1"/>
  <c r="Q1288" i="1"/>
  <c r="L1286" i="1"/>
  <c r="K1286" i="1" s="1"/>
  <c r="P1251" i="1"/>
  <c r="P1170" i="1"/>
  <c r="N1195" i="1"/>
  <c r="P1195" i="1"/>
  <c r="N1197" i="1"/>
  <c r="P1197" i="1"/>
  <c r="N1203" i="1"/>
  <c r="P1203" i="1"/>
  <c r="M1211" i="1"/>
  <c r="P1211" i="1"/>
  <c r="N1223" i="1"/>
  <c r="P1223" i="1"/>
  <c r="N1225" i="1"/>
  <c r="P1225" i="1"/>
  <c r="O1235" i="1"/>
  <c r="P1235" i="1"/>
  <c r="M1243" i="1"/>
  <c r="P1243" i="1"/>
  <c r="M1248" i="1"/>
  <c r="P1248" i="1"/>
  <c r="P1162" i="1"/>
  <c r="P1164" i="1"/>
  <c r="N1222" i="1"/>
  <c r="P1222" i="1"/>
  <c r="M1242" i="1"/>
  <c r="P1242" i="1"/>
  <c r="M1215" i="1"/>
  <c r="P1215" i="1"/>
  <c r="N1184" i="1"/>
  <c r="P1184" i="1"/>
  <c r="N1186" i="1"/>
  <c r="P1186" i="1"/>
  <c r="P1189" i="1"/>
  <c r="N1194" i="1"/>
  <c r="P1194" i="1"/>
  <c r="N1196" i="1"/>
  <c r="P1196" i="1"/>
  <c r="N1198" i="1"/>
  <c r="P1198" i="1"/>
  <c r="N1204" i="1"/>
  <c r="P1204" i="1"/>
  <c r="M1210" i="1"/>
  <c r="P1210" i="1"/>
  <c r="M1212" i="1"/>
  <c r="P1212" i="1"/>
  <c r="M1214" i="1"/>
  <c r="P1214" i="1"/>
  <c r="N1224" i="1"/>
  <c r="P1224" i="1"/>
  <c r="N1227" i="1"/>
  <c r="P1227" i="1"/>
  <c r="M1244" i="1"/>
  <c r="P1244" i="1"/>
  <c r="M1247" i="1"/>
  <c r="P1247" i="1"/>
  <c r="P1260" i="1"/>
  <c r="N1185" i="1"/>
  <c r="P1185" i="1"/>
  <c r="N1228" i="1"/>
  <c r="P1228" i="1"/>
  <c r="N1245" i="1"/>
  <c r="P1245" i="1"/>
  <c r="P1161" i="1"/>
  <c r="P1163" i="1"/>
  <c r="P1165" i="1"/>
  <c r="N1183" i="1"/>
  <c r="P1183" i="1"/>
  <c r="M1209" i="1"/>
  <c r="P1209" i="1"/>
  <c r="O1221" i="1"/>
  <c r="P1221" i="1"/>
  <c r="O1231" i="1"/>
  <c r="P1231" i="1"/>
  <c r="J1170" i="1"/>
  <c r="H1274" i="1"/>
  <c r="H1271" i="1"/>
  <c r="H1270" i="1"/>
  <c r="J1270" i="1" s="1"/>
  <c r="O1270" i="1" s="1"/>
  <c r="H1269" i="1"/>
  <c r="J1269" i="1" s="1"/>
  <c r="O1269" i="1" s="1"/>
  <c r="H1268" i="1"/>
  <c r="H1275" i="1" s="1"/>
  <c r="J1275" i="1" s="1"/>
  <c r="O1275" i="1" s="1"/>
  <c r="J1263" i="1"/>
  <c r="O1263" i="1" s="1"/>
  <c r="N1174" i="1"/>
  <c r="J1264" i="1"/>
  <c r="O1264" i="1" s="1"/>
  <c r="N1261" i="1"/>
  <c r="N1260" i="1" s="1"/>
  <c r="J1265" i="1"/>
  <c r="M1265" i="1" s="1"/>
  <c r="N1173" i="1"/>
  <c r="J1267" i="1"/>
  <c r="O1267" i="1" s="1"/>
  <c r="M1228" i="1"/>
  <c r="M1223" i="1"/>
  <c r="M1237" i="1"/>
  <c r="M1222" i="1"/>
  <c r="J1253" i="1"/>
  <c r="O1253" i="1" s="1"/>
  <c r="O1174" i="1"/>
  <c r="M1174" i="1"/>
  <c r="M1227" i="1"/>
  <c r="J1254" i="1"/>
  <c r="O1254" i="1" s="1"/>
  <c r="O1225" i="1"/>
  <c r="M1238" i="1"/>
  <c r="J1255" i="1"/>
  <c r="O1255" i="1" s="1"/>
  <c r="M1173" i="1"/>
  <c r="O1173" i="1"/>
  <c r="M1224" i="1"/>
  <c r="N1251" i="1"/>
  <c r="J1256" i="1"/>
  <c r="M1256" i="1" s="1"/>
  <c r="N1172" i="1"/>
  <c r="J1183" i="1"/>
  <c r="O1183" i="1" s="1"/>
  <c r="H1184" i="1"/>
  <c r="H1185" i="1"/>
  <c r="M1231" i="1"/>
  <c r="M1232" i="1"/>
  <c r="M1233" i="1"/>
  <c r="M1234" i="1"/>
  <c r="M1241" i="1"/>
  <c r="M1172" i="1"/>
  <c r="M1184" i="1"/>
  <c r="N1190" i="1"/>
  <c r="L1221" i="1"/>
  <c r="M1188" i="1"/>
  <c r="M1221" i="1"/>
  <c r="L1231" i="1"/>
  <c r="J1228" i="1"/>
  <c r="O1228" i="1" s="1"/>
  <c r="J1238" i="1"/>
  <c r="O1238" i="1" s="1"/>
  <c r="H1248" i="1"/>
  <c r="J1248" i="1" s="1"/>
  <c r="O1248" i="1" s="1"/>
  <c r="H1247" i="1"/>
  <c r="H1245" i="1"/>
  <c r="H1244" i="1"/>
  <c r="H1243" i="1"/>
  <c r="H1242" i="1"/>
  <c r="J1242" i="1" s="1"/>
  <c r="O1242" i="1" s="1"/>
  <c r="J1241" i="1"/>
  <c r="H1222" i="1"/>
  <c r="H1224" i="1"/>
  <c r="N1244" i="1"/>
  <c r="N1247" i="1"/>
  <c r="H1186" i="1"/>
  <c r="N1188" i="1"/>
  <c r="O1190" i="1"/>
  <c r="J1231" i="1"/>
  <c r="N1232" i="1"/>
  <c r="N1233" i="1"/>
  <c r="N1234" i="1"/>
  <c r="N1235" i="1"/>
  <c r="N1237" i="1"/>
  <c r="N1238" i="1"/>
  <c r="O1241" i="1"/>
  <c r="G1243" i="1"/>
  <c r="G1244" i="1"/>
  <c r="G1245" i="1"/>
  <c r="O1245" i="1"/>
  <c r="G1247" i="1"/>
  <c r="M1183" i="1"/>
  <c r="H1225" i="1"/>
  <c r="H1227" i="1"/>
  <c r="N1242" i="1"/>
  <c r="M1185" i="1"/>
  <c r="J1221" i="1"/>
  <c r="N1221" i="1" s="1"/>
  <c r="G1233" i="1"/>
  <c r="G1234" i="1"/>
  <c r="G1235" i="1"/>
  <c r="G1237" i="1"/>
  <c r="L1241" i="1"/>
  <c r="H1223" i="1"/>
  <c r="N1243" i="1"/>
  <c r="N1248" i="1"/>
  <c r="O1186" i="1"/>
  <c r="O1188" i="1"/>
  <c r="M1190" i="1"/>
  <c r="J1215" i="1"/>
  <c r="O1215" i="1" s="1"/>
  <c r="G1223" i="1"/>
  <c r="G1224" i="1"/>
  <c r="G1225" i="1"/>
  <c r="G1227" i="1"/>
  <c r="H1232" i="1"/>
  <c r="H1233" i="1"/>
  <c r="H1234" i="1"/>
  <c r="H1235" i="1"/>
  <c r="H1237" i="1"/>
  <c r="J1160" i="1"/>
  <c r="H1198" i="1"/>
  <c r="J1198" i="1" s="1"/>
  <c r="O1198" i="1" s="1"/>
  <c r="H1197" i="1"/>
  <c r="H1196" i="1"/>
  <c r="H1195" i="1"/>
  <c r="H1194" i="1"/>
  <c r="H1193" i="1"/>
  <c r="J1193" i="1" s="1"/>
  <c r="O1193" i="1" s="1"/>
  <c r="O1164" i="1"/>
  <c r="M1164" i="1"/>
  <c r="K1172" i="1"/>
  <c r="O1172" i="1"/>
  <c r="M1202" i="1"/>
  <c r="N1202" i="1"/>
  <c r="M1193" i="1"/>
  <c r="N1193" i="1"/>
  <c r="M1203" i="1"/>
  <c r="M1204" i="1"/>
  <c r="N1205" i="1"/>
  <c r="O1205" i="1"/>
  <c r="O1163" i="1"/>
  <c r="M1163" i="1"/>
  <c r="O1165" i="1"/>
  <c r="M1165" i="1"/>
  <c r="O1189" i="1"/>
  <c r="N1189" i="1"/>
  <c r="M1189" i="1"/>
  <c r="M1194" i="1"/>
  <c r="M1195" i="1"/>
  <c r="M1196" i="1"/>
  <c r="O1197" i="1"/>
  <c r="M1198" i="1"/>
  <c r="H1205" i="1"/>
  <c r="J1205" i="1" s="1"/>
  <c r="M1205" i="1" s="1"/>
  <c r="H1204" i="1"/>
  <c r="H1203" i="1"/>
  <c r="H1202" i="1"/>
  <c r="J1202" i="1" s="1"/>
  <c r="O1202" i="1" s="1"/>
  <c r="N1209" i="1"/>
  <c r="N1212" i="1"/>
  <c r="N1213" i="1"/>
  <c r="N1214" i="1"/>
  <c r="N1215" i="1"/>
  <c r="M1161" i="1"/>
  <c r="M1162" i="1"/>
  <c r="G1194" i="1"/>
  <c r="G1195" i="1"/>
  <c r="G1196" i="1"/>
  <c r="G1197" i="1"/>
  <c r="G1203" i="1"/>
  <c r="G1204" i="1"/>
  <c r="G1210" i="1"/>
  <c r="G1211" i="1"/>
  <c r="G1212" i="1"/>
  <c r="G1213" i="1"/>
  <c r="O1213" i="1"/>
  <c r="N1210" i="1"/>
  <c r="N1211" i="1"/>
  <c r="H1209" i="1"/>
  <c r="J1209" i="1" s="1"/>
  <c r="H1210" i="1"/>
  <c r="H1211" i="1"/>
  <c r="H1212" i="1"/>
  <c r="H1213" i="1"/>
  <c r="H1214" i="1"/>
  <c r="J1214" i="1" s="1"/>
  <c r="O1214" i="1" s="1"/>
  <c r="G1184" i="1"/>
  <c r="G1185" i="1"/>
  <c r="N1161" i="1"/>
  <c r="N1162" i="1"/>
  <c r="N1163" i="1"/>
  <c r="N1164" i="1"/>
  <c r="N1165" i="1"/>
  <c r="B2" i="3"/>
  <c r="E2" i="3"/>
  <c r="B3" i="3"/>
  <c r="E3" i="3"/>
  <c r="B4" i="3"/>
  <c r="E4" i="3"/>
  <c r="B5" i="3"/>
  <c r="E5" i="3"/>
  <c r="B6" i="3"/>
  <c r="E6" i="3"/>
  <c r="B7" i="3"/>
  <c r="E7" i="3"/>
  <c r="B8" i="3"/>
  <c r="E8" i="3"/>
  <c r="B9" i="3"/>
  <c r="E9" i="3"/>
  <c r="B10" i="3"/>
  <c r="E10" i="3"/>
  <c r="B11" i="3"/>
  <c r="E11" i="3"/>
  <c r="B12" i="3"/>
  <c r="E12" i="3"/>
  <c r="B13" i="3"/>
  <c r="E13" i="3"/>
  <c r="B14" i="3"/>
  <c r="E14" i="3"/>
  <c r="B15" i="3"/>
  <c r="E15" i="3"/>
  <c r="B16" i="3"/>
  <c r="E16" i="3"/>
  <c r="B17" i="3"/>
  <c r="E17" i="3"/>
  <c r="B18" i="3"/>
  <c r="E18" i="3"/>
  <c r="B19" i="3"/>
  <c r="E19" i="3"/>
  <c r="B20" i="3"/>
  <c r="E20" i="3"/>
  <c r="B21" i="3"/>
  <c r="E21" i="3"/>
  <c r="B22" i="3"/>
  <c r="E22" i="3"/>
  <c r="B23" i="3"/>
  <c r="E23" i="3"/>
  <c r="B24" i="3"/>
  <c r="E24" i="3"/>
  <c r="B25" i="3"/>
  <c r="E25" i="3"/>
  <c r="B26" i="3"/>
  <c r="E26" i="3"/>
  <c r="B27" i="3"/>
  <c r="E27" i="3"/>
  <c r="B28" i="3"/>
  <c r="E28" i="3"/>
  <c r="B29" i="3"/>
  <c r="E29" i="3"/>
  <c r="B30" i="3"/>
  <c r="E30" i="3"/>
  <c r="B31" i="3"/>
  <c r="E31" i="3"/>
  <c r="B32" i="3"/>
  <c r="E32" i="3"/>
  <c r="B33" i="3"/>
  <c r="E33" i="3"/>
  <c r="B34" i="3"/>
  <c r="E34" i="3"/>
  <c r="B35" i="3"/>
  <c r="E35" i="3"/>
  <c r="B36" i="3"/>
  <c r="E36" i="3"/>
  <c r="B37" i="3"/>
  <c r="E37" i="3"/>
  <c r="B38" i="3"/>
  <c r="E38" i="3"/>
  <c r="B39" i="3"/>
  <c r="E39" i="3"/>
  <c r="B40" i="3"/>
  <c r="E40" i="3"/>
  <c r="B41" i="3"/>
  <c r="E41" i="3"/>
  <c r="B42" i="3"/>
  <c r="E42" i="3"/>
  <c r="B43" i="3"/>
  <c r="E43" i="3"/>
  <c r="B44" i="3"/>
  <c r="E44" i="3"/>
  <c r="B45" i="3"/>
  <c r="E45" i="3"/>
  <c r="B46" i="3"/>
  <c r="E46" i="3"/>
  <c r="B47" i="3"/>
  <c r="E47" i="3"/>
  <c r="B48" i="3"/>
  <c r="E48" i="3"/>
  <c r="B49" i="3"/>
  <c r="E49" i="3"/>
  <c r="B50" i="3"/>
  <c r="E50" i="3"/>
  <c r="B51" i="3"/>
  <c r="E51" i="3"/>
  <c r="B52" i="3"/>
  <c r="E52" i="3"/>
  <c r="B53" i="3"/>
  <c r="E53" i="3"/>
  <c r="B54" i="3"/>
  <c r="E54" i="3"/>
  <c r="B55" i="3"/>
  <c r="E55" i="3"/>
  <c r="B56" i="3"/>
  <c r="E56" i="3"/>
  <c r="B57" i="3"/>
  <c r="E57" i="3"/>
  <c r="B58" i="3"/>
  <c r="E58" i="3"/>
  <c r="B59" i="3"/>
  <c r="E59" i="3"/>
  <c r="B60" i="3"/>
  <c r="E60" i="3"/>
  <c r="B61" i="3"/>
  <c r="E61" i="3"/>
  <c r="B62" i="3"/>
  <c r="E62" i="3"/>
  <c r="B63" i="3"/>
  <c r="E63" i="3"/>
  <c r="B64" i="3"/>
  <c r="E64" i="3"/>
  <c r="B65" i="3"/>
  <c r="E65" i="3"/>
  <c r="B66" i="3"/>
  <c r="E66" i="3"/>
  <c r="B67" i="3"/>
  <c r="E67" i="3"/>
  <c r="B68" i="3"/>
  <c r="E68" i="3"/>
  <c r="B69" i="3"/>
  <c r="E69" i="3"/>
  <c r="B70" i="3"/>
  <c r="E70" i="3"/>
  <c r="B71" i="3"/>
  <c r="E71" i="3"/>
  <c r="B72" i="3"/>
  <c r="E72" i="3"/>
  <c r="B73" i="3"/>
  <c r="E73" i="3"/>
  <c r="B74" i="3"/>
  <c r="E74" i="3"/>
  <c r="B75" i="3"/>
  <c r="E75" i="3"/>
  <c r="B76" i="3"/>
  <c r="E76" i="3"/>
  <c r="B77" i="3"/>
  <c r="E77" i="3"/>
  <c r="B78" i="3"/>
  <c r="E78" i="3"/>
  <c r="B79" i="3"/>
  <c r="E79" i="3"/>
  <c r="B80" i="3"/>
  <c r="E80" i="3"/>
  <c r="B81" i="3"/>
  <c r="E81" i="3"/>
  <c r="B82" i="3"/>
  <c r="E82" i="3"/>
  <c r="B83" i="3"/>
  <c r="E83" i="3"/>
  <c r="B84" i="3"/>
  <c r="E84" i="3"/>
  <c r="B85" i="3"/>
  <c r="E85" i="3"/>
  <c r="B86" i="3"/>
  <c r="E86" i="3"/>
  <c r="B87" i="3"/>
  <c r="E87" i="3"/>
  <c r="B88" i="3"/>
  <c r="E88" i="3"/>
  <c r="B89" i="3"/>
  <c r="E89" i="3"/>
  <c r="B90" i="3"/>
  <c r="E90" i="3"/>
  <c r="B91" i="3"/>
  <c r="E91" i="3"/>
  <c r="B92" i="3"/>
  <c r="E92" i="3"/>
  <c r="B93" i="3"/>
  <c r="E93" i="3"/>
  <c r="B94" i="3"/>
  <c r="E94" i="3"/>
  <c r="B95" i="3"/>
  <c r="E95" i="3"/>
  <c r="B96" i="3"/>
  <c r="E96" i="3"/>
  <c r="B97" i="3"/>
  <c r="E97" i="3"/>
  <c r="B98" i="3"/>
  <c r="E98" i="3"/>
  <c r="B99" i="3"/>
  <c r="E99" i="3"/>
  <c r="B100" i="3"/>
  <c r="E100" i="3"/>
  <c r="B101" i="3"/>
  <c r="E101" i="3"/>
  <c r="B102" i="3"/>
  <c r="E102" i="3"/>
  <c r="B103" i="3"/>
  <c r="E103" i="3"/>
  <c r="B104" i="3"/>
  <c r="E104" i="3"/>
  <c r="B105" i="3"/>
  <c r="E105" i="3"/>
  <c r="B106" i="3"/>
  <c r="E106" i="3"/>
  <c r="B107" i="3"/>
  <c r="E107" i="3"/>
  <c r="B108" i="3"/>
  <c r="E108" i="3"/>
  <c r="B109" i="3"/>
  <c r="E109" i="3"/>
  <c r="B110" i="3"/>
  <c r="E110" i="3"/>
  <c r="B111" i="3"/>
  <c r="E111" i="3"/>
  <c r="B112" i="3"/>
  <c r="E112" i="3"/>
  <c r="B113" i="3"/>
  <c r="E113" i="3"/>
  <c r="B114" i="3"/>
  <c r="E114" i="3"/>
  <c r="B115" i="3"/>
  <c r="E115" i="3"/>
  <c r="B116" i="3"/>
  <c r="E116" i="3"/>
  <c r="B117" i="3"/>
  <c r="E117" i="3"/>
  <c r="B118" i="3"/>
  <c r="E118" i="3"/>
  <c r="B119" i="3"/>
  <c r="E119" i="3"/>
  <c r="B120" i="3"/>
  <c r="E120" i="3"/>
  <c r="B121" i="3"/>
  <c r="E121" i="3"/>
  <c r="B122" i="3"/>
  <c r="E122" i="3"/>
  <c r="B123" i="3"/>
  <c r="E123" i="3"/>
  <c r="B124" i="3"/>
  <c r="E124" i="3"/>
  <c r="B125" i="3"/>
  <c r="E125" i="3"/>
  <c r="B126" i="3"/>
  <c r="E126" i="3"/>
  <c r="B127" i="3"/>
  <c r="E127" i="3"/>
  <c r="B128" i="3"/>
  <c r="E128" i="3"/>
  <c r="B129" i="3"/>
  <c r="E129" i="3"/>
  <c r="B130" i="3"/>
  <c r="E130" i="3"/>
  <c r="B131" i="3"/>
  <c r="E131" i="3"/>
  <c r="B132" i="3"/>
  <c r="E132" i="3"/>
  <c r="B133" i="3"/>
  <c r="E133" i="3"/>
  <c r="B134" i="3"/>
  <c r="E134" i="3"/>
  <c r="B135" i="3"/>
  <c r="E135" i="3"/>
  <c r="B136" i="3"/>
  <c r="E136" i="3"/>
  <c r="B137" i="3"/>
  <c r="E137" i="3"/>
  <c r="B138" i="3"/>
  <c r="E138" i="3"/>
  <c r="B139" i="3"/>
  <c r="E139" i="3"/>
  <c r="B140" i="3"/>
  <c r="E140" i="3"/>
  <c r="B141" i="3"/>
  <c r="E141" i="3"/>
  <c r="B142" i="3"/>
  <c r="E142" i="3"/>
  <c r="B143" i="3"/>
  <c r="E143" i="3"/>
  <c r="B144" i="3"/>
  <c r="E144" i="3"/>
  <c r="B145" i="3"/>
  <c r="E145" i="3"/>
  <c r="B146" i="3"/>
  <c r="E146" i="3"/>
  <c r="B147" i="3"/>
  <c r="E147" i="3"/>
  <c r="B148" i="3"/>
  <c r="E148" i="3"/>
  <c r="B149" i="3"/>
  <c r="E149" i="3"/>
  <c r="B150" i="3"/>
  <c r="E150" i="3"/>
  <c r="B151" i="3"/>
  <c r="E151" i="3"/>
  <c r="B152" i="3"/>
  <c r="E152" i="3"/>
  <c r="B153" i="3"/>
  <c r="E153" i="3"/>
  <c r="B154" i="3"/>
  <c r="E154" i="3"/>
  <c r="B155" i="3"/>
  <c r="E155" i="3"/>
  <c r="B156" i="3"/>
  <c r="E156" i="3"/>
  <c r="B157" i="3"/>
  <c r="E157" i="3"/>
  <c r="B158" i="3"/>
  <c r="E158" i="3"/>
  <c r="B159" i="3"/>
  <c r="E159" i="3"/>
  <c r="B160" i="3"/>
  <c r="E160" i="3"/>
  <c r="B161" i="3"/>
  <c r="E161" i="3"/>
  <c r="B162" i="3"/>
  <c r="E162" i="3"/>
  <c r="B163" i="3"/>
  <c r="E163" i="3"/>
  <c r="B164" i="3"/>
  <c r="E164" i="3"/>
  <c r="B165" i="3"/>
  <c r="E165" i="3"/>
  <c r="B166" i="3"/>
  <c r="E166" i="3"/>
  <c r="B167" i="3"/>
  <c r="E167" i="3"/>
  <c r="B168" i="3"/>
  <c r="E168" i="3"/>
  <c r="B169" i="3"/>
  <c r="E169" i="3"/>
  <c r="B170" i="3"/>
  <c r="E170" i="3"/>
  <c r="B171" i="3"/>
  <c r="E171" i="3"/>
  <c r="B172" i="3"/>
  <c r="E172" i="3"/>
  <c r="B173" i="3"/>
  <c r="E173" i="3"/>
  <c r="B174" i="3"/>
  <c r="E174" i="3"/>
  <c r="B175" i="3"/>
  <c r="E175" i="3"/>
  <c r="B176" i="3"/>
  <c r="E176" i="3"/>
  <c r="B177" i="3"/>
  <c r="E177" i="3"/>
  <c r="B178" i="3"/>
  <c r="E178" i="3"/>
  <c r="B179" i="3"/>
  <c r="E179" i="3"/>
  <c r="B180" i="3"/>
  <c r="E180" i="3"/>
  <c r="B181" i="3"/>
  <c r="E181" i="3"/>
  <c r="B182" i="3"/>
  <c r="E182" i="3"/>
  <c r="B183" i="3"/>
  <c r="E183" i="3"/>
  <c r="B184" i="3"/>
  <c r="E184" i="3"/>
  <c r="B185" i="3"/>
  <c r="E185" i="3"/>
  <c r="B186" i="3"/>
  <c r="E186" i="3"/>
  <c r="B187" i="3"/>
  <c r="E187" i="3"/>
  <c r="B188" i="3"/>
  <c r="E188" i="3"/>
  <c r="B189" i="3"/>
  <c r="E189" i="3"/>
  <c r="B190" i="3"/>
  <c r="E190" i="3"/>
  <c r="B191" i="3"/>
  <c r="E191" i="3"/>
  <c r="B192" i="3"/>
  <c r="E192" i="3"/>
  <c r="B193" i="3"/>
  <c r="E193" i="3"/>
  <c r="B194" i="3"/>
  <c r="E194" i="3"/>
  <c r="B195" i="3"/>
  <c r="E195" i="3"/>
  <c r="B196" i="3"/>
  <c r="E196" i="3"/>
  <c r="B197" i="3"/>
  <c r="E197" i="3"/>
  <c r="B198" i="3"/>
  <c r="E198" i="3"/>
  <c r="B199" i="3"/>
  <c r="E199" i="3"/>
  <c r="B200" i="3"/>
  <c r="E200" i="3"/>
  <c r="B201" i="3"/>
  <c r="E201" i="3"/>
  <c r="B202" i="3"/>
  <c r="E202" i="3"/>
  <c r="B203" i="3"/>
  <c r="E203" i="3"/>
  <c r="B204" i="3"/>
  <c r="E204" i="3"/>
  <c r="B205" i="3"/>
  <c r="E205" i="3"/>
  <c r="B206" i="3"/>
  <c r="E206" i="3"/>
  <c r="B207" i="3"/>
  <c r="E207" i="3"/>
  <c r="B208" i="3"/>
  <c r="E208" i="3"/>
  <c r="B209" i="3"/>
  <c r="E209" i="3"/>
  <c r="B210" i="3"/>
  <c r="E210" i="3"/>
  <c r="B211" i="3"/>
  <c r="E211" i="3"/>
  <c r="B212" i="3"/>
  <c r="E212" i="3"/>
  <c r="B213" i="3"/>
  <c r="E213" i="3"/>
  <c r="B214" i="3"/>
  <c r="E214" i="3"/>
  <c r="B215" i="3"/>
  <c r="E215" i="3"/>
  <c r="B216" i="3"/>
  <c r="E216" i="3"/>
  <c r="B217" i="3"/>
  <c r="E217" i="3"/>
  <c r="B218" i="3"/>
  <c r="E218" i="3"/>
  <c r="B219" i="3"/>
  <c r="E219" i="3"/>
  <c r="B220" i="3"/>
  <c r="E220" i="3"/>
  <c r="B221" i="3"/>
  <c r="E221" i="3"/>
  <c r="B222" i="3"/>
  <c r="E222" i="3"/>
  <c r="B223" i="3"/>
  <c r="E223" i="3"/>
  <c r="B224" i="3"/>
  <c r="E224" i="3"/>
  <c r="B225" i="3"/>
  <c r="E225" i="3"/>
  <c r="B226" i="3"/>
  <c r="E226" i="3"/>
  <c r="B227" i="3"/>
  <c r="E227" i="3"/>
  <c r="B228" i="3"/>
  <c r="E228" i="3"/>
  <c r="B229" i="3"/>
  <c r="E229" i="3"/>
  <c r="B230" i="3"/>
  <c r="E230" i="3"/>
  <c r="B231" i="3"/>
  <c r="E231" i="3"/>
  <c r="B232" i="3"/>
  <c r="E232" i="3"/>
  <c r="B233" i="3"/>
  <c r="E233" i="3"/>
  <c r="B234" i="3"/>
  <c r="E234" i="3"/>
  <c r="B235" i="3"/>
  <c r="E235" i="3"/>
  <c r="B236" i="3"/>
  <c r="E236" i="3"/>
  <c r="B237" i="3"/>
  <c r="E237" i="3"/>
  <c r="B238" i="3"/>
  <c r="E238" i="3"/>
  <c r="B239" i="3"/>
  <c r="E239" i="3"/>
  <c r="B240" i="3"/>
  <c r="E240" i="3"/>
  <c r="B241" i="3"/>
  <c r="E241" i="3"/>
  <c r="B242" i="3"/>
  <c r="E242" i="3"/>
  <c r="B243" i="3"/>
  <c r="E243" i="3"/>
  <c r="B244" i="3"/>
  <c r="E244" i="3"/>
  <c r="B245" i="3"/>
  <c r="E245" i="3"/>
  <c r="B246" i="3"/>
  <c r="E246" i="3"/>
  <c r="B247" i="3"/>
  <c r="E247" i="3"/>
  <c r="B248" i="3"/>
  <c r="E248" i="3"/>
  <c r="B249" i="3"/>
  <c r="E249" i="3"/>
  <c r="B250" i="3"/>
  <c r="E250" i="3"/>
  <c r="B251" i="3"/>
  <c r="E251" i="3"/>
  <c r="B252" i="3"/>
  <c r="E252" i="3"/>
  <c r="B253" i="3"/>
  <c r="E253" i="3"/>
  <c r="B254" i="3"/>
  <c r="E254" i="3"/>
  <c r="B255" i="3"/>
  <c r="E255" i="3"/>
  <c r="B256" i="3"/>
  <c r="E256" i="3"/>
  <c r="B257" i="3"/>
  <c r="E257" i="3"/>
  <c r="B258" i="3"/>
  <c r="E258" i="3"/>
  <c r="B259" i="3"/>
  <c r="E259" i="3"/>
  <c r="B260" i="3"/>
  <c r="E260" i="3"/>
  <c r="B261" i="3"/>
  <c r="E261" i="3"/>
  <c r="B262" i="3"/>
  <c r="E262" i="3"/>
  <c r="B263" i="3"/>
  <c r="E263" i="3"/>
  <c r="B264" i="3"/>
  <c r="E264" i="3"/>
  <c r="B265" i="3"/>
  <c r="E265" i="3"/>
  <c r="B266" i="3"/>
  <c r="E266" i="3"/>
  <c r="B267" i="3"/>
  <c r="E267" i="3"/>
  <c r="B268" i="3"/>
  <c r="E268" i="3"/>
  <c r="B269" i="3"/>
  <c r="E269" i="3"/>
  <c r="B270" i="3"/>
  <c r="E270" i="3"/>
  <c r="B271" i="3"/>
  <c r="E271" i="3"/>
  <c r="B272" i="3"/>
  <c r="E272" i="3"/>
  <c r="B273" i="3"/>
  <c r="B322" i="3"/>
  <c r="E322" i="3"/>
  <c r="B323" i="3"/>
  <c r="E323" i="3"/>
  <c r="B324" i="3"/>
  <c r="E324" i="3"/>
  <c r="B325" i="3"/>
  <c r="E325" i="3"/>
  <c r="B326" i="3"/>
  <c r="E326" i="3"/>
  <c r="B327" i="3"/>
  <c r="E327" i="3"/>
  <c r="B328" i="3"/>
  <c r="E328" i="3"/>
  <c r="B329" i="3"/>
  <c r="E329" i="3"/>
  <c r="Q1283" i="1" l="1"/>
  <c r="Q1282" i="1" s="1"/>
  <c r="N1192" i="1"/>
  <c r="P1181" i="1"/>
  <c r="P1160" i="1"/>
  <c r="P1220" i="1"/>
  <c r="P1192" i="1"/>
  <c r="P1200" i="1"/>
  <c r="P1240" i="1"/>
  <c r="N1220" i="1"/>
  <c r="P1230" i="1"/>
  <c r="P1208" i="1"/>
  <c r="M1170" i="1"/>
  <c r="N1170" i="1"/>
  <c r="O1170" i="1"/>
  <c r="N1181" i="1"/>
  <c r="J1271" i="1"/>
  <c r="M1271" i="1" s="1"/>
  <c r="H1276" i="1"/>
  <c r="J1276" i="1" s="1"/>
  <c r="O1276" i="1" s="1"/>
  <c r="H1277" i="1"/>
  <c r="J1274" i="1"/>
  <c r="O1274" i="1" s="1"/>
  <c r="J1268" i="1"/>
  <c r="O1268" i="1" s="1"/>
  <c r="O1271" i="1"/>
  <c r="J1251" i="1"/>
  <c r="I1251" i="1" s="1"/>
  <c r="O1251" i="1"/>
  <c r="M1251" i="1"/>
  <c r="O1160" i="1"/>
  <c r="M1160" i="1"/>
  <c r="J1185" i="1"/>
  <c r="O1185" i="1" s="1"/>
  <c r="J1186" i="1"/>
  <c r="M1186" i="1" s="1"/>
  <c r="M1181" i="1" s="1"/>
  <c r="J1204" i="1"/>
  <c r="O1204" i="1" s="1"/>
  <c r="J1210" i="1"/>
  <c r="O1210" i="1" s="1"/>
  <c r="J1195" i="1"/>
  <c r="O1195" i="1" s="1"/>
  <c r="J1234" i="1"/>
  <c r="O1234" i="1" s="1"/>
  <c r="J1223" i="1"/>
  <c r="O1223" i="1" s="1"/>
  <c r="N1241" i="1"/>
  <c r="J1245" i="1"/>
  <c r="M1245" i="1" s="1"/>
  <c r="J1233" i="1"/>
  <c r="O1233" i="1" s="1"/>
  <c r="N1231" i="1"/>
  <c r="J1224" i="1"/>
  <c r="O1224" i="1" s="1"/>
  <c r="J1247" i="1"/>
  <c r="O1247" i="1" s="1"/>
  <c r="J1213" i="1"/>
  <c r="M1213" i="1" s="1"/>
  <c r="J1211" i="1"/>
  <c r="O1211" i="1" s="1"/>
  <c r="J1237" i="1"/>
  <c r="O1237" i="1" s="1"/>
  <c r="J1232" i="1"/>
  <c r="O1232" i="1" s="1"/>
  <c r="J1227" i="1"/>
  <c r="O1227" i="1" s="1"/>
  <c r="J1222" i="1"/>
  <c r="O1222" i="1" s="1"/>
  <c r="J1243" i="1"/>
  <c r="O1243" i="1" s="1"/>
  <c r="J1235" i="1"/>
  <c r="M1235" i="1" s="1"/>
  <c r="J1225" i="1"/>
  <c r="M1225" i="1" s="1"/>
  <c r="J1244" i="1"/>
  <c r="O1244" i="1" s="1"/>
  <c r="N1208" i="1"/>
  <c r="J1196" i="1"/>
  <c r="O1196" i="1" s="1"/>
  <c r="N1200" i="1"/>
  <c r="J1197" i="1"/>
  <c r="M1197" i="1" s="1"/>
  <c r="J1212" i="1"/>
  <c r="O1212" i="1" s="1"/>
  <c r="O1209" i="1"/>
  <c r="J1203" i="1"/>
  <c r="O1203" i="1" s="1"/>
  <c r="M1200" i="1"/>
  <c r="J1184" i="1"/>
  <c r="J1194" i="1"/>
  <c r="O1194" i="1" s="1"/>
  <c r="N1160" i="1"/>
  <c r="H1342" i="1"/>
  <c r="H1343" i="1" s="1"/>
  <c r="L1343" i="1" s="1"/>
  <c r="K1343" i="1" s="1"/>
  <c r="H1354" i="1"/>
  <c r="H1355" i="1" s="1"/>
  <c r="L1355" i="1" s="1"/>
  <c r="K1355" i="1" s="1"/>
  <c r="H1351" i="1"/>
  <c r="H1352" i="1" s="1"/>
  <c r="L1352" i="1" s="1"/>
  <c r="K1352" i="1" s="1"/>
  <c r="H1348" i="1"/>
  <c r="H1349" i="1" s="1"/>
  <c r="L1349" i="1" s="1"/>
  <c r="K1349" i="1" s="1"/>
  <c r="H1345" i="1"/>
  <c r="H1346" i="1" s="1"/>
  <c r="L1346" i="1" s="1"/>
  <c r="K1346" i="1" s="1"/>
  <c r="H1339" i="1"/>
  <c r="H1340" i="1" s="1"/>
  <c r="L1340" i="1" s="1"/>
  <c r="K1340" i="1" s="1"/>
  <c r="H1336" i="1"/>
  <c r="H1337" i="1" s="1"/>
  <c r="L1337" i="1" s="1"/>
  <c r="H1333" i="1"/>
  <c r="H1334" i="1" s="1"/>
  <c r="L1334" i="1" s="1"/>
  <c r="K1334" i="1" s="1"/>
  <c r="O1355" i="1"/>
  <c r="O1354" i="1" s="1"/>
  <c r="N1355" i="1"/>
  <c r="N1354" i="1" s="1"/>
  <c r="M1355" i="1"/>
  <c r="M1354" i="1" s="1"/>
  <c r="I1355" i="1"/>
  <c r="O1352" i="1"/>
  <c r="O1351" i="1" s="1"/>
  <c r="N1352" i="1"/>
  <c r="N1351" i="1" s="1"/>
  <c r="M1352" i="1"/>
  <c r="M1351" i="1" s="1"/>
  <c r="I1352" i="1"/>
  <c r="P1349" i="1"/>
  <c r="P1348" i="1" s="1"/>
  <c r="N1349" i="1"/>
  <c r="N1348" i="1" s="1"/>
  <c r="M1349" i="1"/>
  <c r="M1348" i="1" s="1"/>
  <c r="I1349" i="1"/>
  <c r="P1346" i="1"/>
  <c r="P1345" i="1" s="1"/>
  <c r="N1346" i="1"/>
  <c r="N1345" i="1" s="1"/>
  <c r="M1346" i="1"/>
  <c r="M1345" i="1" s="1"/>
  <c r="I1346" i="1"/>
  <c r="O1343" i="1"/>
  <c r="O1342" i="1" s="1"/>
  <c r="N1343" i="1"/>
  <c r="N1342" i="1" s="1"/>
  <c r="M1343" i="1"/>
  <c r="M1342" i="1" s="1"/>
  <c r="I1343" i="1"/>
  <c r="P1340" i="1"/>
  <c r="P1339" i="1" s="1"/>
  <c r="N1340" i="1"/>
  <c r="N1339" i="1" s="1"/>
  <c r="M1340" i="1"/>
  <c r="M1339" i="1" s="1"/>
  <c r="I1340" i="1"/>
  <c r="P1337" i="1"/>
  <c r="P1336" i="1" s="1"/>
  <c r="O1337" i="1"/>
  <c r="O1336" i="1" s="1"/>
  <c r="N1337" i="1"/>
  <c r="N1336" i="1" s="1"/>
  <c r="I1337" i="1"/>
  <c r="P1334" i="1"/>
  <c r="P1333" i="1" s="1"/>
  <c r="O1334" i="1"/>
  <c r="O1333" i="1" s="1"/>
  <c r="N1334" i="1"/>
  <c r="N1333" i="1" s="1"/>
  <c r="I1334" i="1"/>
  <c r="F149" i="5" l="1"/>
  <c r="E291" i="6"/>
  <c r="P1167" i="1"/>
  <c r="J1277" i="1"/>
  <c r="J1260" i="1" s="1"/>
  <c r="I1260" i="1" s="1"/>
  <c r="O1277" i="1"/>
  <c r="O1260" i="1" s="1"/>
  <c r="O1200" i="1"/>
  <c r="O1192" i="1"/>
  <c r="M1208" i="1"/>
  <c r="O1230" i="1"/>
  <c r="O1240" i="1"/>
  <c r="J1220" i="1"/>
  <c r="M1230" i="1"/>
  <c r="M1240" i="1"/>
  <c r="O1220" i="1"/>
  <c r="O1208" i="1"/>
  <c r="N1230" i="1"/>
  <c r="N1240" i="1"/>
  <c r="M1220" i="1"/>
  <c r="J1230" i="1"/>
  <c r="J1240" i="1"/>
  <c r="J1192" i="1"/>
  <c r="J1200" i="1"/>
  <c r="O1184" i="1"/>
  <c r="J1181" i="1"/>
  <c r="M1192" i="1"/>
  <c r="J1208" i="1"/>
  <c r="K1337" i="1"/>
  <c r="L1336" i="1"/>
  <c r="L1348" i="1"/>
  <c r="L1333" i="1"/>
  <c r="L1345" i="1"/>
  <c r="L1342" i="1"/>
  <c r="L1354" i="1"/>
  <c r="L1339" i="1"/>
  <c r="L1351" i="1"/>
  <c r="J1355" i="1"/>
  <c r="J1352" i="1"/>
  <c r="J1349" i="1"/>
  <c r="J1346" i="1"/>
  <c r="J1343" i="1"/>
  <c r="J1340" i="1"/>
  <c r="J1337" i="1"/>
  <c r="J1334" i="1"/>
  <c r="G547" i="1"/>
  <c r="G549" i="1" s="1"/>
  <c r="G544" i="1"/>
  <c r="G545" i="1" s="1"/>
  <c r="G541" i="1"/>
  <c r="G542" i="1" s="1"/>
  <c r="G537" i="1"/>
  <c r="G522" i="1"/>
  <c r="G524" i="1" s="1"/>
  <c r="G519" i="1"/>
  <c r="G520" i="1" s="1"/>
  <c r="G516" i="1"/>
  <c r="G517" i="1" s="1"/>
  <c r="G512" i="1"/>
  <c r="G513" i="1" s="1"/>
  <c r="G493" i="1"/>
  <c r="G495" i="1" s="1"/>
  <c r="G490" i="1"/>
  <c r="G491" i="1" s="1"/>
  <c r="G487" i="1"/>
  <c r="G488" i="1" s="1"/>
  <c r="G483" i="1"/>
  <c r="G485" i="1" s="1"/>
  <c r="G466" i="1"/>
  <c r="G468" i="1" s="1"/>
  <c r="G463" i="1"/>
  <c r="G464" i="1" s="1"/>
  <c r="G460" i="1"/>
  <c r="G461" i="1" s="1"/>
  <c r="G456" i="1"/>
  <c r="G458" i="1" s="1"/>
  <c r="G441" i="1"/>
  <c r="G443" i="1" s="1"/>
  <c r="G438" i="1"/>
  <c r="G439" i="1" s="1"/>
  <c r="G435" i="1"/>
  <c r="G436" i="1" s="1"/>
  <c r="G431" i="1"/>
  <c r="G433" i="1" s="1"/>
  <c r="G414" i="1"/>
  <c r="G416" i="1" s="1"/>
  <c r="G411" i="1"/>
  <c r="G408" i="1"/>
  <c r="G409" i="1" s="1"/>
  <c r="G404" i="1"/>
  <c r="G406" i="1" s="1"/>
  <c r="G387" i="1"/>
  <c r="G389" i="1" s="1"/>
  <c r="G384" i="1"/>
  <c r="G385" i="1" s="1"/>
  <c r="G381" i="1"/>
  <c r="G382" i="1" s="1"/>
  <c r="G377" i="1"/>
  <c r="G378" i="1" s="1"/>
  <c r="G290" i="1"/>
  <c r="G292" i="1" s="1"/>
  <c r="G287" i="1"/>
  <c r="G288" i="1" s="1"/>
  <c r="G284" i="1"/>
  <c r="G285" i="1" s="1"/>
  <c r="G280" i="1"/>
  <c r="G282" i="1" s="1"/>
  <c r="G265" i="1"/>
  <c r="G266" i="1" s="1"/>
  <c r="G262" i="1"/>
  <c r="G263" i="1" s="1"/>
  <c r="G259" i="1"/>
  <c r="G260" i="1" s="1"/>
  <c r="G255" i="1"/>
  <c r="G257" i="1" s="1"/>
  <c r="H507" i="1"/>
  <c r="H520" i="1" s="1"/>
  <c r="H77" i="1"/>
  <c r="H78" i="1" s="1"/>
  <c r="H81" i="1" s="1"/>
  <c r="H1154" i="1"/>
  <c r="H1155" i="1" s="1"/>
  <c r="G1151" i="1"/>
  <c r="G1152" i="1" s="1"/>
  <c r="H1149" i="1"/>
  <c r="H1150" i="1" s="1"/>
  <c r="H1146" i="1"/>
  <c r="H1147" i="1" s="1"/>
  <c r="G1141" i="1"/>
  <c r="G1143" i="1" s="1"/>
  <c r="H1139" i="1"/>
  <c r="H1140" i="1" s="1"/>
  <c r="G1137" i="1"/>
  <c r="H1135" i="1"/>
  <c r="H1136" i="1" s="1"/>
  <c r="H1137" i="1" s="1"/>
  <c r="G1131" i="1"/>
  <c r="G1133" i="1" s="1"/>
  <c r="H1130" i="1"/>
  <c r="H1133" i="1" s="1"/>
  <c r="G1125" i="1"/>
  <c r="G1126" i="1" s="1"/>
  <c r="H1118" i="1"/>
  <c r="H1125" i="1" s="1"/>
  <c r="G1116" i="1"/>
  <c r="H1113" i="1"/>
  <c r="H1114" i="1" s="1"/>
  <c r="H1109" i="1"/>
  <c r="H1110" i="1" s="1"/>
  <c r="G1105" i="1"/>
  <c r="G1107" i="1" s="1"/>
  <c r="H1100" i="1"/>
  <c r="H1104" i="1" s="1"/>
  <c r="H1092" i="1"/>
  <c r="H1087" i="1"/>
  <c r="H1088" i="1" s="1"/>
  <c r="H1082" i="1"/>
  <c r="H1083" i="1" s="1"/>
  <c r="H1079" i="1"/>
  <c r="H1080" i="1" s="1"/>
  <c r="G1074" i="1"/>
  <c r="H1073" i="1"/>
  <c r="H1075" i="1" s="1"/>
  <c r="G1063" i="1"/>
  <c r="G1066" i="1" s="1"/>
  <c r="H1061" i="1"/>
  <c r="H1062" i="1" s="1"/>
  <c r="H1069" i="1" s="1"/>
  <c r="G1053" i="1"/>
  <c r="G1056" i="1" s="1"/>
  <c r="H1051" i="1"/>
  <c r="H1052" i="1" s="1"/>
  <c r="H1059" i="1" s="1"/>
  <c r="G1043" i="1"/>
  <c r="G1046" i="1" s="1"/>
  <c r="H1041" i="1"/>
  <c r="H1042" i="1" s="1"/>
  <c r="H1049" i="1" s="1"/>
  <c r="G1032" i="1"/>
  <c r="G1035" i="1" s="1"/>
  <c r="H1030" i="1"/>
  <c r="H1031" i="1" s="1"/>
  <c r="H1038" i="1" s="1"/>
  <c r="G1022" i="1"/>
  <c r="G1025" i="1" s="1"/>
  <c r="H1020" i="1"/>
  <c r="H1021" i="1" s="1"/>
  <c r="H1027" i="1" s="1"/>
  <c r="G1012" i="1"/>
  <c r="G1015" i="1" s="1"/>
  <c r="H1010" i="1"/>
  <c r="H1011" i="1" s="1"/>
  <c r="H1017" i="1" s="1"/>
  <c r="G998" i="1"/>
  <c r="G1003" i="1" s="1"/>
  <c r="H997" i="1"/>
  <c r="H1004" i="1" s="1"/>
  <c r="G989" i="1"/>
  <c r="G992" i="1" s="1"/>
  <c r="H988" i="1"/>
  <c r="H995" i="1" s="1"/>
  <c r="G978" i="1"/>
  <c r="G982" i="1" s="1"/>
  <c r="H977" i="1"/>
  <c r="H983" i="1" s="1"/>
  <c r="G969" i="1"/>
  <c r="G974" i="1" s="1"/>
  <c r="H968" i="1"/>
  <c r="H975" i="1" s="1"/>
  <c r="G959" i="1"/>
  <c r="G962" i="1" s="1"/>
  <c r="H958" i="1"/>
  <c r="H962" i="1" s="1"/>
  <c r="G953" i="1"/>
  <c r="G955" i="1" s="1"/>
  <c r="H951" i="1"/>
  <c r="H953" i="1" s="1"/>
  <c r="G943" i="1"/>
  <c r="G947" i="1" s="1"/>
  <c r="H942" i="1"/>
  <c r="H945" i="1" s="1"/>
  <c r="H936" i="1"/>
  <c r="H937" i="1" s="1"/>
  <c r="H931" i="1"/>
  <c r="H933" i="1" s="1"/>
  <c r="H927" i="1"/>
  <c r="H929" i="1" s="1"/>
  <c r="H923" i="1"/>
  <c r="H925" i="1" s="1"/>
  <c r="H919" i="1"/>
  <c r="H920" i="1" s="1"/>
  <c r="H913" i="1"/>
  <c r="H916" i="1" s="1"/>
  <c r="H909" i="1"/>
  <c r="H911" i="1" s="1"/>
  <c r="H906" i="1"/>
  <c r="H907" i="1" s="1"/>
  <c r="H900" i="1"/>
  <c r="H902" i="1" s="1"/>
  <c r="H894" i="1"/>
  <c r="H895" i="1" s="1"/>
  <c r="G887" i="1"/>
  <c r="H885" i="1"/>
  <c r="H887" i="1" s="1"/>
  <c r="G881" i="1"/>
  <c r="G883" i="1" s="1"/>
  <c r="G878" i="1"/>
  <c r="G879" i="1" s="1"/>
  <c r="G875" i="1"/>
  <c r="G876" i="1" s="1"/>
  <c r="G870" i="1"/>
  <c r="G871" i="1" s="1"/>
  <c r="H864" i="1"/>
  <c r="H883" i="1" s="1"/>
  <c r="H860" i="1"/>
  <c r="H861" i="1" s="1"/>
  <c r="G858" i="1"/>
  <c r="H855" i="1"/>
  <c r="H856" i="1" s="1"/>
  <c r="H852" i="1"/>
  <c r="H853" i="1" s="1"/>
  <c r="G847" i="1"/>
  <c r="G849" i="1" s="1"/>
  <c r="H845" i="1"/>
  <c r="H846" i="1" s="1"/>
  <c r="G843" i="1"/>
  <c r="H841" i="1"/>
  <c r="H842" i="1" s="1"/>
  <c r="G837" i="1"/>
  <c r="G839" i="1" s="1"/>
  <c r="H836" i="1"/>
  <c r="H839" i="1" s="1"/>
  <c r="G832" i="1"/>
  <c r="G833" i="1" s="1"/>
  <c r="H825" i="1"/>
  <c r="H829" i="1" s="1"/>
  <c r="G822" i="1"/>
  <c r="G823" i="1" s="1"/>
  <c r="H820" i="1"/>
  <c r="H821" i="1" s="1"/>
  <c r="H816" i="1"/>
  <c r="H817" i="1" s="1"/>
  <c r="G812" i="1"/>
  <c r="G814" i="1" s="1"/>
  <c r="H807" i="1"/>
  <c r="H811" i="1" s="1"/>
  <c r="H799" i="1"/>
  <c r="H802" i="1" s="1"/>
  <c r="H795" i="1"/>
  <c r="H796" i="1" s="1"/>
  <c r="H791" i="1"/>
  <c r="H792" i="1" s="1"/>
  <c r="H788" i="1"/>
  <c r="H789" i="1" s="1"/>
  <c r="G784" i="1"/>
  <c r="H783" i="1"/>
  <c r="H785" i="1" s="1"/>
  <c r="G774" i="1"/>
  <c r="G777" i="1" s="1"/>
  <c r="H772" i="1"/>
  <c r="H773" i="1" s="1"/>
  <c r="H779" i="1" s="1"/>
  <c r="G764" i="1"/>
  <c r="G767" i="1" s="1"/>
  <c r="H762" i="1"/>
  <c r="H763" i="1" s="1"/>
  <c r="H769" i="1" s="1"/>
  <c r="G754" i="1"/>
  <c r="G757" i="1" s="1"/>
  <c r="H752" i="1"/>
  <c r="H753" i="1" s="1"/>
  <c r="H759" i="1" s="1"/>
  <c r="G743" i="1"/>
  <c r="G745" i="1" s="1"/>
  <c r="H741" i="1"/>
  <c r="H742" i="1" s="1"/>
  <c r="H748" i="1" s="1"/>
  <c r="G733" i="1"/>
  <c r="G736" i="1" s="1"/>
  <c r="H731" i="1"/>
  <c r="H732" i="1" s="1"/>
  <c r="H738" i="1" s="1"/>
  <c r="G723" i="1"/>
  <c r="G726" i="1" s="1"/>
  <c r="H721" i="1"/>
  <c r="H722" i="1" s="1"/>
  <c r="H728" i="1" s="1"/>
  <c r="G710" i="1"/>
  <c r="G715" i="1" s="1"/>
  <c r="H709" i="1"/>
  <c r="H716" i="1" s="1"/>
  <c r="G701" i="1"/>
  <c r="G704" i="1" s="1"/>
  <c r="H700" i="1"/>
  <c r="H705" i="1" s="1"/>
  <c r="G691" i="1"/>
  <c r="G695" i="1" s="1"/>
  <c r="H690" i="1"/>
  <c r="H696" i="1" s="1"/>
  <c r="G682" i="1"/>
  <c r="G687" i="1" s="1"/>
  <c r="H681" i="1"/>
  <c r="H687" i="1" s="1"/>
  <c r="G673" i="1"/>
  <c r="G676" i="1" s="1"/>
  <c r="H672" i="1"/>
  <c r="H676" i="1" s="1"/>
  <c r="G667" i="1"/>
  <c r="G669" i="1" s="1"/>
  <c r="H665" i="1"/>
  <c r="H667" i="1" s="1"/>
  <c r="H657" i="1"/>
  <c r="H662" i="1" s="1"/>
  <c r="H652" i="1"/>
  <c r="H655" i="1" s="1"/>
  <c r="H647" i="1"/>
  <c r="H648" i="1" s="1"/>
  <c r="H643" i="1"/>
  <c r="H645" i="1" s="1"/>
  <c r="H639" i="1"/>
  <c r="H641" i="1" s="1"/>
  <c r="H635" i="1"/>
  <c r="H637" i="1" s="1"/>
  <c r="H629" i="1"/>
  <c r="H631" i="1" s="1"/>
  <c r="H625" i="1"/>
  <c r="H627" i="1" s="1"/>
  <c r="H622" i="1"/>
  <c r="H623" i="1" s="1"/>
  <c r="H616" i="1"/>
  <c r="H619" i="1" s="1"/>
  <c r="H610" i="1"/>
  <c r="H612" i="1" s="1"/>
  <c r="G600" i="1"/>
  <c r="G603" i="1" s="1"/>
  <c r="G595" i="1"/>
  <c r="G597" i="1" s="1"/>
  <c r="H593" i="1"/>
  <c r="H602" i="1" s="1"/>
  <c r="G590" i="1"/>
  <c r="G591" i="1" s="1"/>
  <c r="H588" i="1"/>
  <c r="H589" i="1" s="1"/>
  <c r="G584" i="1"/>
  <c r="G586" i="1" s="1"/>
  <c r="H583" i="1"/>
  <c r="H586" i="1" s="1"/>
  <c r="G581" i="1"/>
  <c r="H579" i="1"/>
  <c r="H581" i="1" s="1"/>
  <c r="G576" i="1"/>
  <c r="G577" i="1" s="1"/>
  <c r="G573" i="1"/>
  <c r="G574" i="1" s="1"/>
  <c r="G570" i="1"/>
  <c r="G571" i="1" s="1"/>
  <c r="G565" i="1"/>
  <c r="G568" i="1" s="1"/>
  <c r="H559" i="1"/>
  <c r="H567" i="1" s="1"/>
  <c r="G555" i="1"/>
  <c r="G556" i="1" s="1"/>
  <c r="H551" i="1"/>
  <c r="H554" i="1" s="1"/>
  <c r="H532" i="1"/>
  <c r="H535" i="1" s="1"/>
  <c r="G528" i="1"/>
  <c r="G529" i="1" s="1"/>
  <c r="H526" i="1"/>
  <c r="H527" i="1" s="1"/>
  <c r="G503" i="1"/>
  <c r="G498" i="1"/>
  <c r="G504" i="1" s="1"/>
  <c r="H497" i="1"/>
  <c r="H501" i="1" s="1"/>
  <c r="H502" i="1" s="1"/>
  <c r="H478" i="1"/>
  <c r="H481" i="1" s="1"/>
  <c r="G474" i="1"/>
  <c r="J474" i="1" s="1"/>
  <c r="H470" i="1"/>
  <c r="H471" i="1" s="1"/>
  <c r="J471" i="1" s="1"/>
  <c r="H451" i="1"/>
  <c r="H468" i="1" s="1"/>
  <c r="G447" i="1"/>
  <c r="G448" i="1" s="1"/>
  <c r="H445" i="1"/>
  <c r="H446" i="1" s="1"/>
  <c r="H426" i="1"/>
  <c r="H428" i="1" s="1"/>
  <c r="G422" i="1"/>
  <c r="G423" i="1" s="1"/>
  <c r="H418" i="1"/>
  <c r="H420" i="1" s="1"/>
  <c r="H399" i="1"/>
  <c r="H401" i="1" s="1"/>
  <c r="G395" i="1"/>
  <c r="G396" i="1" s="1"/>
  <c r="H391" i="1"/>
  <c r="H394" i="1" s="1"/>
  <c r="H372" i="1"/>
  <c r="H375" i="1" s="1"/>
  <c r="G368" i="1"/>
  <c r="G369" i="1" s="1"/>
  <c r="H366" i="1"/>
  <c r="H367" i="1" s="1"/>
  <c r="G362" i="1"/>
  <c r="G363" i="1" s="1"/>
  <c r="H361" i="1"/>
  <c r="H362" i="1" s="1"/>
  <c r="G358" i="1"/>
  <c r="G359" i="1" s="1"/>
  <c r="H354" i="1"/>
  <c r="H359" i="1" s="1"/>
  <c r="G336" i="1"/>
  <c r="G331" i="1"/>
  <c r="G333" i="1" s="1"/>
  <c r="H328" i="1"/>
  <c r="H349" i="1" s="1"/>
  <c r="H352" i="1" s="1"/>
  <c r="G310" i="1"/>
  <c r="G305" i="1"/>
  <c r="G306" i="1" s="1"/>
  <c r="H302" i="1"/>
  <c r="H310" i="1" s="1"/>
  <c r="G298" i="1"/>
  <c r="G299" i="1" s="1"/>
  <c r="H294" i="1"/>
  <c r="H299" i="1" s="1"/>
  <c r="H275" i="1"/>
  <c r="H290" i="1" s="1"/>
  <c r="G271" i="1"/>
  <c r="G272" i="1" s="1"/>
  <c r="H269" i="1"/>
  <c r="H271" i="1" s="1"/>
  <c r="H250" i="1"/>
  <c r="H252" i="1" s="1"/>
  <c r="H253" i="1" s="1"/>
  <c r="H245" i="1"/>
  <c r="H246" i="1" s="1"/>
  <c r="G242" i="1"/>
  <c r="G243" i="1" s="1"/>
  <c r="H240" i="1"/>
  <c r="H243" i="1" s="1"/>
  <c r="G237" i="1"/>
  <c r="G238" i="1" s="1"/>
  <c r="H235" i="1"/>
  <c r="H236" i="1" s="1"/>
  <c r="H232" i="1"/>
  <c r="H233" i="1" s="1"/>
  <c r="G227" i="1"/>
  <c r="G228" i="1" s="1"/>
  <c r="H225" i="1"/>
  <c r="H226" i="1" s="1"/>
  <c r="G223" i="1"/>
  <c r="H221" i="1"/>
  <c r="H222" i="1" s="1"/>
  <c r="H223" i="1" s="1"/>
  <c r="G217" i="1"/>
  <c r="G218" i="1" s="1"/>
  <c r="H216" i="1"/>
  <c r="H217" i="1" s="1"/>
  <c r="G209" i="1"/>
  <c r="G212" i="1" s="1"/>
  <c r="H200" i="1"/>
  <c r="H205" i="1" s="1"/>
  <c r="G194" i="1"/>
  <c r="G197" i="1" s="1"/>
  <c r="H193" i="1"/>
  <c r="H195" i="1" s="1"/>
  <c r="H188" i="1"/>
  <c r="H189" i="1" s="1"/>
  <c r="H184" i="1"/>
  <c r="H185" i="1" s="1"/>
  <c r="H181" i="1"/>
  <c r="H182" i="1" s="1"/>
  <c r="H177" i="1"/>
  <c r="H178" i="1" s="1"/>
  <c r="H174" i="1"/>
  <c r="H175" i="1" s="1"/>
  <c r="H170" i="1"/>
  <c r="H171" i="1" s="1"/>
  <c r="H167" i="1"/>
  <c r="H168" i="1" s="1"/>
  <c r="H164" i="1"/>
  <c r="H165" i="1" s="1"/>
  <c r="G155" i="1"/>
  <c r="G158" i="1" s="1"/>
  <c r="H153" i="1"/>
  <c r="H154" i="1" s="1"/>
  <c r="H161" i="1" s="1"/>
  <c r="G145" i="1"/>
  <c r="G151" i="1" s="1"/>
  <c r="H143" i="1"/>
  <c r="H144" i="1" s="1"/>
  <c r="H151" i="1" s="1"/>
  <c r="G135" i="1"/>
  <c r="G140" i="1" s="1"/>
  <c r="H133" i="1"/>
  <c r="H134" i="1" s="1"/>
  <c r="H135" i="1" s="1"/>
  <c r="G122" i="1"/>
  <c r="G126" i="1" s="1"/>
  <c r="H121" i="1"/>
  <c r="H128" i="1" s="1"/>
  <c r="G112" i="1"/>
  <c r="G116" i="1" s="1"/>
  <c r="H111" i="1"/>
  <c r="H117" i="1" s="1"/>
  <c r="G105" i="1"/>
  <c r="G107" i="1" s="1"/>
  <c r="H103" i="1"/>
  <c r="H107" i="1" s="1"/>
  <c r="G96" i="1"/>
  <c r="G99" i="1" s="1"/>
  <c r="H95" i="1"/>
  <c r="H99" i="1" s="1"/>
  <c r="G86" i="1"/>
  <c r="G87" i="1" s="1"/>
  <c r="H84" i="1"/>
  <c r="H89" i="1" s="1"/>
  <c r="G78" i="1"/>
  <c r="G80" i="1" s="1"/>
  <c r="H76" i="1"/>
  <c r="H72" i="1"/>
  <c r="H73" i="1" s="1"/>
  <c r="H67" i="1"/>
  <c r="H70" i="1" s="1"/>
  <c r="H62" i="1"/>
  <c r="H63" i="1" s="1"/>
  <c r="H58" i="1"/>
  <c r="H60" i="1" s="1"/>
  <c r="H54" i="1"/>
  <c r="H55" i="1" s="1"/>
  <c r="H50" i="1"/>
  <c r="H52" i="1" s="1"/>
  <c r="H46" i="1"/>
  <c r="H47" i="1" s="1"/>
  <c r="H48" i="1" s="1"/>
  <c r="H41" i="1"/>
  <c r="F43" i="1" s="1"/>
  <c r="H37" i="1"/>
  <c r="H39" i="1" s="1"/>
  <c r="H34" i="1"/>
  <c r="H35" i="1" s="1"/>
  <c r="H28" i="1"/>
  <c r="H29" i="1" s="1"/>
  <c r="H22" i="1"/>
  <c r="H24" i="1" s="1"/>
  <c r="H6" i="1"/>
  <c r="H16" i="1" s="1"/>
  <c r="H213" i="1"/>
  <c r="H212" i="1"/>
  <c r="H211" i="1"/>
  <c r="H210" i="1"/>
  <c r="H209" i="1"/>
  <c r="G204" i="1"/>
  <c r="G203" i="1"/>
  <c r="G202" i="1"/>
  <c r="F42" i="1"/>
  <c r="E475" i="1"/>
  <c r="E474" i="1"/>
  <c r="E473" i="1"/>
  <c r="E472" i="1"/>
  <c r="E471" i="1"/>
  <c r="N784" i="1"/>
  <c r="M784" i="1"/>
  <c r="I141" i="1"/>
  <c r="I140" i="1"/>
  <c r="I138" i="1"/>
  <c r="I137" i="1"/>
  <c r="I136" i="1"/>
  <c r="I135" i="1"/>
  <c r="I134" i="1"/>
  <c r="I128" i="1"/>
  <c r="I127" i="1"/>
  <c r="I126" i="1"/>
  <c r="I125" i="1"/>
  <c r="I124" i="1"/>
  <c r="I123" i="1"/>
  <c r="I122" i="1"/>
  <c r="I118" i="1"/>
  <c r="I117" i="1"/>
  <c r="I116" i="1"/>
  <c r="I115" i="1"/>
  <c r="I114" i="1"/>
  <c r="I113" i="1"/>
  <c r="I112" i="1"/>
  <c r="I108" i="1"/>
  <c r="I107" i="1"/>
  <c r="I106" i="1"/>
  <c r="I105" i="1"/>
  <c r="I101" i="1"/>
  <c r="I100" i="1"/>
  <c r="I99" i="1"/>
  <c r="I98" i="1"/>
  <c r="I97" i="1"/>
  <c r="I96" i="1"/>
  <c r="I93" i="1"/>
  <c r="J93" i="1" s="1"/>
  <c r="I92" i="1"/>
  <c r="J92" i="1" s="1"/>
  <c r="I91" i="1"/>
  <c r="J91" i="1" s="1"/>
  <c r="I89" i="1"/>
  <c r="I88" i="1"/>
  <c r="I87" i="1"/>
  <c r="I86" i="1"/>
  <c r="I81" i="1"/>
  <c r="I80" i="1"/>
  <c r="I79" i="1"/>
  <c r="I78" i="1"/>
  <c r="E138" i="1"/>
  <c r="P138" i="1" s="1"/>
  <c r="E137" i="1"/>
  <c r="P137" i="1" s="1"/>
  <c r="E136" i="1"/>
  <c r="E135" i="1"/>
  <c r="P135" i="1" s="1"/>
  <c r="E134" i="1"/>
  <c r="P134" i="1" s="1"/>
  <c r="E128" i="1"/>
  <c r="P128" i="1" s="1"/>
  <c r="E127" i="1"/>
  <c r="E126" i="1"/>
  <c r="P126" i="1" s="1"/>
  <c r="E125" i="1"/>
  <c r="P125" i="1" s="1"/>
  <c r="E124" i="1"/>
  <c r="P124" i="1" s="1"/>
  <c r="E123" i="1"/>
  <c r="E122" i="1"/>
  <c r="P122" i="1" s="1"/>
  <c r="E118" i="1"/>
  <c r="P118" i="1" s="1"/>
  <c r="E117" i="1"/>
  <c r="P117" i="1" s="1"/>
  <c r="E116" i="1"/>
  <c r="E115" i="1"/>
  <c r="P115" i="1" s="1"/>
  <c r="E114" i="1"/>
  <c r="P114" i="1" s="1"/>
  <c r="E113" i="1"/>
  <c r="P113" i="1" s="1"/>
  <c r="E112" i="1"/>
  <c r="E108" i="1"/>
  <c r="P108" i="1" s="1"/>
  <c r="E107" i="1"/>
  <c r="P107" i="1" s="1"/>
  <c r="E106" i="1"/>
  <c r="P106" i="1" s="1"/>
  <c r="E105" i="1"/>
  <c r="E101" i="1"/>
  <c r="P101" i="1" s="1"/>
  <c r="E100" i="1"/>
  <c r="P100" i="1" s="1"/>
  <c r="E99" i="1"/>
  <c r="P99" i="1" s="1"/>
  <c r="E98" i="1"/>
  <c r="P98" i="1" s="1"/>
  <c r="E97" i="1"/>
  <c r="P97" i="1" s="1"/>
  <c r="E96" i="1"/>
  <c r="P96" i="1" s="1"/>
  <c r="E93" i="1"/>
  <c r="E92" i="1"/>
  <c r="E91" i="1"/>
  <c r="E89" i="1"/>
  <c r="P89" i="1" s="1"/>
  <c r="E88" i="1"/>
  <c r="P88" i="1" s="1"/>
  <c r="E87" i="1"/>
  <c r="P87" i="1" s="1"/>
  <c r="E86" i="1"/>
  <c r="P86" i="1" s="1"/>
  <c r="E81" i="1"/>
  <c r="P81" i="1" s="1"/>
  <c r="E80" i="1"/>
  <c r="P80" i="1" s="1"/>
  <c r="E79" i="1"/>
  <c r="P79" i="1" s="1"/>
  <c r="E78" i="1"/>
  <c r="P78" i="1" s="1"/>
  <c r="I1155" i="1"/>
  <c r="E1155" i="1"/>
  <c r="I1152" i="1"/>
  <c r="E1152" i="1"/>
  <c r="P1152" i="1" s="1"/>
  <c r="I1151" i="1"/>
  <c r="E1151" i="1"/>
  <c r="P1151" i="1" s="1"/>
  <c r="I1150" i="1"/>
  <c r="E1150" i="1"/>
  <c r="P1150" i="1" s="1"/>
  <c r="I1147" i="1"/>
  <c r="E1147" i="1"/>
  <c r="P1147" i="1" s="1"/>
  <c r="P1146" i="1" s="1"/>
  <c r="I1143" i="1"/>
  <c r="E1143" i="1"/>
  <c r="P1143" i="1" s="1"/>
  <c r="I1142" i="1"/>
  <c r="E1142" i="1"/>
  <c r="P1142" i="1" s="1"/>
  <c r="I1141" i="1"/>
  <c r="E1141" i="1"/>
  <c r="P1141" i="1" s="1"/>
  <c r="I1140" i="1"/>
  <c r="E1140" i="1"/>
  <c r="P1140" i="1" s="1"/>
  <c r="I1137" i="1"/>
  <c r="E1137" i="1"/>
  <c r="P1137" i="1" s="1"/>
  <c r="I1136" i="1"/>
  <c r="E1136" i="1"/>
  <c r="I1133" i="1"/>
  <c r="E1133" i="1"/>
  <c r="P1133" i="1" s="1"/>
  <c r="I1132" i="1"/>
  <c r="E1132" i="1"/>
  <c r="P1132" i="1" s="1"/>
  <c r="I1131" i="1"/>
  <c r="E1131" i="1"/>
  <c r="P1131" i="1" s="1"/>
  <c r="I1126" i="1"/>
  <c r="E1126" i="1"/>
  <c r="P1126" i="1" s="1"/>
  <c r="I1125" i="1"/>
  <c r="E1125" i="1"/>
  <c r="P1125" i="1" s="1"/>
  <c r="I1122" i="1"/>
  <c r="E1122" i="1"/>
  <c r="P1122" i="1" s="1"/>
  <c r="I1121" i="1"/>
  <c r="E1121" i="1"/>
  <c r="P1121" i="1" s="1"/>
  <c r="I1120" i="1"/>
  <c r="E1120" i="1"/>
  <c r="P1120" i="1" s="1"/>
  <c r="I1116" i="1"/>
  <c r="E1116" i="1"/>
  <c r="P1116" i="1" s="1"/>
  <c r="I1115" i="1"/>
  <c r="E1115" i="1"/>
  <c r="P1115" i="1" s="1"/>
  <c r="I1114" i="1"/>
  <c r="E1114" i="1"/>
  <c r="P1114" i="1" s="1"/>
  <c r="I1111" i="1"/>
  <c r="J1111" i="1" s="1"/>
  <c r="E1111" i="1"/>
  <c r="I1110" i="1"/>
  <c r="E1110" i="1"/>
  <c r="I1107" i="1"/>
  <c r="E1107" i="1"/>
  <c r="P1107" i="1" s="1"/>
  <c r="I1106" i="1"/>
  <c r="E1106" i="1"/>
  <c r="P1106" i="1" s="1"/>
  <c r="I1105" i="1"/>
  <c r="E1105" i="1"/>
  <c r="P1105" i="1" s="1"/>
  <c r="I1104" i="1"/>
  <c r="E1104" i="1"/>
  <c r="P1104" i="1" s="1"/>
  <c r="I1103" i="1"/>
  <c r="E1103" i="1"/>
  <c r="P1103" i="1" s="1"/>
  <c r="I1102" i="1"/>
  <c r="E1102" i="1"/>
  <c r="P1102" i="1" s="1"/>
  <c r="I1101" i="1"/>
  <c r="E1101" i="1"/>
  <c r="P1101" i="1" s="1"/>
  <c r="I1096" i="1"/>
  <c r="J1096" i="1" s="1"/>
  <c r="E1096" i="1"/>
  <c r="I1095" i="1"/>
  <c r="J1095" i="1" s="1"/>
  <c r="E1095" i="1"/>
  <c r="P1095" i="1" s="1"/>
  <c r="I1094" i="1"/>
  <c r="J1094" i="1" s="1"/>
  <c r="E1094" i="1"/>
  <c r="P1094" i="1" s="1"/>
  <c r="I1093" i="1"/>
  <c r="J1093" i="1" s="1"/>
  <c r="E1093" i="1"/>
  <c r="P1093" i="1" s="1"/>
  <c r="I1088" i="1"/>
  <c r="E1088" i="1"/>
  <c r="I1083" i="1"/>
  <c r="E1083" i="1"/>
  <c r="I1080" i="1"/>
  <c r="E1080" i="1"/>
  <c r="I1075" i="1"/>
  <c r="E1075" i="1"/>
  <c r="P1075" i="1" s="1"/>
  <c r="P1073" i="1" s="1"/>
  <c r="I1074" i="1"/>
  <c r="I1069" i="1"/>
  <c r="E1069" i="1"/>
  <c r="P1069" i="1" s="1"/>
  <c r="I1068" i="1"/>
  <c r="E1068" i="1"/>
  <c r="P1068" i="1" s="1"/>
  <c r="I1066" i="1"/>
  <c r="E1066" i="1"/>
  <c r="P1066" i="1" s="1"/>
  <c r="I1065" i="1"/>
  <c r="E1065" i="1"/>
  <c r="P1065" i="1" s="1"/>
  <c r="I1064" i="1"/>
  <c r="E1064" i="1"/>
  <c r="P1064" i="1" s="1"/>
  <c r="I1063" i="1"/>
  <c r="E1063" i="1"/>
  <c r="P1063" i="1" s="1"/>
  <c r="I1062" i="1"/>
  <c r="E1062" i="1"/>
  <c r="P1062" i="1" s="1"/>
  <c r="I1059" i="1"/>
  <c r="E1059" i="1"/>
  <c r="P1059" i="1" s="1"/>
  <c r="I1058" i="1"/>
  <c r="E1058" i="1"/>
  <c r="P1058" i="1" s="1"/>
  <c r="I1056" i="1"/>
  <c r="E1056" i="1"/>
  <c r="P1056" i="1" s="1"/>
  <c r="I1055" i="1"/>
  <c r="E1055" i="1"/>
  <c r="P1055" i="1" s="1"/>
  <c r="I1054" i="1"/>
  <c r="E1054" i="1"/>
  <c r="P1054" i="1" s="1"/>
  <c r="I1053" i="1"/>
  <c r="E1053" i="1"/>
  <c r="P1053" i="1" s="1"/>
  <c r="I1052" i="1"/>
  <c r="E1052" i="1"/>
  <c r="P1052" i="1" s="1"/>
  <c r="I1049" i="1"/>
  <c r="E1049" i="1"/>
  <c r="P1049" i="1" s="1"/>
  <c r="I1048" i="1"/>
  <c r="E1048" i="1"/>
  <c r="P1048" i="1" s="1"/>
  <c r="I1046" i="1"/>
  <c r="E1046" i="1"/>
  <c r="P1046" i="1" s="1"/>
  <c r="I1045" i="1"/>
  <c r="E1045" i="1"/>
  <c r="P1045" i="1" s="1"/>
  <c r="I1044" i="1"/>
  <c r="E1044" i="1"/>
  <c r="P1044" i="1" s="1"/>
  <c r="I1043" i="1"/>
  <c r="E1043" i="1"/>
  <c r="P1043" i="1" s="1"/>
  <c r="I1042" i="1"/>
  <c r="E1042" i="1"/>
  <c r="P1042" i="1" s="1"/>
  <c r="I1038" i="1"/>
  <c r="E1038" i="1"/>
  <c r="P1038" i="1" s="1"/>
  <c r="I1037" i="1"/>
  <c r="E1037" i="1"/>
  <c r="P1037" i="1" s="1"/>
  <c r="I1035" i="1"/>
  <c r="E1035" i="1"/>
  <c r="P1035" i="1" s="1"/>
  <c r="I1034" i="1"/>
  <c r="E1034" i="1"/>
  <c r="P1034" i="1" s="1"/>
  <c r="I1033" i="1"/>
  <c r="E1033" i="1"/>
  <c r="P1033" i="1" s="1"/>
  <c r="I1032" i="1"/>
  <c r="E1032" i="1"/>
  <c r="P1032" i="1" s="1"/>
  <c r="I1031" i="1"/>
  <c r="E1031" i="1"/>
  <c r="P1031" i="1" s="1"/>
  <c r="I1028" i="1"/>
  <c r="E1028" i="1"/>
  <c r="P1028" i="1" s="1"/>
  <c r="I1027" i="1"/>
  <c r="E1027" i="1"/>
  <c r="P1027" i="1" s="1"/>
  <c r="I1025" i="1"/>
  <c r="E1025" i="1"/>
  <c r="P1025" i="1" s="1"/>
  <c r="I1024" i="1"/>
  <c r="E1024" i="1"/>
  <c r="P1024" i="1" s="1"/>
  <c r="I1023" i="1"/>
  <c r="E1023" i="1"/>
  <c r="P1023" i="1" s="1"/>
  <c r="I1022" i="1"/>
  <c r="E1022" i="1"/>
  <c r="P1022" i="1" s="1"/>
  <c r="I1021" i="1"/>
  <c r="E1021" i="1"/>
  <c r="P1021" i="1" s="1"/>
  <c r="I1018" i="1"/>
  <c r="E1018" i="1"/>
  <c r="P1018" i="1" s="1"/>
  <c r="I1017" i="1"/>
  <c r="E1017" i="1"/>
  <c r="P1017" i="1" s="1"/>
  <c r="I1015" i="1"/>
  <c r="E1015" i="1"/>
  <c r="P1015" i="1" s="1"/>
  <c r="I1014" i="1"/>
  <c r="E1014" i="1"/>
  <c r="P1014" i="1" s="1"/>
  <c r="I1013" i="1"/>
  <c r="E1013" i="1"/>
  <c r="P1013" i="1" s="1"/>
  <c r="I1012" i="1"/>
  <c r="E1012" i="1"/>
  <c r="P1012" i="1" s="1"/>
  <c r="I1011" i="1"/>
  <c r="E1011" i="1"/>
  <c r="P1011" i="1" s="1"/>
  <c r="I1004" i="1"/>
  <c r="E1004" i="1"/>
  <c r="P1004" i="1" s="1"/>
  <c r="I1003" i="1"/>
  <c r="E1003" i="1"/>
  <c r="P1003" i="1" s="1"/>
  <c r="I1002" i="1"/>
  <c r="E1002" i="1"/>
  <c r="P1002" i="1" s="1"/>
  <c r="I1001" i="1"/>
  <c r="E1001" i="1"/>
  <c r="P1001" i="1" s="1"/>
  <c r="I1000" i="1"/>
  <c r="E1000" i="1"/>
  <c r="P1000" i="1" s="1"/>
  <c r="I999" i="1"/>
  <c r="E999" i="1"/>
  <c r="P999" i="1" s="1"/>
  <c r="I998" i="1"/>
  <c r="E998" i="1"/>
  <c r="P998" i="1" s="1"/>
  <c r="I995" i="1"/>
  <c r="E995" i="1"/>
  <c r="P995" i="1" s="1"/>
  <c r="I994" i="1"/>
  <c r="E994" i="1"/>
  <c r="P994" i="1" s="1"/>
  <c r="I993" i="1"/>
  <c r="E993" i="1"/>
  <c r="P993" i="1" s="1"/>
  <c r="I992" i="1"/>
  <c r="E992" i="1"/>
  <c r="P992" i="1" s="1"/>
  <c r="I991" i="1"/>
  <c r="E991" i="1"/>
  <c r="P991" i="1" s="1"/>
  <c r="I990" i="1"/>
  <c r="E990" i="1"/>
  <c r="P990" i="1" s="1"/>
  <c r="I989" i="1"/>
  <c r="E989" i="1"/>
  <c r="P989" i="1" s="1"/>
  <c r="I984" i="1"/>
  <c r="E984" i="1"/>
  <c r="P984" i="1" s="1"/>
  <c r="I983" i="1"/>
  <c r="E983" i="1"/>
  <c r="P983" i="1" s="1"/>
  <c r="I982" i="1"/>
  <c r="E982" i="1"/>
  <c r="P982" i="1" s="1"/>
  <c r="I981" i="1"/>
  <c r="E981" i="1"/>
  <c r="P981" i="1" s="1"/>
  <c r="I980" i="1"/>
  <c r="E980" i="1"/>
  <c r="P980" i="1" s="1"/>
  <c r="I979" i="1"/>
  <c r="E979" i="1"/>
  <c r="P979" i="1" s="1"/>
  <c r="I978" i="1"/>
  <c r="E978" i="1"/>
  <c r="P978" i="1" s="1"/>
  <c r="I975" i="1"/>
  <c r="E975" i="1"/>
  <c r="P975" i="1" s="1"/>
  <c r="I974" i="1"/>
  <c r="E974" i="1"/>
  <c r="P974" i="1" s="1"/>
  <c r="I973" i="1"/>
  <c r="E973" i="1"/>
  <c r="P973" i="1" s="1"/>
  <c r="I972" i="1"/>
  <c r="E972" i="1"/>
  <c r="P972" i="1" s="1"/>
  <c r="I971" i="1"/>
  <c r="E971" i="1"/>
  <c r="P971" i="1" s="1"/>
  <c r="I970" i="1"/>
  <c r="E970" i="1"/>
  <c r="P970" i="1" s="1"/>
  <c r="I969" i="1"/>
  <c r="E969" i="1"/>
  <c r="P969" i="1" s="1"/>
  <c r="I964" i="1"/>
  <c r="E964" i="1"/>
  <c r="P964" i="1" s="1"/>
  <c r="I963" i="1"/>
  <c r="E963" i="1"/>
  <c r="P963" i="1" s="1"/>
  <c r="I962" i="1"/>
  <c r="E962" i="1"/>
  <c r="P962" i="1" s="1"/>
  <c r="I961" i="1"/>
  <c r="E961" i="1"/>
  <c r="P961" i="1" s="1"/>
  <c r="I960" i="1"/>
  <c r="E960" i="1"/>
  <c r="P960" i="1" s="1"/>
  <c r="I959" i="1"/>
  <c r="E959" i="1"/>
  <c r="P959" i="1" s="1"/>
  <c r="I956" i="1"/>
  <c r="E956" i="1"/>
  <c r="P956" i="1" s="1"/>
  <c r="I955" i="1"/>
  <c r="E955" i="1"/>
  <c r="P955" i="1" s="1"/>
  <c r="I954" i="1"/>
  <c r="E954" i="1"/>
  <c r="P954" i="1" s="1"/>
  <c r="I953" i="1"/>
  <c r="E953" i="1"/>
  <c r="P953" i="1" s="1"/>
  <c r="I947" i="1"/>
  <c r="E947" i="1"/>
  <c r="P947" i="1" s="1"/>
  <c r="I946" i="1"/>
  <c r="E946" i="1"/>
  <c r="I945" i="1"/>
  <c r="E945" i="1"/>
  <c r="P945" i="1" s="1"/>
  <c r="I944" i="1"/>
  <c r="E944" i="1"/>
  <c r="P944" i="1" s="1"/>
  <c r="I943" i="1"/>
  <c r="E943" i="1"/>
  <c r="P943" i="1" s="1"/>
  <c r="I939" i="1"/>
  <c r="E939" i="1"/>
  <c r="I938" i="1"/>
  <c r="E938" i="1"/>
  <c r="I937" i="1"/>
  <c r="E937" i="1"/>
  <c r="I934" i="1"/>
  <c r="E934" i="1"/>
  <c r="I933" i="1"/>
  <c r="E933" i="1"/>
  <c r="I932" i="1"/>
  <c r="E932" i="1"/>
  <c r="I929" i="1"/>
  <c r="E929" i="1"/>
  <c r="I928" i="1"/>
  <c r="E928" i="1"/>
  <c r="I925" i="1"/>
  <c r="E925" i="1"/>
  <c r="I924" i="1"/>
  <c r="E924" i="1"/>
  <c r="I921" i="1"/>
  <c r="E921" i="1"/>
  <c r="I920" i="1"/>
  <c r="E920" i="1"/>
  <c r="I916" i="1"/>
  <c r="E916" i="1"/>
  <c r="P916" i="1" s="1"/>
  <c r="I915" i="1"/>
  <c r="E915" i="1"/>
  <c r="P915" i="1" s="1"/>
  <c r="I914" i="1"/>
  <c r="E914" i="1"/>
  <c r="P914" i="1" s="1"/>
  <c r="I911" i="1"/>
  <c r="E911" i="1"/>
  <c r="I910" i="1"/>
  <c r="E910" i="1"/>
  <c r="P910" i="1" s="1"/>
  <c r="I907" i="1"/>
  <c r="E907" i="1"/>
  <c r="I903" i="1"/>
  <c r="E903" i="1"/>
  <c r="P903" i="1" s="1"/>
  <c r="I902" i="1"/>
  <c r="E902" i="1"/>
  <c r="P902" i="1" s="1"/>
  <c r="I901" i="1"/>
  <c r="E901" i="1"/>
  <c r="P901" i="1" s="1"/>
  <c r="I898" i="1"/>
  <c r="E898" i="1"/>
  <c r="I897" i="1"/>
  <c r="E897" i="1"/>
  <c r="I896" i="1"/>
  <c r="E896" i="1"/>
  <c r="P896" i="1" s="1"/>
  <c r="I895" i="1"/>
  <c r="E895" i="1"/>
  <c r="P895" i="1" s="1"/>
  <c r="I887" i="1"/>
  <c r="E887" i="1"/>
  <c r="P887" i="1" s="1"/>
  <c r="I886" i="1"/>
  <c r="E886" i="1"/>
  <c r="P886" i="1" s="1"/>
  <c r="I883" i="1"/>
  <c r="E883" i="1"/>
  <c r="P883" i="1" s="1"/>
  <c r="I882" i="1"/>
  <c r="E882" i="1"/>
  <c r="P882" i="1" s="1"/>
  <c r="I881" i="1"/>
  <c r="E881" i="1"/>
  <c r="P881" i="1" s="1"/>
  <c r="I879" i="1"/>
  <c r="E879" i="1"/>
  <c r="P879" i="1" s="1"/>
  <c r="I878" i="1"/>
  <c r="E878" i="1"/>
  <c r="P878" i="1" s="1"/>
  <c r="I876" i="1"/>
  <c r="E876" i="1"/>
  <c r="P876" i="1" s="1"/>
  <c r="I875" i="1"/>
  <c r="E875" i="1"/>
  <c r="P875" i="1" s="1"/>
  <c r="I873" i="1"/>
  <c r="E873" i="1"/>
  <c r="P873" i="1" s="1"/>
  <c r="I872" i="1"/>
  <c r="E872" i="1"/>
  <c r="P872" i="1" s="1"/>
  <c r="I871" i="1"/>
  <c r="E871" i="1"/>
  <c r="P871" i="1" s="1"/>
  <c r="I870" i="1"/>
  <c r="E870" i="1"/>
  <c r="P870" i="1" s="1"/>
  <c r="I868" i="1"/>
  <c r="E868" i="1"/>
  <c r="P868" i="1" s="1"/>
  <c r="I867" i="1"/>
  <c r="E867" i="1"/>
  <c r="P867" i="1" s="1"/>
  <c r="I866" i="1"/>
  <c r="E866" i="1"/>
  <c r="P866" i="1" s="1"/>
  <c r="I861" i="1"/>
  <c r="E861" i="1"/>
  <c r="I858" i="1"/>
  <c r="E858" i="1"/>
  <c r="P858" i="1" s="1"/>
  <c r="I857" i="1"/>
  <c r="E857" i="1"/>
  <c r="P857" i="1" s="1"/>
  <c r="I856" i="1"/>
  <c r="E856" i="1"/>
  <c r="P856" i="1" s="1"/>
  <c r="I853" i="1"/>
  <c r="E853" i="1"/>
  <c r="P853" i="1" s="1"/>
  <c r="P852" i="1" s="1"/>
  <c r="I849" i="1"/>
  <c r="E849" i="1"/>
  <c r="P849" i="1" s="1"/>
  <c r="I848" i="1"/>
  <c r="E848" i="1"/>
  <c r="P848" i="1" s="1"/>
  <c r="I847" i="1"/>
  <c r="E847" i="1"/>
  <c r="P847" i="1" s="1"/>
  <c r="I846" i="1"/>
  <c r="E846" i="1"/>
  <c r="P846" i="1" s="1"/>
  <c r="I843" i="1"/>
  <c r="E843" i="1"/>
  <c r="P843" i="1" s="1"/>
  <c r="I842" i="1"/>
  <c r="E842" i="1"/>
  <c r="I839" i="1"/>
  <c r="E839" i="1"/>
  <c r="P839" i="1" s="1"/>
  <c r="I838" i="1"/>
  <c r="E838" i="1"/>
  <c r="P838" i="1" s="1"/>
  <c r="I837" i="1"/>
  <c r="E837" i="1"/>
  <c r="P837" i="1" s="1"/>
  <c r="I833" i="1"/>
  <c r="E833" i="1"/>
  <c r="P833" i="1" s="1"/>
  <c r="I832" i="1"/>
  <c r="E832" i="1"/>
  <c r="P832" i="1" s="1"/>
  <c r="I829" i="1"/>
  <c r="E829" i="1"/>
  <c r="P829" i="1" s="1"/>
  <c r="I828" i="1"/>
  <c r="E828" i="1"/>
  <c r="P828" i="1" s="1"/>
  <c r="I827" i="1"/>
  <c r="E827" i="1"/>
  <c r="P827" i="1" s="1"/>
  <c r="I823" i="1"/>
  <c r="E823" i="1"/>
  <c r="P823" i="1" s="1"/>
  <c r="I822" i="1"/>
  <c r="E822" i="1"/>
  <c r="P822" i="1" s="1"/>
  <c r="I821" i="1"/>
  <c r="E821" i="1"/>
  <c r="P821" i="1" s="1"/>
  <c r="I818" i="1"/>
  <c r="J818" i="1" s="1"/>
  <c r="E818" i="1"/>
  <c r="I817" i="1"/>
  <c r="E817" i="1"/>
  <c r="I814" i="1"/>
  <c r="E814" i="1"/>
  <c r="P814" i="1" s="1"/>
  <c r="I813" i="1"/>
  <c r="E813" i="1"/>
  <c r="P813" i="1" s="1"/>
  <c r="I812" i="1"/>
  <c r="E812" i="1"/>
  <c r="P812" i="1" s="1"/>
  <c r="I811" i="1"/>
  <c r="E811" i="1"/>
  <c r="P811" i="1" s="1"/>
  <c r="I810" i="1"/>
  <c r="E810" i="1"/>
  <c r="P810" i="1" s="1"/>
  <c r="I809" i="1"/>
  <c r="E809" i="1"/>
  <c r="P809" i="1" s="1"/>
  <c r="I808" i="1"/>
  <c r="E808" i="1"/>
  <c r="P808" i="1" s="1"/>
  <c r="I803" i="1"/>
  <c r="E803" i="1"/>
  <c r="I802" i="1"/>
  <c r="E802" i="1"/>
  <c r="P802" i="1" s="1"/>
  <c r="I801" i="1"/>
  <c r="E801" i="1"/>
  <c r="P801" i="1" s="1"/>
  <c r="I800" i="1"/>
  <c r="E800" i="1"/>
  <c r="P800" i="1" s="1"/>
  <c r="I796" i="1"/>
  <c r="E796" i="1"/>
  <c r="I792" i="1"/>
  <c r="E792" i="1"/>
  <c r="I789" i="1"/>
  <c r="E789" i="1"/>
  <c r="I785" i="1"/>
  <c r="E785" i="1"/>
  <c r="P785" i="1" s="1"/>
  <c r="P783" i="1" s="1"/>
  <c r="I784" i="1"/>
  <c r="I780" i="1"/>
  <c r="E780" i="1"/>
  <c r="P780" i="1" s="1"/>
  <c r="I779" i="1"/>
  <c r="E779" i="1"/>
  <c r="P779" i="1" s="1"/>
  <c r="I777" i="1"/>
  <c r="E777" i="1"/>
  <c r="P777" i="1" s="1"/>
  <c r="I776" i="1"/>
  <c r="E776" i="1"/>
  <c r="P776" i="1" s="1"/>
  <c r="I775" i="1"/>
  <c r="E775" i="1"/>
  <c r="P775" i="1" s="1"/>
  <c r="I774" i="1"/>
  <c r="E774" i="1"/>
  <c r="P774" i="1" s="1"/>
  <c r="I773" i="1"/>
  <c r="E773" i="1"/>
  <c r="P773" i="1" s="1"/>
  <c r="I770" i="1"/>
  <c r="E770" i="1"/>
  <c r="P770" i="1" s="1"/>
  <c r="I769" i="1"/>
  <c r="E769" i="1"/>
  <c r="P769" i="1" s="1"/>
  <c r="I767" i="1"/>
  <c r="E767" i="1"/>
  <c r="P767" i="1" s="1"/>
  <c r="I766" i="1"/>
  <c r="E766" i="1"/>
  <c r="P766" i="1" s="1"/>
  <c r="I765" i="1"/>
  <c r="E765" i="1"/>
  <c r="P765" i="1" s="1"/>
  <c r="I764" i="1"/>
  <c r="E764" i="1"/>
  <c r="P764" i="1" s="1"/>
  <c r="I763" i="1"/>
  <c r="E763" i="1"/>
  <c r="P763" i="1" s="1"/>
  <c r="I760" i="1"/>
  <c r="E760" i="1"/>
  <c r="P760" i="1" s="1"/>
  <c r="I759" i="1"/>
  <c r="E759" i="1"/>
  <c r="P759" i="1" s="1"/>
  <c r="I757" i="1"/>
  <c r="E757" i="1"/>
  <c r="P757" i="1" s="1"/>
  <c r="I756" i="1"/>
  <c r="E756" i="1"/>
  <c r="P756" i="1" s="1"/>
  <c r="I755" i="1"/>
  <c r="E755" i="1"/>
  <c r="P755" i="1" s="1"/>
  <c r="I754" i="1"/>
  <c r="E754" i="1"/>
  <c r="P754" i="1" s="1"/>
  <c r="I753" i="1"/>
  <c r="E753" i="1"/>
  <c r="P753" i="1" s="1"/>
  <c r="I749" i="1"/>
  <c r="E749" i="1"/>
  <c r="P749" i="1" s="1"/>
  <c r="I748" i="1"/>
  <c r="E748" i="1"/>
  <c r="P748" i="1" s="1"/>
  <c r="I746" i="1"/>
  <c r="E746" i="1"/>
  <c r="P746" i="1" s="1"/>
  <c r="I745" i="1"/>
  <c r="E745" i="1"/>
  <c r="P745" i="1" s="1"/>
  <c r="I744" i="1"/>
  <c r="E744" i="1"/>
  <c r="P744" i="1" s="1"/>
  <c r="I743" i="1"/>
  <c r="E743" i="1"/>
  <c r="P743" i="1" s="1"/>
  <c r="I742" i="1"/>
  <c r="E742" i="1"/>
  <c r="P742" i="1" s="1"/>
  <c r="I739" i="1"/>
  <c r="E739" i="1"/>
  <c r="P739" i="1" s="1"/>
  <c r="I738" i="1"/>
  <c r="E738" i="1"/>
  <c r="P738" i="1" s="1"/>
  <c r="I736" i="1"/>
  <c r="E736" i="1"/>
  <c r="P736" i="1" s="1"/>
  <c r="I735" i="1"/>
  <c r="E735" i="1"/>
  <c r="P735" i="1" s="1"/>
  <c r="I734" i="1"/>
  <c r="E734" i="1"/>
  <c r="P734" i="1" s="1"/>
  <c r="I733" i="1"/>
  <c r="E733" i="1"/>
  <c r="P733" i="1" s="1"/>
  <c r="I732" i="1"/>
  <c r="E732" i="1"/>
  <c r="P732" i="1" s="1"/>
  <c r="I729" i="1"/>
  <c r="E729" i="1"/>
  <c r="P729" i="1" s="1"/>
  <c r="I728" i="1"/>
  <c r="E728" i="1"/>
  <c r="P728" i="1" s="1"/>
  <c r="I726" i="1"/>
  <c r="E726" i="1"/>
  <c r="P726" i="1" s="1"/>
  <c r="I725" i="1"/>
  <c r="E725" i="1"/>
  <c r="P725" i="1" s="1"/>
  <c r="I724" i="1"/>
  <c r="E724" i="1"/>
  <c r="P724" i="1" s="1"/>
  <c r="I723" i="1"/>
  <c r="E723" i="1"/>
  <c r="P723" i="1" s="1"/>
  <c r="I722" i="1"/>
  <c r="E722" i="1"/>
  <c r="P722" i="1" s="1"/>
  <c r="I716" i="1"/>
  <c r="E716" i="1"/>
  <c r="P716" i="1" s="1"/>
  <c r="I715" i="1"/>
  <c r="E715" i="1"/>
  <c r="P715" i="1" s="1"/>
  <c r="I714" i="1"/>
  <c r="E714" i="1"/>
  <c r="P714" i="1" s="1"/>
  <c r="I713" i="1"/>
  <c r="E713" i="1"/>
  <c r="P713" i="1" s="1"/>
  <c r="I712" i="1"/>
  <c r="E712" i="1"/>
  <c r="P712" i="1" s="1"/>
  <c r="I711" i="1"/>
  <c r="E711" i="1"/>
  <c r="P711" i="1" s="1"/>
  <c r="I710" i="1"/>
  <c r="E710" i="1"/>
  <c r="P710" i="1" s="1"/>
  <c r="I707" i="1"/>
  <c r="E707" i="1"/>
  <c r="P707" i="1" s="1"/>
  <c r="I706" i="1"/>
  <c r="E706" i="1"/>
  <c r="P706" i="1" s="1"/>
  <c r="I705" i="1"/>
  <c r="E705" i="1"/>
  <c r="P705" i="1" s="1"/>
  <c r="I704" i="1"/>
  <c r="E704" i="1"/>
  <c r="P704" i="1" s="1"/>
  <c r="I703" i="1"/>
  <c r="E703" i="1"/>
  <c r="P703" i="1" s="1"/>
  <c r="I702" i="1"/>
  <c r="E702" i="1"/>
  <c r="P702" i="1" s="1"/>
  <c r="I701" i="1"/>
  <c r="E701" i="1"/>
  <c r="P701" i="1" s="1"/>
  <c r="I697" i="1"/>
  <c r="E697" i="1"/>
  <c r="P697" i="1" s="1"/>
  <c r="I696" i="1"/>
  <c r="E696" i="1"/>
  <c r="P696" i="1" s="1"/>
  <c r="I695" i="1"/>
  <c r="E695" i="1"/>
  <c r="P695" i="1" s="1"/>
  <c r="I694" i="1"/>
  <c r="E694" i="1"/>
  <c r="P694" i="1" s="1"/>
  <c r="I693" i="1"/>
  <c r="E693" i="1"/>
  <c r="P693" i="1" s="1"/>
  <c r="I692" i="1"/>
  <c r="E692" i="1"/>
  <c r="P692" i="1" s="1"/>
  <c r="I691" i="1"/>
  <c r="E691" i="1"/>
  <c r="P691" i="1" s="1"/>
  <c r="I688" i="1"/>
  <c r="E688" i="1"/>
  <c r="P688" i="1" s="1"/>
  <c r="I687" i="1"/>
  <c r="E687" i="1"/>
  <c r="P687" i="1" s="1"/>
  <c r="I686" i="1"/>
  <c r="E686" i="1"/>
  <c r="P686" i="1" s="1"/>
  <c r="I685" i="1"/>
  <c r="E685" i="1"/>
  <c r="P685" i="1" s="1"/>
  <c r="I684" i="1"/>
  <c r="E684" i="1"/>
  <c r="P684" i="1" s="1"/>
  <c r="I683" i="1"/>
  <c r="E683" i="1"/>
  <c r="P683" i="1" s="1"/>
  <c r="I682" i="1"/>
  <c r="E682" i="1"/>
  <c r="P682" i="1" s="1"/>
  <c r="I678" i="1"/>
  <c r="E678" i="1"/>
  <c r="P678" i="1" s="1"/>
  <c r="I677" i="1"/>
  <c r="E677" i="1"/>
  <c r="P677" i="1" s="1"/>
  <c r="I676" i="1"/>
  <c r="E676" i="1"/>
  <c r="P676" i="1" s="1"/>
  <c r="I675" i="1"/>
  <c r="E675" i="1"/>
  <c r="P675" i="1" s="1"/>
  <c r="I674" i="1"/>
  <c r="E674" i="1"/>
  <c r="P674" i="1" s="1"/>
  <c r="I673" i="1"/>
  <c r="E673" i="1"/>
  <c r="P673" i="1" s="1"/>
  <c r="I670" i="1"/>
  <c r="E670" i="1"/>
  <c r="P670" i="1" s="1"/>
  <c r="I669" i="1"/>
  <c r="E669" i="1"/>
  <c r="P669" i="1" s="1"/>
  <c r="I668" i="1"/>
  <c r="E668" i="1"/>
  <c r="P668" i="1" s="1"/>
  <c r="I667" i="1"/>
  <c r="E667" i="1"/>
  <c r="P667" i="1" s="1"/>
  <c r="I662" i="1"/>
  <c r="E662" i="1"/>
  <c r="P662" i="1" s="1"/>
  <c r="I661" i="1"/>
  <c r="E661" i="1"/>
  <c r="I660" i="1"/>
  <c r="E660" i="1"/>
  <c r="P660" i="1" s="1"/>
  <c r="I659" i="1"/>
  <c r="E659" i="1"/>
  <c r="P659" i="1" s="1"/>
  <c r="I658" i="1"/>
  <c r="E658" i="1"/>
  <c r="P658" i="1" s="1"/>
  <c r="I655" i="1"/>
  <c r="E655" i="1"/>
  <c r="I654" i="1"/>
  <c r="E654" i="1"/>
  <c r="I653" i="1"/>
  <c r="E653" i="1"/>
  <c r="I650" i="1"/>
  <c r="E650" i="1"/>
  <c r="I649" i="1"/>
  <c r="E649" i="1"/>
  <c r="I648" i="1"/>
  <c r="E648" i="1"/>
  <c r="I645" i="1"/>
  <c r="E645" i="1"/>
  <c r="I644" i="1"/>
  <c r="E644" i="1"/>
  <c r="I641" i="1"/>
  <c r="E641" i="1"/>
  <c r="I640" i="1"/>
  <c r="E640" i="1"/>
  <c r="I637" i="1"/>
  <c r="E637" i="1"/>
  <c r="I636" i="1"/>
  <c r="E636" i="1"/>
  <c r="I632" i="1"/>
  <c r="E632" i="1"/>
  <c r="P632" i="1" s="1"/>
  <c r="I631" i="1"/>
  <c r="E631" i="1"/>
  <c r="P631" i="1" s="1"/>
  <c r="I630" i="1"/>
  <c r="E630" i="1"/>
  <c r="P630" i="1" s="1"/>
  <c r="I627" i="1"/>
  <c r="E627" i="1"/>
  <c r="I626" i="1"/>
  <c r="E626" i="1"/>
  <c r="P626" i="1" s="1"/>
  <c r="I623" i="1"/>
  <c r="E623" i="1"/>
  <c r="I619" i="1"/>
  <c r="E619" i="1"/>
  <c r="P619" i="1" s="1"/>
  <c r="I618" i="1"/>
  <c r="E618" i="1"/>
  <c r="P618" i="1" s="1"/>
  <c r="I617" i="1"/>
  <c r="E617" i="1"/>
  <c r="P617" i="1" s="1"/>
  <c r="I614" i="1"/>
  <c r="E614" i="1"/>
  <c r="I613" i="1"/>
  <c r="E613" i="1"/>
  <c r="I612" i="1"/>
  <c r="E612" i="1"/>
  <c r="P612" i="1" s="1"/>
  <c r="I611" i="1"/>
  <c r="E611" i="1"/>
  <c r="P611" i="1" s="1"/>
  <c r="I603" i="1"/>
  <c r="E603" i="1"/>
  <c r="P603" i="1" s="1"/>
  <c r="I602" i="1"/>
  <c r="E602" i="1"/>
  <c r="P602" i="1" s="1"/>
  <c r="I601" i="1"/>
  <c r="E601" i="1"/>
  <c r="P601" i="1" s="1"/>
  <c r="I600" i="1"/>
  <c r="E600" i="1"/>
  <c r="P600" i="1" s="1"/>
  <c r="I599" i="1"/>
  <c r="E599" i="1"/>
  <c r="P599" i="1" s="1"/>
  <c r="I597" i="1"/>
  <c r="E597" i="1"/>
  <c r="P597" i="1" s="1"/>
  <c r="I596" i="1"/>
  <c r="E596" i="1"/>
  <c r="P596" i="1" s="1"/>
  <c r="I595" i="1"/>
  <c r="E595" i="1"/>
  <c r="P595" i="1" s="1"/>
  <c r="I591" i="1"/>
  <c r="E591" i="1"/>
  <c r="P591" i="1" s="1"/>
  <c r="I590" i="1"/>
  <c r="E590" i="1"/>
  <c r="P590" i="1" s="1"/>
  <c r="I589" i="1"/>
  <c r="E589" i="1"/>
  <c r="P589" i="1" s="1"/>
  <c r="I586" i="1"/>
  <c r="E586" i="1"/>
  <c r="P586" i="1" s="1"/>
  <c r="I585" i="1"/>
  <c r="E585" i="1"/>
  <c r="P585" i="1" s="1"/>
  <c r="I584" i="1"/>
  <c r="E584" i="1"/>
  <c r="P584" i="1" s="1"/>
  <c r="I581" i="1"/>
  <c r="E581" i="1"/>
  <c r="P581" i="1" s="1"/>
  <c r="I580" i="1"/>
  <c r="E580" i="1"/>
  <c r="P580" i="1" s="1"/>
  <c r="I577" i="1"/>
  <c r="E577" i="1"/>
  <c r="P577" i="1" s="1"/>
  <c r="I576" i="1"/>
  <c r="E576" i="1"/>
  <c r="P576" i="1" s="1"/>
  <c r="I574" i="1"/>
  <c r="E574" i="1"/>
  <c r="P574" i="1" s="1"/>
  <c r="I573" i="1"/>
  <c r="E573" i="1"/>
  <c r="P573" i="1" s="1"/>
  <c r="I571" i="1"/>
  <c r="E571" i="1"/>
  <c r="P571" i="1" s="1"/>
  <c r="I570" i="1"/>
  <c r="E570" i="1"/>
  <c r="P570" i="1" s="1"/>
  <c r="I568" i="1"/>
  <c r="E568" i="1"/>
  <c r="P568" i="1" s="1"/>
  <c r="I567" i="1"/>
  <c r="E567" i="1"/>
  <c r="P567" i="1" s="1"/>
  <c r="I566" i="1"/>
  <c r="E566" i="1"/>
  <c r="P566" i="1" s="1"/>
  <c r="I565" i="1"/>
  <c r="E565" i="1"/>
  <c r="P565" i="1" s="1"/>
  <c r="I563" i="1"/>
  <c r="E563" i="1"/>
  <c r="P563" i="1" s="1"/>
  <c r="I562" i="1"/>
  <c r="E562" i="1"/>
  <c r="P562" i="1" s="1"/>
  <c r="I561" i="1"/>
  <c r="E561" i="1"/>
  <c r="P561" i="1" s="1"/>
  <c r="I556" i="1"/>
  <c r="E556" i="1"/>
  <c r="P556" i="1" s="1"/>
  <c r="I555" i="1"/>
  <c r="E555" i="1"/>
  <c r="P555" i="1" s="1"/>
  <c r="I554" i="1"/>
  <c r="E554" i="1"/>
  <c r="P554" i="1" s="1"/>
  <c r="I553" i="1"/>
  <c r="E553" i="1"/>
  <c r="P553" i="1" s="1"/>
  <c r="I552" i="1"/>
  <c r="E552" i="1"/>
  <c r="P552" i="1" s="1"/>
  <c r="I549" i="1"/>
  <c r="E549" i="1"/>
  <c r="P549" i="1" s="1"/>
  <c r="I548" i="1"/>
  <c r="E548" i="1"/>
  <c r="P548" i="1" s="1"/>
  <c r="I547" i="1"/>
  <c r="E547" i="1"/>
  <c r="P547" i="1" s="1"/>
  <c r="I545" i="1"/>
  <c r="E545" i="1"/>
  <c r="P545" i="1" s="1"/>
  <c r="I544" i="1"/>
  <c r="E544" i="1"/>
  <c r="P544" i="1" s="1"/>
  <c r="I542" i="1"/>
  <c r="E542" i="1"/>
  <c r="P542" i="1" s="1"/>
  <c r="I541" i="1"/>
  <c r="E541" i="1"/>
  <c r="P541" i="1" s="1"/>
  <c r="I539" i="1"/>
  <c r="E539" i="1"/>
  <c r="P539" i="1" s="1"/>
  <c r="I538" i="1"/>
  <c r="E538" i="1"/>
  <c r="P538" i="1" s="1"/>
  <c r="I537" i="1"/>
  <c r="E537" i="1"/>
  <c r="P537" i="1" s="1"/>
  <c r="I535" i="1"/>
  <c r="E535" i="1"/>
  <c r="P535" i="1" s="1"/>
  <c r="I534" i="1"/>
  <c r="E534" i="1"/>
  <c r="P534" i="1" s="1"/>
  <c r="I529" i="1"/>
  <c r="E529" i="1"/>
  <c r="P529" i="1" s="1"/>
  <c r="I528" i="1"/>
  <c r="E528" i="1"/>
  <c r="P528" i="1" s="1"/>
  <c r="I527" i="1"/>
  <c r="E527" i="1"/>
  <c r="P527" i="1" s="1"/>
  <c r="I524" i="1"/>
  <c r="E524" i="1"/>
  <c r="P524" i="1" s="1"/>
  <c r="I523" i="1"/>
  <c r="E523" i="1"/>
  <c r="P523" i="1" s="1"/>
  <c r="I522" i="1"/>
  <c r="E522" i="1"/>
  <c r="P522" i="1" s="1"/>
  <c r="I520" i="1"/>
  <c r="E520" i="1"/>
  <c r="P520" i="1" s="1"/>
  <c r="I519" i="1"/>
  <c r="E519" i="1"/>
  <c r="P519" i="1" s="1"/>
  <c r="I517" i="1"/>
  <c r="E517" i="1"/>
  <c r="P517" i="1" s="1"/>
  <c r="I516" i="1"/>
  <c r="E516" i="1"/>
  <c r="P516" i="1" s="1"/>
  <c r="I514" i="1"/>
  <c r="E514" i="1"/>
  <c r="P514" i="1" s="1"/>
  <c r="I513" i="1"/>
  <c r="E513" i="1"/>
  <c r="P513" i="1" s="1"/>
  <c r="I512" i="1"/>
  <c r="E512" i="1"/>
  <c r="P512" i="1" s="1"/>
  <c r="I510" i="1"/>
  <c r="E510" i="1"/>
  <c r="P510" i="1" s="1"/>
  <c r="I509" i="1"/>
  <c r="E509" i="1"/>
  <c r="P509" i="1" s="1"/>
  <c r="I504" i="1"/>
  <c r="E504" i="1"/>
  <c r="P504" i="1" s="1"/>
  <c r="I503" i="1"/>
  <c r="E503" i="1"/>
  <c r="P503" i="1" s="1"/>
  <c r="I502" i="1"/>
  <c r="E502" i="1"/>
  <c r="P502" i="1" s="1"/>
  <c r="I501" i="1"/>
  <c r="E501" i="1"/>
  <c r="I500" i="1"/>
  <c r="E500" i="1"/>
  <c r="P500" i="1" s="1"/>
  <c r="I499" i="1"/>
  <c r="E499" i="1"/>
  <c r="P499" i="1" s="1"/>
  <c r="I498" i="1"/>
  <c r="E498" i="1"/>
  <c r="P498" i="1" s="1"/>
  <c r="I495" i="1"/>
  <c r="E495" i="1"/>
  <c r="P495" i="1" s="1"/>
  <c r="I494" i="1"/>
  <c r="E494" i="1"/>
  <c r="P494" i="1" s="1"/>
  <c r="I493" i="1"/>
  <c r="E493" i="1"/>
  <c r="P493" i="1" s="1"/>
  <c r="I491" i="1"/>
  <c r="E491" i="1"/>
  <c r="P491" i="1" s="1"/>
  <c r="I490" i="1"/>
  <c r="E490" i="1"/>
  <c r="P490" i="1" s="1"/>
  <c r="I488" i="1"/>
  <c r="E488" i="1"/>
  <c r="P488" i="1" s="1"/>
  <c r="I487" i="1"/>
  <c r="E487" i="1"/>
  <c r="P487" i="1" s="1"/>
  <c r="I485" i="1"/>
  <c r="E485" i="1"/>
  <c r="P485" i="1" s="1"/>
  <c r="I484" i="1"/>
  <c r="E484" i="1"/>
  <c r="P484" i="1" s="1"/>
  <c r="I483" i="1"/>
  <c r="E483" i="1"/>
  <c r="P483" i="1" s="1"/>
  <c r="I481" i="1"/>
  <c r="E481" i="1"/>
  <c r="P481" i="1" s="1"/>
  <c r="I480" i="1"/>
  <c r="E480" i="1"/>
  <c r="P480" i="1" s="1"/>
  <c r="I468" i="1"/>
  <c r="E468" i="1"/>
  <c r="P468" i="1" s="1"/>
  <c r="I467" i="1"/>
  <c r="E467" i="1"/>
  <c r="P467" i="1" s="1"/>
  <c r="I466" i="1"/>
  <c r="E466" i="1"/>
  <c r="P466" i="1" s="1"/>
  <c r="I464" i="1"/>
  <c r="E464" i="1"/>
  <c r="P464" i="1" s="1"/>
  <c r="I463" i="1"/>
  <c r="E463" i="1"/>
  <c r="P463" i="1" s="1"/>
  <c r="I461" i="1"/>
  <c r="E461" i="1"/>
  <c r="P461" i="1" s="1"/>
  <c r="I460" i="1"/>
  <c r="E460" i="1"/>
  <c r="P460" i="1" s="1"/>
  <c r="I458" i="1"/>
  <c r="E458" i="1"/>
  <c r="P458" i="1" s="1"/>
  <c r="I457" i="1"/>
  <c r="E457" i="1"/>
  <c r="P457" i="1" s="1"/>
  <c r="I456" i="1"/>
  <c r="E456" i="1"/>
  <c r="P456" i="1" s="1"/>
  <c r="I454" i="1"/>
  <c r="E454" i="1"/>
  <c r="P454" i="1" s="1"/>
  <c r="I453" i="1"/>
  <c r="E453" i="1"/>
  <c r="P453" i="1" s="1"/>
  <c r="I448" i="1"/>
  <c r="E448" i="1"/>
  <c r="P448" i="1" s="1"/>
  <c r="I447" i="1"/>
  <c r="E447" i="1"/>
  <c r="P447" i="1" s="1"/>
  <c r="I446" i="1"/>
  <c r="E446" i="1"/>
  <c r="P446" i="1" s="1"/>
  <c r="I443" i="1"/>
  <c r="E443" i="1"/>
  <c r="P443" i="1" s="1"/>
  <c r="I442" i="1"/>
  <c r="E442" i="1"/>
  <c r="P442" i="1" s="1"/>
  <c r="I441" i="1"/>
  <c r="E441" i="1"/>
  <c r="P441" i="1" s="1"/>
  <c r="I439" i="1"/>
  <c r="E439" i="1"/>
  <c r="P439" i="1" s="1"/>
  <c r="I438" i="1"/>
  <c r="E438" i="1"/>
  <c r="P438" i="1" s="1"/>
  <c r="I436" i="1"/>
  <c r="E436" i="1"/>
  <c r="P436" i="1" s="1"/>
  <c r="I435" i="1"/>
  <c r="E435" i="1"/>
  <c r="P435" i="1" s="1"/>
  <c r="I433" i="1"/>
  <c r="E433" i="1"/>
  <c r="P433" i="1" s="1"/>
  <c r="I432" i="1"/>
  <c r="E432" i="1"/>
  <c r="P432" i="1" s="1"/>
  <c r="I431" i="1"/>
  <c r="E431" i="1"/>
  <c r="P431" i="1" s="1"/>
  <c r="I429" i="1"/>
  <c r="E429" i="1"/>
  <c r="P429" i="1" s="1"/>
  <c r="I428" i="1"/>
  <c r="E428" i="1"/>
  <c r="P428" i="1" s="1"/>
  <c r="I423" i="1"/>
  <c r="E423" i="1"/>
  <c r="P423" i="1" s="1"/>
  <c r="I422" i="1"/>
  <c r="E422" i="1"/>
  <c r="P422" i="1" s="1"/>
  <c r="I421" i="1"/>
  <c r="E421" i="1"/>
  <c r="P421" i="1" s="1"/>
  <c r="I420" i="1"/>
  <c r="E420" i="1"/>
  <c r="P420" i="1" s="1"/>
  <c r="I419" i="1"/>
  <c r="E419" i="1"/>
  <c r="P419" i="1" s="1"/>
  <c r="I416" i="1"/>
  <c r="E416" i="1"/>
  <c r="P416" i="1" s="1"/>
  <c r="I415" i="1"/>
  <c r="E415" i="1"/>
  <c r="P415" i="1" s="1"/>
  <c r="I414" i="1"/>
  <c r="E414" i="1"/>
  <c r="P414" i="1" s="1"/>
  <c r="I412" i="1"/>
  <c r="E412" i="1"/>
  <c r="P412" i="1" s="1"/>
  <c r="I411" i="1"/>
  <c r="E411" i="1"/>
  <c r="P411" i="1" s="1"/>
  <c r="I409" i="1"/>
  <c r="E409" i="1"/>
  <c r="P409" i="1" s="1"/>
  <c r="I408" i="1"/>
  <c r="E408" i="1"/>
  <c r="P408" i="1" s="1"/>
  <c r="I406" i="1"/>
  <c r="E406" i="1"/>
  <c r="P406" i="1" s="1"/>
  <c r="I405" i="1"/>
  <c r="E405" i="1"/>
  <c r="P405" i="1" s="1"/>
  <c r="I404" i="1"/>
  <c r="E404" i="1"/>
  <c r="P404" i="1" s="1"/>
  <c r="I402" i="1"/>
  <c r="E402" i="1"/>
  <c r="P402" i="1" s="1"/>
  <c r="I401" i="1"/>
  <c r="E401" i="1"/>
  <c r="P401" i="1" s="1"/>
  <c r="I396" i="1"/>
  <c r="E396" i="1"/>
  <c r="P396" i="1" s="1"/>
  <c r="I395" i="1"/>
  <c r="E395" i="1"/>
  <c r="P395" i="1" s="1"/>
  <c r="I394" i="1"/>
  <c r="E394" i="1"/>
  <c r="P394" i="1" s="1"/>
  <c r="I393" i="1"/>
  <c r="E393" i="1"/>
  <c r="P393" i="1" s="1"/>
  <c r="I392" i="1"/>
  <c r="E392" i="1"/>
  <c r="P392" i="1" s="1"/>
  <c r="I389" i="1"/>
  <c r="E389" i="1"/>
  <c r="P389" i="1" s="1"/>
  <c r="I388" i="1"/>
  <c r="E388" i="1"/>
  <c r="P388" i="1" s="1"/>
  <c r="I387" i="1"/>
  <c r="E387" i="1"/>
  <c r="P387" i="1" s="1"/>
  <c r="I385" i="1"/>
  <c r="E385" i="1"/>
  <c r="P385" i="1" s="1"/>
  <c r="I384" i="1"/>
  <c r="E384" i="1"/>
  <c r="I382" i="1"/>
  <c r="E382" i="1"/>
  <c r="P382" i="1" s="1"/>
  <c r="I381" i="1"/>
  <c r="E381" i="1"/>
  <c r="P381" i="1" s="1"/>
  <c r="I379" i="1"/>
  <c r="E379" i="1"/>
  <c r="P379" i="1" s="1"/>
  <c r="I378" i="1"/>
  <c r="E378" i="1"/>
  <c r="I377" i="1"/>
  <c r="E377" i="1"/>
  <c r="P377" i="1" s="1"/>
  <c r="I375" i="1"/>
  <c r="E375" i="1"/>
  <c r="P375" i="1" s="1"/>
  <c r="I374" i="1"/>
  <c r="E374" i="1"/>
  <c r="P374" i="1" s="1"/>
  <c r="I369" i="1"/>
  <c r="E369" i="1"/>
  <c r="I368" i="1"/>
  <c r="E368" i="1"/>
  <c r="P368" i="1" s="1"/>
  <c r="I367" i="1"/>
  <c r="E367" i="1"/>
  <c r="P367" i="1" s="1"/>
  <c r="I364" i="1"/>
  <c r="E364" i="1"/>
  <c r="P364" i="1" s="1"/>
  <c r="I363" i="1"/>
  <c r="E363" i="1"/>
  <c r="I362" i="1"/>
  <c r="E362" i="1"/>
  <c r="P362" i="1" s="1"/>
  <c r="I359" i="1"/>
  <c r="E359" i="1"/>
  <c r="I358" i="1"/>
  <c r="E358" i="1"/>
  <c r="P358" i="1" s="1"/>
  <c r="I357" i="1"/>
  <c r="E357" i="1"/>
  <c r="P357" i="1" s="1"/>
  <c r="I356" i="1"/>
  <c r="E356" i="1"/>
  <c r="P356" i="1" s="1"/>
  <c r="I355" i="1"/>
  <c r="E355" i="1"/>
  <c r="P355" i="1" s="1"/>
  <c r="I352" i="1"/>
  <c r="E352" i="1"/>
  <c r="P352" i="1" s="1"/>
  <c r="I351" i="1"/>
  <c r="E351" i="1"/>
  <c r="I350" i="1"/>
  <c r="E350" i="1"/>
  <c r="P350" i="1" s="1"/>
  <c r="I349" i="1"/>
  <c r="E349" i="1"/>
  <c r="P349" i="1" s="1"/>
  <c r="I347" i="1"/>
  <c r="E347" i="1"/>
  <c r="P347" i="1" s="1"/>
  <c r="I346" i="1"/>
  <c r="E346" i="1"/>
  <c r="I345" i="1"/>
  <c r="E345" i="1"/>
  <c r="P345" i="1" s="1"/>
  <c r="I343" i="1"/>
  <c r="E343" i="1"/>
  <c r="P343" i="1" s="1"/>
  <c r="I342" i="1"/>
  <c r="E342" i="1"/>
  <c r="I341" i="1"/>
  <c r="E341" i="1"/>
  <c r="N341" i="1" s="1"/>
  <c r="I340" i="1"/>
  <c r="E340" i="1"/>
  <c r="P340" i="1" s="1"/>
  <c r="I338" i="1"/>
  <c r="E338" i="1"/>
  <c r="I337" i="1"/>
  <c r="E337" i="1"/>
  <c r="P337" i="1" s="1"/>
  <c r="I336" i="1"/>
  <c r="E336" i="1"/>
  <c r="I335" i="1"/>
  <c r="E335" i="1"/>
  <c r="P335" i="1" s="1"/>
  <c r="I333" i="1"/>
  <c r="E333" i="1"/>
  <c r="P333" i="1" s="1"/>
  <c r="I332" i="1"/>
  <c r="E332" i="1"/>
  <c r="P332" i="1" s="1"/>
  <c r="I331" i="1"/>
  <c r="E331" i="1"/>
  <c r="I326" i="1"/>
  <c r="E326" i="1"/>
  <c r="P326" i="1" s="1"/>
  <c r="I325" i="1"/>
  <c r="E325" i="1"/>
  <c r="I324" i="1"/>
  <c r="E324" i="1"/>
  <c r="P324" i="1" s="1"/>
  <c r="I323" i="1"/>
  <c r="E323" i="1"/>
  <c r="P323" i="1" s="1"/>
  <c r="I321" i="1"/>
  <c r="E321" i="1"/>
  <c r="P321" i="1" s="1"/>
  <c r="I320" i="1"/>
  <c r="E320" i="1"/>
  <c r="P320" i="1" s="1"/>
  <c r="I319" i="1"/>
  <c r="E319" i="1"/>
  <c r="P319" i="1" s="1"/>
  <c r="I317" i="1"/>
  <c r="E317" i="1"/>
  <c r="P317" i="1" s="1"/>
  <c r="I316" i="1"/>
  <c r="E316" i="1"/>
  <c r="I315" i="1"/>
  <c r="J315" i="1" s="1"/>
  <c r="E315" i="1"/>
  <c r="I314" i="1"/>
  <c r="J314" i="1" s="1"/>
  <c r="E314" i="1"/>
  <c r="P314" i="1" s="1"/>
  <c r="I312" i="1"/>
  <c r="E312" i="1"/>
  <c r="P312" i="1" s="1"/>
  <c r="I311" i="1"/>
  <c r="E311" i="1"/>
  <c r="P311" i="1" s="1"/>
  <c r="I310" i="1"/>
  <c r="E310" i="1"/>
  <c r="P310" i="1" s="1"/>
  <c r="I309" i="1"/>
  <c r="E309" i="1"/>
  <c r="P309" i="1" s="1"/>
  <c r="I307" i="1"/>
  <c r="E307" i="1"/>
  <c r="I306" i="1"/>
  <c r="E306" i="1"/>
  <c r="P306" i="1" s="1"/>
  <c r="I305" i="1"/>
  <c r="E305" i="1"/>
  <c r="P305" i="1" s="1"/>
  <c r="I299" i="1"/>
  <c r="E299" i="1"/>
  <c r="P299" i="1" s="1"/>
  <c r="I298" i="1"/>
  <c r="E298" i="1"/>
  <c r="I297" i="1"/>
  <c r="E297" i="1"/>
  <c r="P297" i="1" s="1"/>
  <c r="I296" i="1"/>
  <c r="E296" i="1"/>
  <c r="P296" i="1" s="1"/>
  <c r="I295" i="1"/>
  <c r="E295" i="1"/>
  <c r="P295" i="1" s="1"/>
  <c r="I292" i="1"/>
  <c r="E292" i="1"/>
  <c r="P292" i="1" s="1"/>
  <c r="I291" i="1"/>
  <c r="E291" i="1"/>
  <c r="P291" i="1" s="1"/>
  <c r="I290" i="1"/>
  <c r="E290" i="1"/>
  <c r="P290" i="1" s="1"/>
  <c r="I288" i="1"/>
  <c r="E288" i="1"/>
  <c r="P288" i="1" s="1"/>
  <c r="I287" i="1"/>
  <c r="E287" i="1"/>
  <c r="P287" i="1" s="1"/>
  <c r="I285" i="1"/>
  <c r="E285" i="1"/>
  <c r="P285" i="1" s="1"/>
  <c r="I284" i="1"/>
  <c r="E284" i="1"/>
  <c r="P284" i="1" s="1"/>
  <c r="I282" i="1"/>
  <c r="E282" i="1"/>
  <c r="P282" i="1" s="1"/>
  <c r="I281" i="1"/>
  <c r="E281" i="1"/>
  <c r="P281" i="1" s="1"/>
  <c r="I280" i="1"/>
  <c r="E280" i="1"/>
  <c r="P280" i="1" s="1"/>
  <c r="I278" i="1"/>
  <c r="E278" i="1"/>
  <c r="I277" i="1"/>
  <c r="E277" i="1"/>
  <c r="P277" i="1" s="1"/>
  <c r="I272" i="1"/>
  <c r="E272" i="1"/>
  <c r="I271" i="1"/>
  <c r="E271" i="1"/>
  <c r="P271" i="1" s="1"/>
  <c r="I270" i="1"/>
  <c r="E270" i="1"/>
  <c r="I267" i="1"/>
  <c r="E267" i="1"/>
  <c r="P267" i="1" s="1"/>
  <c r="I266" i="1"/>
  <c r="E266" i="1"/>
  <c r="P266" i="1" s="1"/>
  <c r="I265" i="1"/>
  <c r="E265" i="1"/>
  <c r="P265" i="1" s="1"/>
  <c r="I263" i="1"/>
  <c r="E263" i="1"/>
  <c r="I262" i="1"/>
  <c r="E262" i="1"/>
  <c r="P262" i="1" s="1"/>
  <c r="I260" i="1"/>
  <c r="E260" i="1"/>
  <c r="P260" i="1" s="1"/>
  <c r="I259" i="1"/>
  <c r="E259" i="1"/>
  <c r="P259" i="1" s="1"/>
  <c r="I257" i="1"/>
  <c r="E257" i="1"/>
  <c r="P257" i="1" s="1"/>
  <c r="I256" i="1"/>
  <c r="E256" i="1"/>
  <c r="P256" i="1" s="1"/>
  <c r="I255" i="1"/>
  <c r="E255" i="1"/>
  <c r="P255" i="1" s="1"/>
  <c r="I253" i="1"/>
  <c r="E253" i="1"/>
  <c r="P253" i="1" s="1"/>
  <c r="I252" i="1"/>
  <c r="E252" i="1"/>
  <c r="P252" i="1" s="1"/>
  <c r="I246" i="1"/>
  <c r="E246" i="1"/>
  <c r="M246" i="1" s="1"/>
  <c r="I243" i="1"/>
  <c r="E243" i="1"/>
  <c r="P243" i="1" s="1"/>
  <c r="I242" i="1"/>
  <c r="E242" i="1"/>
  <c r="P242" i="1" s="1"/>
  <c r="I241" i="1"/>
  <c r="E241" i="1"/>
  <c r="P241" i="1" s="1"/>
  <c r="I238" i="1"/>
  <c r="E238" i="1"/>
  <c r="P238" i="1" s="1"/>
  <c r="I237" i="1"/>
  <c r="E237" i="1"/>
  <c r="P237" i="1" s="1"/>
  <c r="I236" i="1"/>
  <c r="E236" i="1"/>
  <c r="P236" i="1" s="1"/>
  <c r="I233" i="1"/>
  <c r="E233" i="1"/>
  <c r="P233" i="1" s="1"/>
  <c r="P232" i="1" s="1"/>
  <c r="I229" i="1"/>
  <c r="E229" i="1"/>
  <c r="P229" i="1" s="1"/>
  <c r="I228" i="1"/>
  <c r="E228" i="1"/>
  <c r="P228" i="1" s="1"/>
  <c r="I227" i="1"/>
  <c r="E227" i="1"/>
  <c r="P227" i="1" s="1"/>
  <c r="I226" i="1"/>
  <c r="E226" i="1"/>
  <c r="P226" i="1" s="1"/>
  <c r="I223" i="1"/>
  <c r="E223" i="1"/>
  <c r="P223" i="1" s="1"/>
  <c r="I222" i="1"/>
  <c r="E222" i="1"/>
  <c r="I219" i="1"/>
  <c r="E219" i="1"/>
  <c r="P219" i="1" s="1"/>
  <c r="I218" i="1"/>
  <c r="E218" i="1"/>
  <c r="P218" i="1" s="1"/>
  <c r="I217" i="1"/>
  <c r="E217" i="1"/>
  <c r="P217" i="1" s="1"/>
  <c r="I213" i="1"/>
  <c r="E213" i="1"/>
  <c r="I212" i="1"/>
  <c r="E212" i="1"/>
  <c r="P212" i="1" s="1"/>
  <c r="I211" i="1"/>
  <c r="E211" i="1"/>
  <c r="P211" i="1" s="1"/>
  <c r="I210" i="1"/>
  <c r="E210" i="1"/>
  <c r="P210" i="1" s="1"/>
  <c r="I209" i="1"/>
  <c r="E209" i="1"/>
  <c r="P209" i="1" s="1"/>
  <c r="I205" i="1"/>
  <c r="E205" i="1"/>
  <c r="I204" i="1"/>
  <c r="E204" i="1"/>
  <c r="P204" i="1" s="1"/>
  <c r="I203" i="1"/>
  <c r="E203" i="1"/>
  <c r="P203" i="1" s="1"/>
  <c r="I202" i="1"/>
  <c r="E202" i="1"/>
  <c r="P202" i="1" s="1"/>
  <c r="I201" i="1"/>
  <c r="E201" i="1"/>
  <c r="P201" i="1" s="1"/>
  <c r="I197" i="1"/>
  <c r="E197" i="1"/>
  <c r="P197" i="1" s="1"/>
  <c r="I196" i="1"/>
  <c r="E196" i="1"/>
  <c r="P196" i="1" s="1"/>
  <c r="I195" i="1"/>
  <c r="E195" i="1"/>
  <c r="P195" i="1" s="1"/>
  <c r="I194" i="1"/>
  <c r="E194" i="1"/>
  <c r="P194" i="1" s="1"/>
  <c r="I189" i="1"/>
  <c r="E189" i="1"/>
  <c r="M189" i="1" s="1"/>
  <c r="M188" i="1" s="1"/>
  <c r="I185" i="1"/>
  <c r="E185" i="1"/>
  <c r="O185" i="1" s="1"/>
  <c r="O184" i="1" s="1"/>
  <c r="I182" i="1"/>
  <c r="E182" i="1"/>
  <c r="O182" i="1" s="1"/>
  <c r="O181" i="1" s="1"/>
  <c r="I178" i="1"/>
  <c r="E178" i="1"/>
  <c r="O178" i="1" s="1"/>
  <c r="O177" i="1" s="1"/>
  <c r="I175" i="1"/>
  <c r="E175" i="1"/>
  <c r="M175" i="1" s="1"/>
  <c r="M174" i="1" s="1"/>
  <c r="I171" i="1"/>
  <c r="E171" i="1"/>
  <c r="I168" i="1"/>
  <c r="E168" i="1"/>
  <c r="O168" i="1" s="1"/>
  <c r="O167" i="1" s="1"/>
  <c r="I165" i="1"/>
  <c r="E165" i="1"/>
  <c r="O165" i="1" s="1"/>
  <c r="O164" i="1" s="1"/>
  <c r="I161" i="1"/>
  <c r="E161" i="1"/>
  <c r="I160" i="1"/>
  <c r="E160" i="1"/>
  <c r="P160" i="1" s="1"/>
  <c r="I158" i="1"/>
  <c r="E158" i="1"/>
  <c r="I157" i="1"/>
  <c r="E157" i="1"/>
  <c r="P157" i="1" s="1"/>
  <c r="I156" i="1"/>
  <c r="E156" i="1"/>
  <c r="I155" i="1"/>
  <c r="E155" i="1"/>
  <c r="P155" i="1" s="1"/>
  <c r="I154" i="1"/>
  <c r="E154" i="1"/>
  <c r="P154" i="1" s="1"/>
  <c r="I151" i="1"/>
  <c r="E151" i="1"/>
  <c r="P151" i="1" s="1"/>
  <c r="I150" i="1"/>
  <c r="E150" i="1"/>
  <c r="P150" i="1" s="1"/>
  <c r="I148" i="1"/>
  <c r="E148" i="1"/>
  <c r="P148" i="1" s="1"/>
  <c r="I147" i="1"/>
  <c r="E147" i="1"/>
  <c r="I146" i="1"/>
  <c r="E146" i="1"/>
  <c r="P146" i="1" s="1"/>
  <c r="I145" i="1"/>
  <c r="E145" i="1"/>
  <c r="P145" i="1" s="1"/>
  <c r="I144" i="1"/>
  <c r="E144" i="1"/>
  <c r="P144" i="1" s="1"/>
  <c r="E141" i="1"/>
  <c r="P141" i="1" s="1"/>
  <c r="E140" i="1"/>
  <c r="P140" i="1" s="1"/>
  <c r="I74" i="1"/>
  <c r="E74" i="1"/>
  <c r="I73" i="1"/>
  <c r="E73" i="1"/>
  <c r="I70" i="1"/>
  <c r="E70" i="1"/>
  <c r="I69" i="1"/>
  <c r="E69" i="1"/>
  <c r="I68" i="1"/>
  <c r="E68" i="1"/>
  <c r="I65" i="1"/>
  <c r="E65" i="1"/>
  <c r="N65" i="1" s="1"/>
  <c r="I64" i="1"/>
  <c r="E64" i="1"/>
  <c r="I63" i="1"/>
  <c r="E63" i="1"/>
  <c r="I60" i="1"/>
  <c r="E60" i="1"/>
  <c r="I59" i="1"/>
  <c r="E59" i="1"/>
  <c r="I56" i="1"/>
  <c r="E56" i="1"/>
  <c r="I55" i="1"/>
  <c r="E55" i="1"/>
  <c r="I52" i="1"/>
  <c r="E52" i="1"/>
  <c r="I51" i="1"/>
  <c r="E51" i="1"/>
  <c r="I48" i="1"/>
  <c r="E48" i="1"/>
  <c r="I47" i="1"/>
  <c r="E47" i="1"/>
  <c r="I43" i="1"/>
  <c r="E43" i="1"/>
  <c r="I42" i="1"/>
  <c r="E42" i="1"/>
  <c r="I39" i="1"/>
  <c r="E39" i="1"/>
  <c r="I38" i="1"/>
  <c r="E38" i="1"/>
  <c r="I35" i="1"/>
  <c r="E35" i="1"/>
  <c r="I31" i="1"/>
  <c r="E31" i="1"/>
  <c r="P31" i="1" s="1"/>
  <c r="I30" i="1"/>
  <c r="E30" i="1"/>
  <c r="P30" i="1" s="1"/>
  <c r="I29" i="1"/>
  <c r="E29" i="1"/>
  <c r="P29" i="1" s="1"/>
  <c r="I26" i="1"/>
  <c r="E26" i="1"/>
  <c r="P26" i="1" s="1"/>
  <c r="I25" i="1"/>
  <c r="E25" i="1"/>
  <c r="I24" i="1"/>
  <c r="E24" i="1"/>
  <c r="P24" i="1" s="1"/>
  <c r="I23" i="1"/>
  <c r="E23" i="1"/>
  <c r="P23" i="1" s="1"/>
  <c r="E8" i="1"/>
  <c r="I8" i="1"/>
  <c r="E9" i="1"/>
  <c r="I9" i="1"/>
  <c r="E10" i="1"/>
  <c r="P10" i="1" s="1"/>
  <c r="I10" i="1"/>
  <c r="E11" i="1"/>
  <c r="I11" i="1"/>
  <c r="E12" i="1"/>
  <c r="I12" i="1"/>
  <c r="E13" i="1"/>
  <c r="I13" i="1"/>
  <c r="E14" i="1"/>
  <c r="P14" i="1" s="1"/>
  <c r="I14" i="1"/>
  <c r="E15" i="1"/>
  <c r="N15" i="1" s="1"/>
  <c r="I15" i="1"/>
  <c r="E16" i="1"/>
  <c r="I16" i="1"/>
  <c r="E18" i="1"/>
  <c r="I18" i="1"/>
  <c r="E19" i="1"/>
  <c r="P19" i="1" s="1"/>
  <c r="I19" i="1"/>
  <c r="E20" i="1"/>
  <c r="P20" i="1" s="1"/>
  <c r="I20" i="1"/>
  <c r="I7" i="1"/>
  <c r="E7" i="1"/>
  <c r="P7" i="1" s="1"/>
  <c r="N1167" i="1" l="1"/>
  <c r="P820" i="1"/>
  <c r="P836" i="1"/>
  <c r="P885" i="1"/>
  <c r="P900" i="1"/>
  <c r="P913" i="1"/>
  <c r="P951" i="1"/>
  <c r="P958" i="1"/>
  <c r="P968" i="1"/>
  <c r="P1010" i="1"/>
  <c r="P1030" i="1"/>
  <c r="P1051" i="1"/>
  <c r="P988" i="1"/>
  <c r="P864" i="1"/>
  <c r="P1111" i="1"/>
  <c r="J42" i="1"/>
  <c r="M42" i="1" s="1"/>
  <c r="J213" i="1"/>
  <c r="P213" i="1" s="1"/>
  <c r="P208" i="1" s="1"/>
  <c r="P855" i="1"/>
  <c r="P193" i="1"/>
  <c r="P216" i="1"/>
  <c r="P235" i="1"/>
  <c r="P391" i="1"/>
  <c r="P426" i="1"/>
  <c r="P445" i="1"/>
  <c r="P507" i="1"/>
  <c r="P559" i="1"/>
  <c r="P588" i="1"/>
  <c r="P690" i="1"/>
  <c r="P709" i="1"/>
  <c r="P731" i="1"/>
  <c r="P752" i="1"/>
  <c r="P772" i="1"/>
  <c r="P1096" i="1"/>
  <c r="P1092" i="1" s="1"/>
  <c r="P1113" i="1"/>
  <c r="P1130" i="1"/>
  <c r="P1149" i="1"/>
  <c r="P76" i="1"/>
  <c r="L43" i="1"/>
  <c r="P43" i="1"/>
  <c r="L92" i="1"/>
  <c r="K92" i="1" s="1"/>
  <c r="P92" i="1"/>
  <c r="N105" i="1"/>
  <c r="P105" i="1"/>
  <c r="P103" i="1" s="1"/>
  <c r="N112" i="1"/>
  <c r="P112" i="1"/>
  <c r="N116" i="1"/>
  <c r="P116" i="1"/>
  <c r="N123" i="1"/>
  <c r="P123" i="1"/>
  <c r="N127" i="1"/>
  <c r="P127" i="1"/>
  <c r="N136" i="1"/>
  <c r="P136" i="1"/>
  <c r="P133" i="1" s="1"/>
  <c r="O472" i="1"/>
  <c r="P472" i="1"/>
  <c r="L91" i="1"/>
  <c r="K91" i="1" s="1"/>
  <c r="P91" i="1"/>
  <c r="O471" i="1"/>
  <c r="P471" i="1"/>
  <c r="N16" i="1"/>
  <c r="P16" i="1"/>
  <c r="N8" i="1"/>
  <c r="P8" i="1"/>
  <c r="P225" i="1"/>
  <c r="P240" i="1"/>
  <c r="O263" i="1"/>
  <c r="P263" i="1"/>
  <c r="P250" i="1" s="1"/>
  <c r="O270" i="1"/>
  <c r="P270" i="1"/>
  <c r="O272" i="1"/>
  <c r="P272" i="1"/>
  <c r="O278" i="1"/>
  <c r="P278" i="1"/>
  <c r="P275" i="1" s="1"/>
  <c r="O298" i="1"/>
  <c r="P298" i="1"/>
  <c r="P294" i="1" s="1"/>
  <c r="O307" i="1"/>
  <c r="P307" i="1"/>
  <c r="N315" i="1"/>
  <c r="P315" i="1"/>
  <c r="N325" i="1"/>
  <c r="P325" i="1"/>
  <c r="N331" i="1"/>
  <c r="P331" i="1"/>
  <c r="N336" i="1"/>
  <c r="P336" i="1"/>
  <c r="N338" i="1"/>
  <c r="P338" i="1"/>
  <c r="N346" i="1"/>
  <c r="P346" i="1"/>
  <c r="N351" i="1"/>
  <c r="P351" i="1"/>
  <c r="N359" i="1"/>
  <c r="P359" i="1"/>
  <c r="P354" i="1" s="1"/>
  <c r="N363" i="1"/>
  <c r="P363" i="1"/>
  <c r="P361" i="1" s="1"/>
  <c r="N369" i="1"/>
  <c r="P369" i="1"/>
  <c r="P366" i="1" s="1"/>
  <c r="N378" i="1"/>
  <c r="P378" i="1"/>
  <c r="N384" i="1"/>
  <c r="P384" i="1"/>
  <c r="P399" i="1"/>
  <c r="P418" i="1"/>
  <c r="P451" i="1"/>
  <c r="P526" i="1"/>
  <c r="P532" i="1"/>
  <c r="P551" i="1"/>
  <c r="P579" i="1"/>
  <c r="P583" i="1"/>
  <c r="P593" i="1"/>
  <c r="P616" i="1"/>
  <c r="P629" i="1"/>
  <c r="P665" i="1"/>
  <c r="P672" i="1"/>
  <c r="P681" i="1"/>
  <c r="P700" i="1"/>
  <c r="P721" i="1"/>
  <c r="P741" i="1"/>
  <c r="P762" i="1"/>
  <c r="P1100" i="1"/>
  <c r="P1118" i="1"/>
  <c r="P1139" i="1"/>
  <c r="L93" i="1"/>
  <c r="K93" i="1" s="1"/>
  <c r="P93" i="1"/>
  <c r="O473" i="1"/>
  <c r="P473" i="1"/>
  <c r="N475" i="1"/>
  <c r="P475" i="1"/>
  <c r="N12" i="1"/>
  <c r="P12" i="1"/>
  <c r="L25" i="1"/>
  <c r="P25" i="1"/>
  <c r="P22" i="1" s="1"/>
  <c r="P28" i="1"/>
  <c r="N38" i="1"/>
  <c r="P38" i="1"/>
  <c r="L42" i="1"/>
  <c r="K42" i="1" s="1"/>
  <c r="P42" i="1"/>
  <c r="N147" i="1"/>
  <c r="P147" i="1"/>
  <c r="P143" i="1" s="1"/>
  <c r="M156" i="1"/>
  <c r="P156" i="1"/>
  <c r="O158" i="1"/>
  <c r="P158" i="1"/>
  <c r="M161" i="1"/>
  <c r="P161" i="1"/>
  <c r="N18" i="1"/>
  <c r="P18" i="1"/>
  <c r="N13" i="1"/>
  <c r="P13" i="1"/>
  <c r="N11" i="1"/>
  <c r="P11" i="1"/>
  <c r="N9" i="1"/>
  <c r="P9" i="1"/>
  <c r="P807" i="1"/>
  <c r="P818" i="1"/>
  <c r="P825" i="1"/>
  <c r="P845" i="1"/>
  <c r="P977" i="1"/>
  <c r="P997" i="1"/>
  <c r="P1020" i="1"/>
  <c r="P1041" i="1"/>
  <c r="P1061" i="1"/>
  <c r="P95" i="1"/>
  <c r="O474" i="1"/>
  <c r="P474" i="1"/>
  <c r="M1277" i="1"/>
  <c r="M1260" i="1" s="1"/>
  <c r="M1167" i="1" s="1"/>
  <c r="J1167" i="1"/>
  <c r="H1120" i="1"/>
  <c r="J1120" i="1" s="1"/>
  <c r="N1120" i="1" s="1"/>
  <c r="H1101" i="1"/>
  <c r="J1101" i="1" s="1"/>
  <c r="N1101" i="1" s="1"/>
  <c r="H1141" i="1"/>
  <c r="L1141" i="1" s="1"/>
  <c r="K1141" i="1" s="1"/>
  <c r="H1151" i="1"/>
  <c r="J1151" i="1" s="1"/>
  <c r="O1151" i="1" s="1"/>
  <c r="H954" i="1"/>
  <c r="O1181" i="1"/>
  <c r="O1167" i="1" s="1"/>
  <c r="H697" i="1"/>
  <c r="H963" i="1"/>
  <c r="H1003" i="1"/>
  <c r="J1003" i="1" s="1"/>
  <c r="O1003" i="1" s="1"/>
  <c r="H946" i="1"/>
  <c r="J946" i="1" s="1"/>
  <c r="P946" i="1" s="1"/>
  <c r="P942" i="1" s="1"/>
  <c r="G267" i="1"/>
  <c r="G1048" i="1"/>
  <c r="H910" i="1"/>
  <c r="L910" i="1" s="1"/>
  <c r="G980" i="1"/>
  <c r="H837" i="1"/>
  <c r="J837" i="1" s="1"/>
  <c r="O837" i="1" s="1"/>
  <c r="G1044" i="1"/>
  <c r="G1068" i="1"/>
  <c r="G972" i="1"/>
  <c r="H1115" i="1"/>
  <c r="J1115" i="1" s="1"/>
  <c r="O1115" i="1" s="1"/>
  <c r="G1037" i="1"/>
  <c r="G993" i="1"/>
  <c r="H580" i="1"/>
  <c r="J580" i="1" s="1"/>
  <c r="H843" i="1"/>
  <c r="J843" i="1" s="1"/>
  <c r="O843" i="1" s="1"/>
  <c r="G973" i="1"/>
  <c r="J528" i="1"/>
  <c r="O528" i="1" s="1"/>
  <c r="G975" i="1"/>
  <c r="J975" i="1" s="1"/>
  <c r="O975" i="1" s="1"/>
  <c r="H921" i="1"/>
  <c r="J921" i="1" s="1"/>
  <c r="P921" i="1" s="1"/>
  <c r="G971" i="1"/>
  <c r="G1017" i="1"/>
  <c r="J1017" i="1" s="1"/>
  <c r="O1017" i="1" s="1"/>
  <c r="G1058" i="1"/>
  <c r="H1131" i="1"/>
  <c r="J1131" i="1" s="1"/>
  <c r="O1131" i="1" s="1"/>
  <c r="H812" i="1"/>
  <c r="J812" i="1" s="1"/>
  <c r="O812" i="1" s="1"/>
  <c r="H972" i="1"/>
  <c r="H896" i="1"/>
  <c r="H898" i="1" s="1"/>
  <c r="J898" i="1" s="1"/>
  <c r="P898" i="1" s="1"/>
  <c r="H808" i="1"/>
  <c r="J808" i="1" s="1"/>
  <c r="N808" i="1" s="1"/>
  <c r="G494" i="1"/>
  <c r="H871" i="1"/>
  <c r="J871" i="1" s="1"/>
  <c r="O871" i="1" s="1"/>
  <c r="H832" i="1"/>
  <c r="J832" i="1" s="1"/>
  <c r="O832" i="1" s="1"/>
  <c r="H903" i="1"/>
  <c r="G779" i="1"/>
  <c r="J779" i="1" s="1"/>
  <c r="O779" i="1" s="1"/>
  <c r="G956" i="1"/>
  <c r="G963" i="1"/>
  <c r="G1001" i="1"/>
  <c r="G1027" i="1"/>
  <c r="J1027" i="1" s="1"/>
  <c r="O1027" i="1" s="1"/>
  <c r="G1049" i="1"/>
  <c r="J1049" i="1" s="1"/>
  <c r="O1049" i="1" s="1"/>
  <c r="H1126" i="1"/>
  <c r="J1126" i="1" s="1"/>
  <c r="M1126" i="1" s="1"/>
  <c r="H311" i="1"/>
  <c r="J311" i="1" s="1"/>
  <c r="M311" i="1" s="1"/>
  <c r="G769" i="1"/>
  <c r="J769" i="1" s="1"/>
  <c r="O769" i="1" s="1"/>
  <c r="H472" i="1"/>
  <c r="J472" i="1" s="1"/>
  <c r="N472" i="1" s="1"/>
  <c r="H617" i="1"/>
  <c r="J617" i="1" s="1"/>
  <c r="M617" i="1" s="1"/>
  <c r="H715" i="1"/>
  <c r="J715" i="1" s="1"/>
  <c r="O715" i="1" s="1"/>
  <c r="H599" i="1"/>
  <c r="J599" i="1" s="1"/>
  <c r="N599" i="1" s="1"/>
  <c r="H934" i="1"/>
  <c r="J934" i="1" s="1"/>
  <c r="P934" i="1" s="1"/>
  <c r="H576" i="1"/>
  <c r="J576" i="1" s="1"/>
  <c r="O576" i="1" s="1"/>
  <c r="H691" i="1"/>
  <c r="J691" i="1" s="1"/>
  <c r="O691" i="1" s="1"/>
  <c r="H393" i="1"/>
  <c r="J422" i="1"/>
  <c r="M422" i="1" s="1"/>
  <c r="H822" i="1"/>
  <c r="L822" i="1" s="1"/>
  <c r="K822" i="1" s="1"/>
  <c r="H803" i="1"/>
  <c r="J803" i="1" s="1"/>
  <c r="P803" i="1" s="1"/>
  <c r="P799" i="1" s="1"/>
  <c r="H847" i="1"/>
  <c r="J847" i="1" s="1"/>
  <c r="O847" i="1" s="1"/>
  <c r="J209" i="1"/>
  <c r="O209" i="1" s="1"/>
  <c r="G81" i="1"/>
  <c r="L81" i="1" s="1"/>
  <c r="K81" i="1" s="1"/>
  <c r="G98" i="1"/>
  <c r="H237" i="1"/>
  <c r="J237" i="1" s="1"/>
  <c r="O237" i="1" s="1"/>
  <c r="H498" i="1"/>
  <c r="J498" i="1" s="1"/>
  <c r="O498" i="1" s="1"/>
  <c r="G596" i="1"/>
  <c r="G693" i="1"/>
  <c r="G738" i="1"/>
  <c r="L738" i="1" s="1"/>
  <c r="K738" i="1" s="1"/>
  <c r="H876" i="1"/>
  <c r="J876" i="1" s="1"/>
  <c r="M876" i="1" s="1"/>
  <c r="H938" i="1"/>
  <c r="J938" i="1" s="1"/>
  <c r="P938" i="1" s="1"/>
  <c r="G115" i="1"/>
  <c r="H277" i="1"/>
  <c r="H278" i="1" s="1"/>
  <c r="J278" i="1" s="1"/>
  <c r="N278" i="1" s="1"/>
  <c r="H453" i="1"/>
  <c r="J453" i="1" s="1"/>
  <c r="N453" i="1" s="1"/>
  <c r="H562" i="1"/>
  <c r="J562" i="1" s="1"/>
  <c r="N562" i="1" s="1"/>
  <c r="H659" i="1"/>
  <c r="J659" i="1" s="1"/>
  <c r="O659" i="1" s="1"/>
  <c r="G759" i="1"/>
  <c r="J759" i="1" s="1"/>
  <c r="O759" i="1" s="1"/>
  <c r="H454" i="1"/>
  <c r="J454" i="1" s="1"/>
  <c r="N454" i="1" s="1"/>
  <c r="H568" i="1"/>
  <c r="J568" i="1" s="1"/>
  <c r="M568" i="1" s="1"/>
  <c r="G677" i="1"/>
  <c r="G713" i="1"/>
  <c r="H866" i="1"/>
  <c r="H879" i="1" s="1"/>
  <c r="J879" i="1" s="1"/>
  <c r="M879" i="1" s="1"/>
  <c r="J555" i="1"/>
  <c r="M555" i="1" s="1"/>
  <c r="H114" i="1"/>
  <c r="H363" i="1"/>
  <c r="J363" i="1" s="1"/>
  <c r="O363" i="1" s="1"/>
  <c r="H603" i="1"/>
  <c r="J603" i="1" s="1"/>
  <c r="M603" i="1" s="1"/>
  <c r="H673" i="1"/>
  <c r="J673" i="1" s="1"/>
  <c r="O673" i="1" s="1"/>
  <c r="H711" i="1"/>
  <c r="H677" i="1"/>
  <c r="H693" i="1"/>
  <c r="J447" i="1"/>
  <c r="O447" i="1" s="1"/>
  <c r="H421" i="1"/>
  <c r="J421" i="1" s="1"/>
  <c r="N421" i="1" s="1"/>
  <c r="H585" i="1"/>
  <c r="H636" i="1"/>
  <c r="J636" i="1" s="1"/>
  <c r="P636" i="1" s="1"/>
  <c r="H695" i="1"/>
  <c r="J695" i="1" s="1"/>
  <c r="M695" i="1" s="1"/>
  <c r="H713" i="1"/>
  <c r="H30" i="1"/>
  <c r="J30" i="1" s="1"/>
  <c r="M30" i="1" s="1"/>
  <c r="M1337" i="1"/>
  <c r="J1336" i="1"/>
  <c r="O1349" i="1"/>
  <c r="J1348" i="1"/>
  <c r="O1340" i="1"/>
  <c r="J1339" i="1"/>
  <c r="P1352" i="1"/>
  <c r="J1351" i="1"/>
  <c r="P1343" i="1"/>
  <c r="J1342" i="1"/>
  <c r="P1355" i="1"/>
  <c r="J1354" i="1"/>
  <c r="M1334" i="1"/>
  <c r="J1333" i="1"/>
  <c r="O1346" i="1"/>
  <c r="J1345" i="1"/>
  <c r="G113" i="1"/>
  <c r="G79" i="1"/>
  <c r="G100" i="1"/>
  <c r="G117" i="1"/>
  <c r="G118" i="1" s="1"/>
  <c r="H194" i="1"/>
  <c r="J194" i="1" s="1"/>
  <c r="O194" i="1" s="1"/>
  <c r="G136" i="1"/>
  <c r="H106" i="1"/>
  <c r="G123" i="1"/>
  <c r="H100" i="1"/>
  <c r="H112" i="1"/>
  <c r="J112" i="1" s="1"/>
  <c r="O112" i="1" s="1"/>
  <c r="H309" i="1"/>
  <c r="J309" i="1" s="1"/>
  <c r="N309" i="1" s="1"/>
  <c r="G332" i="1"/>
  <c r="H584" i="1"/>
  <c r="J584" i="1" s="1"/>
  <c r="O584" i="1" s="1"/>
  <c r="H618" i="1"/>
  <c r="J618" i="1" s="1"/>
  <c r="M618" i="1" s="1"/>
  <c r="H59" i="1"/>
  <c r="L59" i="1" s="1"/>
  <c r="K59" i="1" s="1"/>
  <c r="H96" i="1"/>
  <c r="J96" i="1" s="1"/>
  <c r="O96" i="1" s="1"/>
  <c r="H116" i="1"/>
  <c r="J116" i="1" s="1"/>
  <c r="M116" i="1" s="1"/>
  <c r="H202" i="1"/>
  <c r="J202" i="1" s="1"/>
  <c r="O202" i="1" s="1"/>
  <c r="H316" i="1"/>
  <c r="H317" i="1" s="1"/>
  <c r="J317" i="1" s="1"/>
  <c r="N317" i="1" s="1"/>
  <c r="H98" i="1"/>
  <c r="H118" i="1"/>
  <c r="H204" i="1"/>
  <c r="J204" i="1" s="1"/>
  <c r="M204" i="1" s="1"/>
  <c r="H306" i="1"/>
  <c r="J306" i="1" s="1"/>
  <c r="O306" i="1" s="1"/>
  <c r="H323" i="1"/>
  <c r="G324" i="1" s="1"/>
  <c r="G326" i="1" s="1"/>
  <c r="G523" i="1"/>
  <c r="J822" i="1"/>
  <c r="O822" i="1" s="1"/>
  <c r="J903" i="1"/>
  <c r="M903" i="1" s="1"/>
  <c r="G432" i="1"/>
  <c r="G281" i="1"/>
  <c r="G196" i="1"/>
  <c r="G484" i="1"/>
  <c r="G379" i="1"/>
  <c r="G548" i="1"/>
  <c r="G514" i="1"/>
  <c r="G467" i="1"/>
  <c r="G457" i="1"/>
  <c r="G442" i="1"/>
  <c r="G415" i="1"/>
  <c r="G405" i="1"/>
  <c r="G388" i="1"/>
  <c r="G291" i="1"/>
  <c r="G256" i="1"/>
  <c r="H64" i="1"/>
  <c r="L64" i="1" s="1"/>
  <c r="K64" i="1" s="1"/>
  <c r="H51" i="1"/>
  <c r="L51" i="1" s="1"/>
  <c r="H86" i="1"/>
  <c r="L86" i="1" s="1"/>
  <c r="H125" i="1"/>
  <c r="H229" i="1"/>
  <c r="H296" i="1"/>
  <c r="J296" i="1" s="1"/>
  <c r="N296" i="1" s="1"/>
  <c r="H356" i="1"/>
  <c r="J356" i="1" s="1"/>
  <c r="N356" i="1" s="1"/>
  <c r="H685" i="1"/>
  <c r="H706" i="1"/>
  <c r="G872" i="1"/>
  <c r="H924" i="1"/>
  <c r="J924" i="1" s="1"/>
  <c r="P924" i="1" s="1"/>
  <c r="H982" i="1"/>
  <c r="J982" i="1" s="1"/>
  <c r="M982" i="1" s="1"/>
  <c r="J154" i="1"/>
  <c r="N154" i="1" s="1"/>
  <c r="J395" i="1"/>
  <c r="M395" i="1" s="1"/>
  <c r="H88" i="1"/>
  <c r="H127" i="1"/>
  <c r="H218" i="1"/>
  <c r="J218" i="1" s="1"/>
  <c r="O218" i="1" s="1"/>
  <c r="H298" i="1"/>
  <c r="J298" i="1" s="1"/>
  <c r="M298" i="1" s="1"/>
  <c r="H358" i="1"/>
  <c r="L358" i="1" s="1"/>
  <c r="K358" i="1" s="1"/>
  <c r="H429" i="1"/>
  <c r="J429" i="1" s="1"/>
  <c r="N429" i="1" s="1"/>
  <c r="G566" i="1"/>
  <c r="H688" i="1"/>
  <c r="H959" i="1"/>
  <c r="L959" i="1" s="1"/>
  <c r="H978" i="1"/>
  <c r="L978" i="1" s="1"/>
  <c r="H984" i="1"/>
  <c r="H1001" i="1"/>
  <c r="J358" i="1"/>
  <c r="M358" i="1" s="1"/>
  <c r="H69" i="1"/>
  <c r="L69" i="1" s="1"/>
  <c r="K69" i="1" s="1"/>
  <c r="H108" i="1"/>
  <c r="H123" i="1"/>
  <c r="L123" i="1" s="1"/>
  <c r="K123" i="1" s="1"/>
  <c r="H196" i="1"/>
  <c r="H227" i="1"/>
  <c r="J227" i="1" s="1"/>
  <c r="O227" i="1" s="1"/>
  <c r="H668" i="1"/>
  <c r="H684" i="1"/>
  <c r="H702" i="1"/>
  <c r="H857" i="1"/>
  <c r="J857" i="1" s="1"/>
  <c r="O857" i="1" s="1"/>
  <c r="H980" i="1"/>
  <c r="H999" i="1"/>
  <c r="H1105" i="1"/>
  <c r="J1105" i="1" s="1"/>
  <c r="O1105" i="1" s="1"/>
  <c r="J978" i="1"/>
  <c r="O978" i="1" s="1"/>
  <c r="J1011" i="1"/>
  <c r="N1011" i="1" s="1"/>
  <c r="G106" i="1"/>
  <c r="G127" i="1"/>
  <c r="G128" i="1" s="1"/>
  <c r="J128" i="1" s="1"/>
  <c r="O128" i="1" s="1"/>
  <c r="G229" i="1"/>
  <c r="H333" i="1"/>
  <c r="J333" i="1" s="1"/>
  <c r="M333" i="1" s="1"/>
  <c r="H402" i="1"/>
  <c r="J402" i="1" s="1"/>
  <c r="N402" i="1" s="1"/>
  <c r="H632" i="1"/>
  <c r="J632" i="1" s="1"/>
  <c r="M632" i="1" s="1"/>
  <c r="G684" i="1"/>
  <c r="G746" i="1"/>
  <c r="L47" i="1"/>
  <c r="K47" i="1" s="1"/>
  <c r="H335" i="1"/>
  <c r="G337" i="1" s="1"/>
  <c r="G338" i="1" s="1"/>
  <c r="H552" i="1"/>
  <c r="J552" i="1" s="1"/>
  <c r="N552" i="1" s="1"/>
  <c r="G670" i="1"/>
  <c r="G688" i="1"/>
  <c r="G705" i="1"/>
  <c r="J705" i="1" s="1"/>
  <c r="M705" i="1" s="1"/>
  <c r="G748" i="1"/>
  <c r="J748" i="1" s="1"/>
  <c r="O748" i="1" s="1"/>
  <c r="J189" i="1"/>
  <c r="H242" i="1"/>
  <c r="J242" i="1" s="1"/>
  <c r="O242" i="1" s="1"/>
  <c r="H649" i="1"/>
  <c r="J649" i="1" s="1"/>
  <c r="P649" i="1" s="1"/>
  <c r="G728" i="1"/>
  <c r="J728" i="1" s="1"/>
  <c r="O728" i="1" s="1"/>
  <c r="J47" i="1"/>
  <c r="P47" i="1" s="1"/>
  <c r="J393" i="1"/>
  <c r="N393" i="1" s="1"/>
  <c r="H38" i="1"/>
  <c r="J38" i="1" s="1"/>
  <c r="G88" i="1"/>
  <c r="G108" i="1"/>
  <c r="G124" i="1"/>
  <c r="G219" i="1"/>
  <c r="H272" i="1"/>
  <c r="J272" i="1" s="1"/>
  <c r="M272" i="1" s="1"/>
  <c r="H337" i="1"/>
  <c r="J833" i="1"/>
  <c r="M833" i="1" s="1"/>
  <c r="H56" i="1"/>
  <c r="L56" i="1" s="1"/>
  <c r="K56" i="1" s="1"/>
  <c r="H74" i="1"/>
  <c r="L74" i="1" s="1"/>
  <c r="K74" i="1" s="1"/>
  <c r="G125" i="1"/>
  <c r="H331" i="1"/>
  <c r="J331" i="1" s="1"/>
  <c r="O331" i="1" s="1"/>
  <c r="H13" i="1"/>
  <c r="J13" i="1" s="1"/>
  <c r="O13" i="1" s="1"/>
  <c r="J290" i="1"/>
  <c r="M290" i="1" s="1"/>
  <c r="H25" i="1"/>
  <c r="J25" i="1" s="1"/>
  <c r="N25" i="1" s="1"/>
  <c r="H488" i="1"/>
  <c r="J488" i="1" s="1"/>
  <c r="O488" i="1" s="1"/>
  <c r="H494" i="1"/>
  <c r="H458" i="1"/>
  <c r="J458" i="1" s="1"/>
  <c r="M458" i="1" s="1"/>
  <c r="H464" i="1"/>
  <c r="J464" i="1" s="1"/>
  <c r="M464" i="1" s="1"/>
  <c r="H436" i="1"/>
  <c r="L436" i="1" s="1"/>
  <c r="K436" i="1" s="1"/>
  <c r="H442" i="1"/>
  <c r="H409" i="1"/>
  <c r="L409" i="1" s="1"/>
  <c r="K409" i="1" s="1"/>
  <c r="H415" i="1"/>
  <c r="H384" i="1"/>
  <c r="J384" i="1" s="1"/>
  <c r="O384" i="1" s="1"/>
  <c r="H389" i="1"/>
  <c r="J389" i="1" s="1"/>
  <c r="O389" i="1" s="1"/>
  <c r="H285" i="1"/>
  <c r="J285" i="1" s="1"/>
  <c r="O285" i="1" s="1"/>
  <c r="H291" i="1"/>
  <c r="H257" i="1"/>
  <c r="J257" i="1" s="1"/>
  <c r="M257" i="1" s="1"/>
  <c r="H263" i="1"/>
  <c r="J263" i="1" s="1"/>
  <c r="M263" i="1" s="1"/>
  <c r="H516" i="1"/>
  <c r="J516" i="1" s="1"/>
  <c r="O516" i="1" s="1"/>
  <c r="H483" i="1"/>
  <c r="H484" i="1" s="1"/>
  <c r="H490" i="1"/>
  <c r="J490" i="1" s="1"/>
  <c r="O490" i="1" s="1"/>
  <c r="H495" i="1"/>
  <c r="J495" i="1" s="1"/>
  <c r="O495" i="1" s="1"/>
  <c r="H460" i="1"/>
  <c r="J460" i="1" s="1"/>
  <c r="O460" i="1" s="1"/>
  <c r="H466" i="1"/>
  <c r="J466" i="1" s="1"/>
  <c r="M466" i="1" s="1"/>
  <c r="H438" i="1"/>
  <c r="J438" i="1" s="1"/>
  <c r="O438" i="1" s="1"/>
  <c r="H443" i="1"/>
  <c r="J443" i="1" s="1"/>
  <c r="O443" i="1" s="1"/>
  <c r="H411" i="1"/>
  <c r="J411" i="1" s="1"/>
  <c r="O411" i="1" s="1"/>
  <c r="H416" i="1"/>
  <c r="J416" i="1" s="1"/>
  <c r="O416" i="1" s="1"/>
  <c r="H377" i="1"/>
  <c r="H379" i="1" s="1"/>
  <c r="H385" i="1"/>
  <c r="J385" i="1" s="1"/>
  <c r="M385" i="1" s="1"/>
  <c r="H280" i="1"/>
  <c r="H281" i="1" s="1"/>
  <c r="H287" i="1"/>
  <c r="J287" i="1" s="1"/>
  <c r="O287" i="1" s="1"/>
  <c r="H292" i="1"/>
  <c r="J292" i="1" s="1"/>
  <c r="O292" i="1" s="1"/>
  <c r="H259" i="1"/>
  <c r="J259" i="1" s="1"/>
  <c r="O259" i="1" s="1"/>
  <c r="H265" i="1"/>
  <c r="J265" i="1" s="1"/>
  <c r="M265" i="1" s="1"/>
  <c r="J468" i="1"/>
  <c r="O468" i="1" s="1"/>
  <c r="H522" i="1"/>
  <c r="J522" i="1" s="1"/>
  <c r="M522" i="1" s="1"/>
  <c r="H485" i="1"/>
  <c r="J485" i="1" s="1"/>
  <c r="M485" i="1" s="1"/>
  <c r="H491" i="1"/>
  <c r="J491" i="1" s="1"/>
  <c r="M491" i="1" s="1"/>
  <c r="H461" i="1"/>
  <c r="J461" i="1" s="1"/>
  <c r="O461" i="1" s="1"/>
  <c r="H467" i="1"/>
  <c r="H431" i="1"/>
  <c r="L431" i="1" s="1"/>
  <c r="H439" i="1"/>
  <c r="J439" i="1" s="1"/>
  <c r="M439" i="1" s="1"/>
  <c r="H404" i="1"/>
  <c r="J404" i="1" s="1"/>
  <c r="H412" i="1"/>
  <c r="J412" i="1" s="1"/>
  <c r="M412" i="1" s="1"/>
  <c r="H381" i="1"/>
  <c r="J381" i="1" s="1"/>
  <c r="O381" i="1" s="1"/>
  <c r="H387" i="1"/>
  <c r="J387" i="1" s="1"/>
  <c r="M387" i="1" s="1"/>
  <c r="H282" i="1"/>
  <c r="J282" i="1" s="1"/>
  <c r="M282" i="1" s="1"/>
  <c r="H288" i="1"/>
  <c r="J288" i="1" s="1"/>
  <c r="M288" i="1" s="1"/>
  <c r="H255" i="1"/>
  <c r="J255" i="1" s="1"/>
  <c r="H260" i="1"/>
  <c r="J260" i="1" s="1"/>
  <c r="O260" i="1" s="1"/>
  <c r="H266" i="1"/>
  <c r="J266" i="1" s="1"/>
  <c r="O266" i="1" s="1"/>
  <c r="H487" i="1"/>
  <c r="J487" i="1" s="1"/>
  <c r="O487" i="1" s="1"/>
  <c r="H493" i="1"/>
  <c r="J493" i="1" s="1"/>
  <c r="M493" i="1" s="1"/>
  <c r="H456" i="1"/>
  <c r="H457" i="1" s="1"/>
  <c r="H463" i="1"/>
  <c r="J463" i="1" s="1"/>
  <c r="O463" i="1" s="1"/>
  <c r="H435" i="1"/>
  <c r="J435" i="1" s="1"/>
  <c r="O435" i="1" s="1"/>
  <c r="H441" i="1"/>
  <c r="J441" i="1" s="1"/>
  <c r="M441" i="1" s="1"/>
  <c r="H408" i="1"/>
  <c r="J408" i="1" s="1"/>
  <c r="O408" i="1" s="1"/>
  <c r="H414" i="1"/>
  <c r="J414" i="1" s="1"/>
  <c r="M414" i="1" s="1"/>
  <c r="H382" i="1"/>
  <c r="J382" i="1" s="1"/>
  <c r="O382" i="1" s="1"/>
  <c r="H388" i="1"/>
  <c r="H284" i="1"/>
  <c r="J284" i="1" s="1"/>
  <c r="O284" i="1" s="1"/>
  <c r="H256" i="1"/>
  <c r="H262" i="1"/>
  <c r="J262" i="1" s="1"/>
  <c r="O262" i="1" s="1"/>
  <c r="H267" i="1"/>
  <c r="J409" i="1"/>
  <c r="O409" i="1" s="1"/>
  <c r="H510" i="1"/>
  <c r="J510" i="1" s="1"/>
  <c r="N510" i="1" s="1"/>
  <c r="H517" i="1"/>
  <c r="J517" i="1" s="1"/>
  <c r="O517" i="1" s="1"/>
  <c r="H523" i="1"/>
  <c r="J520" i="1"/>
  <c r="M520" i="1" s="1"/>
  <c r="H512" i="1"/>
  <c r="H513" i="1" s="1"/>
  <c r="J513" i="1" s="1"/>
  <c r="O513" i="1" s="1"/>
  <c r="H519" i="1"/>
  <c r="J519" i="1" s="1"/>
  <c r="O519" i="1" s="1"/>
  <c r="H524" i="1"/>
  <c r="J524" i="1" s="1"/>
  <c r="O524" i="1" s="1"/>
  <c r="H514" i="1"/>
  <c r="L78" i="1"/>
  <c r="J78" i="1"/>
  <c r="O78" i="1" s="1"/>
  <c r="J144" i="1"/>
  <c r="N144" i="1" s="1"/>
  <c r="J446" i="1"/>
  <c r="N446" i="1" s="1"/>
  <c r="J448" i="1"/>
  <c r="M448" i="1" s="1"/>
  <c r="H157" i="1"/>
  <c r="H18" i="1"/>
  <c r="H20" i="1" s="1"/>
  <c r="L20" i="1" s="1"/>
  <c r="K20" i="1" s="1"/>
  <c r="H537" i="1"/>
  <c r="J537" i="1" s="1"/>
  <c r="O537" i="1" s="1"/>
  <c r="H542" i="1"/>
  <c r="J542" i="1" s="1"/>
  <c r="O542" i="1" s="1"/>
  <c r="H541" i="1"/>
  <c r="J541" i="1" s="1"/>
  <c r="O541" i="1" s="1"/>
  <c r="H547" i="1"/>
  <c r="J547" i="1" s="1"/>
  <c r="M547" i="1" s="1"/>
  <c r="H548" i="1"/>
  <c r="H9" i="1"/>
  <c r="J9" i="1" s="1"/>
  <c r="O9" i="1" s="1"/>
  <c r="H544" i="1"/>
  <c r="H545" i="1" s="1"/>
  <c r="J545" i="1" s="1"/>
  <c r="M545" i="1" s="1"/>
  <c r="H549" i="1"/>
  <c r="J549" i="1" s="1"/>
  <c r="O549" i="1" s="1"/>
  <c r="H1152" i="1"/>
  <c r="J1152" i="1" s="1"/>
  <c r="J1150" i="1"/>
  <c r="N1150" i="1" s="1"/>
  <c r="J1147" i="1"/>
  <c r="J1146" i="1" s="1"/>
  <c r="G1142" i="1"/>
  <c r="J1140" i="1"/>
  <c r="N1140" i="1" s="1"/>
  <c r="H1142" i="1"/>
  <c r="H1143" i="1"/>
  <c r="J1143" i="1" s="1"/>
  <c r="O1143" i="1" s="1"/>
  <c r="J1136" i="1"/>
  <c r="P1136" i="1" s="1"/>
  <c r="P1135" i="1" s="1"/>
  <c r="J1137" i="1"/>
  <c r="G1132" i="1"/>
  <c r="J1133" i="1"/>
  <c r="M1133" i="1" s="1"/>
  <c r="H1132" i="1"/>
  <c r="H1121" i="1"/>
  <c r="J1121" i="1" s="1"/>
  <c r="H1122" i="1"/>
  <c r="J1122" i="1" s="1"/>
  <c r="N1122" i="1" s="1"/>
  <c r="J1125" i="1"/>
  <c r="O1125" i="1" s="1"/>
  <c r="H1116" i="1"/>
  <c r="J1116" i="1" s="1"/>
  <c r="J1114" i="1"/>
  <c r="N1114" i="1" s="1"/>
  <c r="J1110" i="1"/>
  <c r="G1106" i="1"/>
  <c r="H1102" i="1"/>
  <c r="J1102" i="1" s="1"/>
  <c r="N1102" i="1" s="1"/>
  <c r="H1106" i="1"/>
  <c r="H1103" i="1"/>
  <c r="J1103" i="1" s="1"/>
  <c r="N1103" i="1" s="1"/>
  <c r="H1107" i="1"/>
  <c r="J1107" i="1" s="1"/>
  <c r="J1104" i="1"/>
  <c r="N1104" i="1" s="1"/>
  <c r="J1088" i="1"/>
  <c r="J1083" i="1"/>
  <c r="J1080" i="1"/>
  <c r="H1074" i="1"/>
  <c r="J1074" i="1" s="1"/>
  <c r="J1075" i="1"/>
  <c r="N1075" i="1" s="1"/>
  <c r="G1064" i="1"/>
  <c r="G1069" i="1"/>
  <c r="J1069" i="1" s="1"/>
  <c r="O1069" i="1" s="1"/>
  <c r="G1065" i="1"/>
  <c r="G1054" i="1"/>
  <c r="G1059" i="1"/>
  <c r="J1059" i="1" s="1"/>
  <c r="O1059" i="1" s="1"/>
  <c r="G1055" i="1"/>
  <c r="J1052" i="1"/>
  <c r="N1052" i="1" s="1"/>
  <c r="G1045" i="1"/>
  <c r="J1042" i="1"/>
  <c r="N1042" i="1" s="1"/>
  <c r="G1033" i="1"/>
  <c r="G1038" i="1"/>
  <c r="J1038" i="1" s="1"/>
  <c r="O1038" i="1" s="1"/>
  <c r="G1034" i="1"/>
  <c r="G1023" i="1"/>
  <c r="G1028" i="1"/>
  <c r="G1024" i="1"/>
  <c r="J1021" i="1"/>
  <c r="N1021" i="1" s="1"/>
  <c r="G1013" i="1"/>
  <c r="G1018" i="1"/>
  <c r="G1014" i="1"/>
  <c r="G999" i="1"/>
  <c r="G1004" i="1"/>
  <c r="J1004" i="1" s="1"/>
  <c r="O1004" i="1" s="1"/>
  <c r="G1002" i="1"/>
  <c r="G1000" i="1"/>
  <c r="H998" i="1"/>
  <c r="J998" i="1" s="1"/>
  <c r="O998" i="1" s="1"/>
  <c r="H1000" i="1"/>
  <c r="H1002" i="1"/>
  <c r="G990" i="1"/>
  <c r="G994" i="1"/>
  <c r="G991" i="1"/>
  <c r="G995" i="1"/>
  <c r="J995" i="1" s="1"/>
  <c r="O995" i="1" s="1"/>
  <c r="H990" i="1"/>
  <c r="J990" i="1" s="1"/>
  <c r="H992" i="1"/>
  <c r="J992" i="1" s="1"/>
  <c r="O992" i="1" s="1"/>
  <c r="H994" i="1"/>
  <c r="H989" i="1"/>
  <c r="J989" i="1" s="1"/>
  <c r="O989" i="1" s="1"/>
  <c r="H991" i="1"/>
  <c r="H993" i="1"/>
  <c r="G983" i="1"/>
  <c r="J983" i="1" s="1"/>
  <c r="O983" i="1" s="1"/>
  <c r="G981" i="1"/>
  <c r="G984" i="1"/>
  <c r="G979" i="1"/>
  <c r="H979" i="1"/>
  <c r="H981" i="1"/>
  <c r="G970" i="1"/>
  <c r="H969" i="1"/>
  <c r="J969" i="1" s="1"/>
  <c r="O969" i="1" s="1"/>
  <c r="H973" i="1"/>
  <c r="H970" i="1"/>
  <c r="H974" i="1"/>
  <c r="J974" i="1" s="1"/>
  <c r="O974" i="1" s="1"/>
  <c r="H971" i="1"/>
  <c r="G960" i="1"/>
  <c r="G964" i="1"/>
  <c r="G961" i="1"/>
  <c r="J962" i="1"/>
  <c r="O962" i="1" s="1"/>
  <c r="H960" i="1"/>
  <c r="J960" i="1" s="1"/>
  <c r="H964" i="1"/>
  <c r="L964" i="1" s="1"/>
  <c r="K964" i="1" s="1"/>
  <c r="H961" i="1"/>
  <c r="L961" i="1" s="1"/>
  <c r="K961" i="1" s="1"/>
  <c r="G954" i="1"/>
  <c r="H955" i="1"/>
  <c r="J955" i="1" s="1"/>
  <c r="H956" i="1"/>
  <c r="J953" i="1"/>
  <c r="O953" i="1" s="1"/>
  <c r="G944" i="1"/>
  <c r="G945" i="1"/>
  <c r="J945" i="1" s="1"/>
  <c r="O945" i="1" s="1"/>
  <c r="H943" i="1"/>
  <c r="L943" i="1" s="1"/>
  <c r="H947" i="1"/>
  <c r="J947" i="1" s="1"/>
  <c r="M947" i="1" s="1"/>
  <c r="H944" i="1"/>
  <c r="J937" i="1"/>
  <c r="P937" i="1" s="1"/>
  <c r="H939" i="1"/>
  <c r="J939" i="1" s="1"/>
  <c r="P939" i="1" s="1"/>
  <c r="H932" i="1"/>
  <c r="J932" i="1" s="1"/>
  <c r="P932" i="1" s="1"/>
  <c r="J933" i="1"/>
  <c r="P933" i="1" s="1"/>
  <c r="H928" i="1"/>
  <c r="J928" i="1" s="1"/>
  <c r="P928" i="1" s="1"/>
  <c r="J929" i="1"/>
  <c r="P929" i="1" s="1"/>
  <c r="J925" i="1"/>
  <c r="P925" i="1" s="1"/>
  <c r="J920" i="1"/>
  <c r="P920" i="1" s="1"/>
  <c r="J916" i="1"/>
  <c r="M916" i="1" s="1"/>
  <c r="H914" i="1"/>
  <c r="J914" i="1" s="1"/>
  <c r="H915" i="1"/>
  <c r="J915" i="1" s="1"/>
  <c r="M915" i="1" s="1"/>
  <c r="J911" i="1"/>
  <c r="P911" i="1" s="1"/>
  <c r="P909" i="1" s="1"/>
  <c r="J907" i="1"/>
  <c r="J902" i="1"/>
  <c r="M902" i="1" s="1"/>
  <c r="H901" i="1"/>
  <c r="J901" i="1" s="1"/>
  <c r="J895" i="1"/>
  <c r="M895" i="1" s="1"/>
  <c r="J887" i="1"/>
  <c r="M887" i="1" s="1"/>
  <c r="H886" i="1"/>
  <c r="J886" i="1" s="1"/>
  <c r="G882" i="1"/>
  <c r="G873" i="1"/>
  <c r="H867" i="1"/>
  <c r="J867" i="1" s="1"/>
  <c r="N867" i="1" s="1"/>
  <c r="H872" i="1"/>
  <c r="H881" i="1"/>
  <c r="J881" i="1" s="1"/>
  <c r="O881" i="1" s="1"/>
  <c r="H868" i="1"/>
  <c r="J868" i="1" s="1"/>
  <c r="N868" i="1" s="1"/>
  <c r="H873" i="1"/>
  <c r="H882" i="1"/>
  <c r="H870" i="1"/>
  <c r="J870" i="1" s="1"/>
  <c r="O870" i="1" s="1"/>
  <c r="H875" i="1"/>
  <c r="J875" i="1" s="1"/>
  <c r="O875" i="1" s="1"/>
  <c r="J883" i="1"/>
  <c r="M883" i="1" s="1"/>
  <c r="J861" i="1"/>
  <c r="H858" i="1"/>
  <c r="J858" i="1" s="1"/>
  <c r="M858" i="1" s="1"/>
  <c r="J856" i="1"/>
  <c r="N856" i="1" s="1"/>
  <c r="J853" i="1"/>
  <c r="J852" i="1" s="1"/>
  <c r="G848" i="1"/>
  <c r="H848" i="1"/>
  <c r="J846" i="1"/>
  <c r="N846" i="1" s="1"/>
  <c r="H849" i="1"/>
  <c r="J849" i="1" s="1"/>
  <c r="O849" i="1" s="1"/>
  <c r="J842" i="1"/>
  <c r="P842" i="1" s="1"/>
  <c r="P841" i="1" s="1"/>
  <c r="G838" i="1"/>
  <c r="H838" i="1"/>
  <c r="J839" i="1"/>
  <c r="M839" i="1" s="1"/>
  <c r="H827" i="1"/>
  <c r="J827" i="1" s="1"/>
  <c r="H828" i="1"/>
  <c r="J828" i="1" s="1"/>
  <c r="N828" i="1" s="1"/>
  <c r="J829" i="1"/>
  <c r="N829" i="1" s="1"/>
  <c r="H823" i="1"/>
  <c r="J823" i="1" s="1"/>
  <c r="J821" i="1"/>
  <c r="N821" i="1" s="1"/>
  <c r="J817" i="1"/>
  <c r="G813" i="1"/>
  <c r="J811" i="1"/>
  <c r="N811" i="1" s="1"/>
  <c r="H809" i="1"/>
  <c r="J809" i="1" s="1"/>
  <c r="N809" i="1" s="1"/>
  <c r="H813" i="1"/>
  <c r="H810" i="1"/>
  <c r="J810" i="1" s="1"/>
  <c r="N810" i="1" s="1"/>
  <c r="H814" i="1"/>
  <c r="J814" i="1" s="1"/>
  <c r="M814" i="1" s="1"/>
  <c r="J802" i="1"/>
  <c r="N802" i="1" s="1"/>
  <c r="H800" i="1"/>
  <c r="J800" i="1" s="1"/>
  <c r="H801" i="1"/>
  <c r="J801" i="1" s="1"/>
  <c r="N801" i="1" s="1"/>
  <c r="J796" i="1"/>
  <c r="J792" i="1"/>
  <c r="J789" i="1"/>
  <c r="J785" i="1"/>
  <c r="N785" i="1" s="1"/>
  <c r="N783" i="1" s="1"/>
  <c r="H784" i="1"/>
  <c r="J784" i="1" s="1"/>
  <c r="G775" i="1"/>
  <c r="G780" i="1"/>
  <c r="G776" i="1"/>
  <c r="J773" i="1"/>
  <c r="N773" i="1" s="1"/>
  <c r="G765" i="1"/>
  <c r="G770" i="1"/>
  <c r="G766" i="1"/>
  <c r="J763" i="1"/>
  <c r="N763" i="1" s="1"/>
  <c r="G755" i="1"/>
  <c r="G760" i="1"/>
  <c r="G756" i="1"/>
  <c r="J753" i="1"/>
  <c r="N753" i="1" s="1"/>
  <c r="G744" i="1"/>
  <c r="G749" i="1"/>
  <c r="J742" i="1"/>
  <c r="N742" i="1" s="1"/>
  <c r="G734" i="1"/>
  <c r="G739" i="1"/>
  <c r="G735" i="1"/>
  <c r="J732" i="1"/>
  <c r="N732" i="1" s="1"/>
  <c r="G724" i="1"/>
  <c r="G729" i="1"/>
  <c r="G725" i="1"/>
  <c r="J722" i="1"/>
  <c r="N722" i="1" s="1"/>
  <c r="G711" i="1"/>
  <c r="G716" i="1"/>
  <c r="J716" i="1" s="1"/>
  <c r="O716" i="1" s="1"/>
  <c r="G714" i="1"/>
  <c r="G712" i="1"/>
  <c r="H710" i="1"/>
  <c r="J710" i="1" s="1"/>
  <c r="H712" i="1"/>
  <c r="H714" i="1"/>
  <c r="G702" i="1"/>
  <c r="G706" i="1"/>
  <c r="G703" i="1"/>
  <c r="G707" i="1"/>
  <c r="H703" i="1"/>
  <c r="H707" i="1"/>
  <c r="H704" i="1"/>
  <c r="J704" i="1" s="1"/>
  <c r="O704" i="1" s="1"/>
  <c r="H701" i="1"/>
  <c r="J701" i="1" s="1"/>
  <c r="O701" i="1" s="1"/>
  <c r="G696" i="1"/>
  <c r="J696" i="1" s="1"/>
  <c r="O696" i="1" s="1"/>
  <c r="G694" i="1"/>
  <c r="G697" i="1"/>
  <c r="G692" i="1"/>
  <c r="H692" i="1"/>
  <c r="H694" i="1"/>
  <c r="L694" i="1" s="1"/>
  <c r="K694" i="1" s="1"/>
  <c r="G685" i="1"/>
  <c r="G686" i="1"/>
  <c r="G683" i="1"/>
  <c r="H682" i="1"/>
  <c r="J682" i="1" s="1"/>
  <c r="H686" i="1"/>
  <c r="J687" i="1"/>
  <c r="O687" i="1" s="1"/>
  <c r="H683" i="1"/>
  <c r="L683" i="1" s="1"/>
  <c r="K683" i="1" s="1"/>
  <c r="G674" i="1"/>
  <c r="G678" i="1"/>
  <c r="G675" i="1"/>
  <c r="J676" i="1"/>
  <c r="O676" i="1" s="1"/>
  <c r="H674" i="1"/>
  <c r="J674" i="1" s="1"/>
  <c r="H678" i="1"/>
  <c r="L678" i="1" s="1"/>
  <c r="K678" i="1" s="1"/>
  <c r="H675" i="1"/>
  <c r="G668" i="1"/>
  <c r="H669" i="1"/>
  <c r="J669" i="1" s="1"/>
  <c r="O669" i="1" s="1"/>
  <c r="H670" i="1"/>
  <c r="J667" i="1"/>
  <c r="O667" i="1" s="1"/>
  <c r="H660" i="1"/>
  <c r="J660" i="1" s="1"/>
  <c r="O660" i="1" s="1"/>
  <c r="J662" i="1"/>
  <c r="M662" i="1" s="1"/>
  <c r="H661" i="1"/>
  <c r="J661" i="1" s="1"/>
  <c r="P661" i="1" s="1"/>
  <c r="P657" i="1" s="1"/>
  <c r="H658" i="1"/>
  <c r="J658" i="1" s="1"/>
  <c r="H653" i="1"/>
  <c r="J653" i="1" s="1"/>
  <c r="P653" i="1" s="1"/>
  <c r="J655" i="1"/>
  <c r="P655" i="1" s="1"/>
  <c r="H654" i="1"/>
  <c r="J654" i="1" s="1"/>
  <c r="P654" i="1" s="1"/>
  <c r="H650" i="1"/>
  <c r="J650" i="1" s="1"/>
  <c r="P650" i="1" s="1"/>
  <c r="J648" i="1"/>
  <c r="P648" i="1" s="1"/>
  <c r="J645" i="1"/>
  <c r="P645" i="1" s="1"/>
  <c r="H644" i="1"/>
  <c r="J644" i="1" s="1"/>
  <c r="P644" i="1" s="1"/>
  <c r="H640" i="1"/>
  <c r="J640" i="1" s="1"/>
  <c r="P640" i="1" s="1"/>
  <c r="J641" i="1"/>
  <c r="P641" i="1" s="1"/>
  <c r="J637" i="1"/>
  <c r="P637" i="1" s="1"/>
  <c r="J631" i="1"/>
  <c r="M631" i="1" s="1"/>
  <c r="H630" i="1"/>
  <c r="J630" i="1" s="1"/>
  <c r="H626" i="1"/>
  <c r="J626" i="1" s="1"/>
  <c r="J627" i="1"/>
  <c r="P627" i="1" s="1"/>
  <c r="P625" i="1" s="1"/>
  <c r="J623" i="1"/>
  <c r="J619" i="1"/>
  <c r="M619" i="1" s="1"/>
  <c r="H614" i="1"/>
  <c r="J614" i="1" s="1"/>
  <c r="P614" i="1" s="1"/>
  <c r="H613" i="1"/>
  <c r="J613" i="1" s="1"/>
  <c r="P613" i="1" s="1"/>
  <c r="J612" i="1"/>
  <c r="M612" i="1" s="1"/>
  <c r="H611" i="1"/>
  <c r="J611" i="1" s="1"/>
  <c r="M611" i="1" s="1"/>
  <c r="G601" i="1"/>
  <c r="G602" i="1"/>
  <c r="J602" i="1" s="1"/>
  <c r="O602" i="1" s="1"/>
  <c r="H595" i="1"/>
  <c r="J595" i="1" s="1"/>
  <c r="O595" i="1" s="1"/>
  <c r="H600" i="1"/>
  <c r="L600" i="1" s="1"/>
  <c r="K600" i="1" s="1"/>
  <c r="H596" i="1"/>
  <c r="H601" i="1"/>
  <c r="H597" i="1"/>
  <c r="J597" i="1" s="1"/>
  <c r="J600" i="1"/>
  <c r="O600" i="1" s="1"/>
  <c r="H590" i="1"/>
  <c r="J590" i="1" s="1"/>
  <c r="H591" i="1"/>
  <c r="J591" i="1" s="1"/>
  <c r="M591" i="1" s="1"/>
  <c r="J589" i="1"/>
  <c r="N589" i="1" s="1"/>
  <c r="J586" i="1"/>
  <c r="M586" i="1" s="1"/>
  <c r="G585" i="1"/>
  <c r="J581" i="1"/>
  <c r="M581" i="1" s="1"/>
  <c r="G567" i="1"/>
  <c r="L567" i="1" s="1"/>
  <c r="K567" i="1" s="1"/>
  <c r="H563" i="1"/>
  <c r="J563" i="1" s="1"/>
  <c r="N563" i="1" s="1"/>
  <c r="H565" i="1"/>
  <c r="J565" i="1" s="1"/>
  <c r="O565" i="1" s="1"/>
  <c r="H570" i="1"/>
  <c r="J570" i="1" s="1"/>
  <c r="O570" i="1" s="1"/>
  <c r="H577" i="1"/>
  <c r="J577" i="1" s="1"/>
  <c r="O577" i="1" s="1"/>
  <c r="H566" i="1"/>
  <c r="H571" i="1"/>
  <c r="J571" i="1" s="1"/>
  <c r="M571" i="1" s="1"/>
  <c r="H561" i="1"/>
  <c r="J561" i="1" s="1"/>
  <c r="J556" i="1"/>
  <c r="O556" i="1" s="1"/>
  <c r="H553" i="1"/>
  <c r="J553" i="1" s="1"/>
  <c r="J554" i="1"/>
  <c r="N554" i="1" s="1"/>
  <c r="J535" i="1"/>
  <c r="N535" i="1" s="1"/>
  <c r="H534" i="1"/>
  <c r="J534" i="1" s="1"/>
  <c r="J529" i="1"/>
  <c r="M529" i="1" s="1"/>
  <c r="J527" i="1"/>
  <c r="N527" i="1" s="1"/>
  <c r="H509" i="1"/>
  <c r="J509" i="1" s="1"/>
  <c r="J502" i="1"/>
  <c r="N502" i="1" s="1"/>
  <c r="H499" i="1"/>
  <c r="J499" i="1" s="1"/>
  <c r="H503" i="1"/>
  <c r="J503" i="1" s="1"/>
  <c r="M503" i="1" s="1"/>
  <c r="J501" i="1"/>
  <c r="P501" i="1" s="1"/>
  <c r="P497" i="1" s="1"/>
  <c r="H500" i="1"/>
  <c r="J500" i="1" s="1"/>
  <c r="N500" i="1" s="1"/>
  <c r="H504" i="1"/>
  <c r="L504" i="1" s="1"/>
  <c r="K504" i="1" s="1"/>
  <c r="J481" i="1"/>
  <c r="N481" i="1" s="1"/>
  <c r="H480" i="1"/>
  <c r="J480" i="1" s="1"/>
  <c r="N480" i="1" s="1"/>
  <c r="H473" i="1"/>
  <c r="J473" i="1" s="1"/>
  <c r="N473" i="1" s="1"/>
  <c r="J428" i="1"/>
  <c r="N428" i="1" s="1"/>
  <c r="J423" i="1"/>
  <c r="O423" i="1" s="1"/>
  <c r="J420" i="1"/>
  <c r="N420" i="1" s="1"/>
  <c r="H419" i="1"/>
  <c r="J419" i="1" s="1"/>
  <c r="J401" i="1"/>
  <c r="N401" i="1" s="1"/>
  <c r="H392" i="1"/>
  <c r="J392" i="1" s="1"/>
  <c r="N392" i="1" s="1"/>
  <c r="J394" i="1"/>
  <c r="N394" i="1" s="1"/>
  <c r="J375" i="1"/>
  <c r="N375" i="1" s="1"/>
  <c r="H374" i="1"/>
  <c r="J374" i="1" s="1"/>
  <c r="H368" i="1"/>
  <c r="L368" i="1" s="1"/>
  <c r="K368" i="1" s="1"/>
  <c r="H369" i="1"/>
  <c r="J369" i="1" s="1"/>
  <c r="M369" i="1" s="1"/>
  <c r="J367" i="1"/>
  <c r="N367" i="1" s="1"/>
  <c r="J362" i="1"/>
  <c r="O362" i="1" s="1"/>
  <c r="H364" i="1"/>
  <c r="K43" i="1"/>
  <c r="J43" i="1"/>
  <c r="H355" i="1"/>
  <c r="J355" i="1" s="1"/>
  <c r="N355" i="1" s="1"/>
  <c r="H357" i="1"/>
  <c r="J357" i="1" s="1"/>
  <c r="J359" i="1"/>
  <c r="O359" i="1" s="1"/>
  <c r="H336" i="1"/>
  <c r="J336" i="1" s="1"/>
  <c r="O336" i="1" s="1"/>
  <c r="H340" i="1"/>
  <c r="H341" i="1" s="1"/>
  <c r="J341" i="1" s="1"/>
  <c r="P341" i="1" s="1"/>
  <c r="H345" i="1"/>
  <c r="J345" i="1" s="1"/>
  <c r="N345" i="1" s="1"/>
  <c r="J349" i="1"/>
  <c r="N349" i="1" s="1"/>
  <c r="H332" i="1"/>
  <c r="H338" i="1"/>
  <c r="H342" i="1"/>
  <c r="H307" i="1"/>
  <c r="H312" i="1"/>
  <c r="J312" i="1" s="1"/>
  <c r="O312" i="1" s="1"/>
  <c r="H319" i="1"/>
  <c r="H321" i="1" s="1"/>
  <c r="J321" i="1" s="1"/>
  <c r="M321" i="1" s="1"/>
  <c r="J310" i="1"/>
  <c r="O310" i="1" s="1"/>
  <c r="H305" i="1"/>
  <c r="J305" i="1" s="1"/>
  <c r="O305" i="1" s="1"/>
  <c r="H297" i="1"/>
  <c r="J297" i="1" s="1"/>
  <c r="N297" i="1" s="1"/>
  <c r="J299" i="1"/>
  <c r="O299" i="1" s="1"/>
  <c r="H295" i="1"/>
  <c r="J295" i="1" s="1"/>
  <c r="N295" i="1" s="1"/>
  <c r="H270" i="1"/>
  <c r="J270" i="1" s="1"/>
  <c r="J271" i="1"/>
  <c r="O271" i="1" s="1"/>
  <c r="J252" i="1"/>
  <c r="N252" i="1" s="1"/>
  <c r="J253" i="1"/>
  <c r="N253" i="1" s="1"/>
  <c r="J246" i="1"/>
  <c r="P246" i="1" s="1"/>
  <c r="P245" i="1" s="1"/>
  <c r="H241" i="1"/>
  <c r="J241" i="1" s="1"/>
  <c r="J243" i="1"/>
  <c r="M243" i="1" s="1"/>
  <c r="H238" i="1"/>
  <c r="J238" i="1" s="1"/>
  <c r="J236" i="1"/>
  <c r="N236" i="1" s="1"/>
  <c r="J233" i="1"/>
  <c r="J232" i="1" s="1"/>
  <c r="H228" i="1"/>
  <c r="J228" i="1" s="1"/>
  <c r="J226" i="1"/>
  <c r="N226" i="1" s="1"/>
  <c r="J222" i="1"/>
  <c r="P222" i="1" s="1"/>
  <c r="P221" i="1" s="1"/>
  <c r="H219" i="1"/>
  <c r="J217" i="1"/>
  <c r="O217" i="1" s="1"/>
  <c r="J212" i="1"/>
  <c r="M212" i="1" s="1"/>
  <c r="G211" i="1"/>
  <c r="J211" i="1" s="1"/>
  <c r="O211" i="1" s="1"/>
  <c r="G210" i="1"/>
  <c r="L210" i="1" s="1"/>
  <c r="K210" i="1" s="1"/>
  <c r="H203" i="1"/>
  <c r="J203" i="1" s="1"/>
  <c r="O203" i="1" s="1"/>
  <c r="J205" i="1"/>
  <c r="P205" i="1" s="1"/>
  <c r="P200" i="1" s="1"/>
  <c r="H201" i="1"/>
  <c r="J201" i="1" s="1"/>
  <c r="G195" i="1"/>
  <c r="J195" i="1" s="1"/>
  <c r="O195" i="1" s="1"/>
  <c r="H197" i="1"/>
  <c r="J197" i="1" s="1"/>
  <c r="J185" i="1"/>
  <c r="J182" i="1"/>
  <c r="J178" i="1"/>
  <c r="J175" i="1"/>
  <c r="J171" i="1"/>
  <c r="J168" i="1"/>
  <c r="J165" i="1"/>
  <c r="H160" i="1"/>
  <c r="H155" i="1"/>
  <c r="J155" i="1" s="1"/>
  <c r="O155" i="1" s="1"/>
  <c r="G138" i="1"/>
  <c r="G141" i="1"/>
  <c r="H122" i="1"/>
  <c r="J122" i="1" s="1"/>
  <c r="O122" i="1" s="1"/>
  <c r="H126" i="1"/>
  <c r="J126" i="1" s="1"/>
  <c r="M126" i="1" s="1"/>
  <c r="H124" i="1"/>
  <c r="G114" i="1"/>
  <c r="H115" i="1"/>
  <c r="H113" i="1"/>
  <c r="H105" i="1"/>
  <c r="J105" i="1" s="1"/>
  <c r="O105" i="1" s="1"/>
  <c r="G97" i="1"/>
  <c r="G101" i="1"/>
  <c r="J99" i="1"/>
  <c r="O99" i="1" s="1"/>
  <c r="H97" i="1"/>
  <c r="H101" i="1"/>
  <c r="G89" i="1"/>
  <c r="L89" i="1" s="1"/>
  <c r="K89" i="1" s="1"/>
  <c r="H87" i="1"/>
  <c r="L87" i="1" s="1"/>
  <c r="K87" i="1" s="1"/>
  <c r="L73" i="1"/>
  <c r="K73" i="1" s="1"/>
  <c r="J73" i="1"/>
  <c r="P73" i="1" s="1"/>
  <c r="L70" i="1"/>
  <c r="K70" i="1" s="1"/>
  <c r="H68" i="1"/>
  <c r="J68" i="1" s="1"/>
  <c r="P68" i="1" s="1"/>
  <c r="J70" i="1"/>
  <c r="P70" i="1" s="1"/>
  <c r="H65" i="1"/>
  <c r="J65" i="1" s="1"/>
  <c r="P65" i="1" s="1"/>
  <c r="L63" i="1"/>
  <c r="K63" i="1" s="1"/>
  <c r="J63" i="1"/>
  <c r="P63" i="1" s="1"/>
  <c r="J60" i="1"/>
  <c r="P60" i="1" s="1"/>
  <c r="L60" i="1"/>
  <c r="K60" i="1" s="1"/>
  <c r="L55" i="1"/>
  <c r="K55" i="1" s="1"/>
  <c r="J55" i="1"/>
  <c r="P55" i="1" s="1"/>
  <c r="J52" i="1"/>
  <c r="P52" i="1" s="1"/>
  <c r="L52" i="1"/>
  <c r="K52" i="1" s="1"/>
  <c r="L39" i="1"/>
  <c r="K39" i="1" s="1"/>
  <c r="J39" i="1"/>
  <c r="P39" i="1" s="1"/>
  <c r="L35" i="1"/>
  <c r="K35" i="1" s="1"/>
  <c r="J35" i="1"/>
  <c r="H31" i="1"/>
  <c r="J31" i="1" s="1"/>
  <c r="J29" i="1"/>
  <c r="M29" i="1" s="1"/>
  <c r="L29" i="1"/>
  <c r="J24" i="1"/>
  <c r="O24" i="1" s="1"/>
  <c r="H26" i="1"/>
  <c r="J26" i="1" s="1"/>
  <c r="M26" i="1" s="1"/>
  <c r="H23" i="1"/>
  <c r="L23" i="1" s="1"/>
  <c r="L24" i="1"/>
  <c r="K24" i="1" s="1"/>
  <c r="J16" i="1"/>
  <c r="M16" i="1" s="1"/>
  <c r="H10" i="1"/>
  <c r="J10" i="1" s="1"/>
  <c r="O10" i="1" s="1"/>
  <c r="H14" i="1"/>
  <c r="J14" i="1" s="1"/>
  <c r="O14" i="1" s="1"/>
  <c r="H7" i="1"/>
  <c r="J7" i="1" s="1"/>
  <c r="H11" i="1"/>
  <c r="J11" i="1" s="1"/>
  <c r="O11" i="1" s="1"/>
  <c r="H15" i="1"/>
  <c r="J15" i="1" s="1"/>
  <c r="P15" i="1" s="1"/>
  <c r="H8" i="1"/>
  <c r="J8" i="1" s="1"/>
  <c r="M8" i="1" s="1"/>
  <c r="H12" i="1"/>
  <c r="J12" i="1" s="1"/>
  <c r="O12" i="1" s="1"/>
  <c r="H136" i="1"/>
  <c r="G160" i="1"/>
  <c r="G307" i="1"/>
  <c r="G350" i="1"/>
  <c r="G364" i="1"/>
  <c r="M474" i="1"/>
  <c r="H724" i="1"/>
  <c r="H729" i="1"/>
  <c r="H1013" i="1"/>
  <c r="H1018" i="1"/>
  <c r="H79" i="1"/>
  <c r="H137" i="1"/>
  <c r="G137" i="1"/>
  <c r="H140" i="1"/>
  <c r="J140" i="1" s="1"/>
  <c r="O140" i="1" s="1"/>
  <c r="H158" i="1"/>
  <c r="J158" i="1" s="1"/>
  <c r="M158" i="1" s="1"/>
  <c r="G156" i="1"/>
  <c r="G161" i="1"/>
  <c r="J161" i="1" s="1"/>
  <c r="O161" i="1" s="1"/>
  <c r="H350" i="1"/>
  <c r="G475" i="1"/>
  <c r="J475" i="1" s="1"/>
  <c r="O475" i="1" s="1"/>
  <c r="H725" i="1"/>
  <c r="H734" i="1"/>
  <c r="H736" i="1"/>
  <c r="J736" i="1" s="1"/>
  <c r="M736" i="1" s="1"/>
  <c r="H739" i="1"/>
  <c r="H744" i="1"/>
  <c r="H746" i="1"/>
  <c r="H749" i="1"/>
  <c r="H755" i="1"/>
  <c r="H757" i="1"/>
  <c r="J757" i="1" s="1"/>
  <c r="M757" i="1" s="1"/>
  <c r="H760" i="1"/>
  <c r="H765" i="1"/>
  <c r="H767" i="1"/>
  <c r="J767" i="1" s="1"/>
  <c r="M767" i="1" s="1"/>
  <c r="H770" i="1"/>
  <c r="H775" i="1"/>
  <c r="H777" i="1"/>
  <c r="J777" i="1" s="1"/>
  <c r="M777" i="1" s="1"/>
  <c r="H780" i="1"/>
  <c r="H1014" i="1"/>
  <c r="H1023" i="1"/>
  <c r="H1025" i="1"/>
  <c r="J1025" i="1" s="1"/>
  <c r="M1025" i="1" s="1"/>
  <c r="H1028" i="1"/>
  <c r="H1043" i="1"/>
  <c r="J1043" i="1" s="1"/>
  <c r="O1043" i="1" s="1"/>
  <c r="H1045" i="1"/>
  <c r="H1048" i="1"/>
  <c r="H1053" i="1"/>
  <c r="J1053" i="1" s="1"/>
  <c r="H1055" i="1"/>
  <c r="H1058" i="1"/>
  <c r="L48" i="1"/>
  <c r="K48" i="1" s="1"/>
  <c r="H80" i="1"/>
  <c r="J80" i="1" s="1"/>
  <c r="H138" i="1"/>
  <c r="H141" i="1"/>
  <c r="G157" i="1"/>
  <c r="H351" i="1"/>
  <c r="H726" i="1"/>
  <c r="J726" i="1" s="1"/>
  <c r="M726" i="1" s="1"/>
  <c r="H1015" i="1"/>
  <c r="J1015" i="1" s="1"/>
  <c r="M1015" i="1" s="1"/>
  <c r="J48" i="1"/>
  <c r="P48" i="1" s="1"/>
  <c r="J223" i="1"/>
  <c r="O223" i="1" s="1"/>
  <c r="J396" i="1"/>
  <c r="O396" i="1" s="1"/>
  <c r="J135" i="1"/>
  <c r="H156" i="1"/>
  <c r="H723" i="1"/>
  <c r="J723" i="1" s="1"/>
  <c r="H733" i="1"/>
  <c r="J733" i="1" s="1"/>
  <c r="H735" i="1"/>
  <c r="H743" i="1"/>
  <c r="J743" i="1" s="1"/>
  <c r="O743" i="1" s="1"/>
  <c r="H745" i="1"/>
  <c r="J745" i="1" s="1"/>
  <c r="O745" i="1" s="1"/>
  <c r="H754" i="1"/>
  <c r="J754" i="1" s="1"/>
  <c r="H756" i="1"/>
  <c r="H764" i="1"/>
  <c r="J764" i="1" s="1"/>
  <c r="H766" i="1"/>
  <c r="H774" i="1"/>
  <c r="J774" i="1" s="1"/>
  <c r="H776" i="1"/>
  <c r="H1012" i="1"/>
  <c r="J1012" i="1" s="1"/>
  <c r="H1022" i="1"/>
  <c r="J1022" i="1" s="1"/>
  <c r="H1024" i="1"/>
  <c r="H1044" i="1"/>
  <c r="H1046" i="1"/>
  <c r="J1046" i="1" s="1"/>
  <c r="M1046" i="1" s="1"/>
  <c r="H1054" i="1"/>
  <c r="H1056" i="1"/>
  <c r="J1056" i="1" s="1"/>
  <c r="M1056" i="1" s="1"/>
  <c r="J1155" i="1"/>
  <c r="J1062" i="1"/>
  <c r="N1062" i="1" s="1"/>
  <c r="H1063" i="1"/>
  <c r="J1063" i="1" s="1"/>
  <c r="O1063" i="1" s="1"/>
  <c r="H1065" i="1"/>
  <c r="H1068" i="1"/>
  <c r="H1064" i="1"/>
  <c r="H1066" i="1"/>
  <c r="J1066" i="1" s="1"/>
  <c r="M1066" i="1" s="1"/>
  <c r="H1032" i="1"/>
  <c r="J1032" i="1" s="1"/>
  <c r="H1034" i="1"/>
  <c r="H1037" i="1"/>
  <c r="J1031" i="1"/>
  <c r="N1031" i="1" s="1"/>
  <c r="H1033" i="1"/>
  <c r="H1035" i="1"/>
  <c r="J1035" i="1" s="1"/>
  <c r="M1035" i="1" s="1"/>
  <c r="J151" i="1"/>
  <c r="O151" i="1" s="1"/>
  <c r="G147" i="1"/>
  <c r="G150" i="1"/>
  <c r="H145" i="1"/>
  <c r="J145" i="1" s="1"/>
  <c r="H147" i="1"/>
  <c r="H150" i="1"/>
  <c r="G146" i="1"/>
  <c r="G148" i="1"/>
  <c r="H146" i="1"/>
  <c r="H148" i="1"/>
  <c r="J134" i="1"/>
  <c r="N134" i="1" s="1"/>
  <c r="J107" i="1"/>
  <c r="O107" i="1" s="1"/>
  <c r="L472" i="1"/>
  <c r="K472" i="1" s="1"/>
  <c r="M472" i="1"/>
  <c r="J1092" i="1"/>
  <c r="L474" i="1"/>
  <c r="K474" i="1" s="1"/>
  <c r="M245" i="1"/>
  <c r="N246" i="1"/>
  <c r="N245" i="1" s="1"/>
  <c r="O246" i="1"/>
  <c r="O245" i="1" s="1"/>
  <c r="L246" i="1"/>
  <c r="L245" i="1" s="1"/>
  <c r="C44" i="5" s="1"/>
  <c r="N471" i="1"/>
  <c r="L471" i="1"/>
  <c r="L473" i="1"/>
  <c r="K473" i="1" s="1"/>
  <c r="M473" i="1"/>
  <c r="N474" i="1"/>
  <c r="O80" i="1"/>
  <c r="O91" i="1"/>
  <c r="M471" i="1"/>
  <c r="M475" i="1"/>
  <c r="O92" i="1"/>
  <c r="O93" i="1"/>
  <c r="K144" i="1"/>
  <c r="O144" i="1"/>
  <c r="M144" i="1"/>
  <c r="O148" i="1"/>
  <c r="L171" i="1"/>
  <c r="L170" i="1" s="1"/>
  <c r="C29" i="5" s="1"/>
  <c r="N171" i="1"/>
  <c r="N170" i="1" s="1"/>
  <c r="M196" i="1"/>
  <c r="N210" i="1"/>
  <c r="M210" i="1"/>
  <c r="N229" i="1"/>
  <c r="M229" i="1"/>
  <c r="K253" i="1"/>
  <c r="O253" i="1"/>
  <c r="M253" i="1"/>
  <c r="N259" i="1"/>
  <c r="M259" i="1"/>
  <c r="N265" i="1"/>
  <c r="L271" i="1"/>
  <c r="K271" i="1" s="1"/>
  <c r="N271" i="1"/>
  <c r="M271" i="1"/>
  <c r="N280" i="1"/>
  <c r="M280" i="1"/>
  <c r="N282" i="1"/>
  <c r="N288" i="1"/>
  <c r="K295" i="1"/>
  <c r="M295" i="1"/>
  <c r="L299" i="1"/>
  <c r="K299" i="1" s="1"/>
  <c r="N299" i="1"/>
  <c r="M299" i="1"/>
  <c r="L309" i="1"/>
  <c r="M309" i="1"/>
  <c r="N311" i="1"/>
  <c r="O316" i="1"/>
  <c r="M316" i="1"/>
  <c r="N316" i="1"/>
  <c r="M324" i="1"/>
  <c r="N324" i="1"/>
  <c r="M332" i="1"/>
  <c r="N332" i="1"/>
  <c r="O337" i="1"/>
  <c r="N337" i="1"/>
  <c r="O342" i="1"/>
  <c r="M342" i="1"/>
  <c r="N342" i="1"/>
  <c r="M350" i="1"/>
  <c r="N350" i="1"/>
  <c r="K356" i="1"/>
  <c r="O356" i="1"/>
  <c r="M356" i="1"/>
  <c r="O358" i="1"/>
  <c r="N358" i="1"/>
  <c r="M368" i="1"/>
  <c r="N368" i="1"/>
  <c r="M377" i="1"/>
  <c r="N377" i="1"/>
  <c r="O379" i="1"/>
  <c r="N379" i="1"/>
  <c r="O385" i="1"/>
  <c r="N385" i="1"/>
  <c r="O392" i="1"/>
  <c r="M392" i="1"/>
  <c r="L396" i="1"/>
  <c r="K396" i="1" s="1"/>
  <c r="N396" i="1"/>
  <c r="M396" i="1"/>
  <c r="O402" i="1"/>
  <c r="M402" i="1"/>
  <c r="N408" i="1"/>
  <c r="M408" i="1"/>
  <c r="N416" i="1"/>
  <c r="M416" i="1"/>
  <c r="O422" i="1"/>
  <c r="N422" i="1"/>
  <c r="N431" i="1"/>
  <c r="M431" i="1"/>
  <c r="O433" i="1"/>
  <c r="N433" i="1"/>
  <c r="O439" i="1"/>
  <c r="N439" i="1"/>
  <c r="O446" i="1"/>
  <c r="M446" i="1"/>
  <c r="N457" i="1"/>
  <c r="M457" i="1"/>
  <c r="N463" i="1"/>
  <c r="M463" i="1"/>
  <c r="O466" i="1"/>
  <c r="N466" i="1"/>
  <c r="N484" i="1"/>
  <c r="M484" i="1"/>
  <c r="N490" i="1"/>
  <c r="M490" i="1"/>
  <c r="O493" i="1"/>
  <c r="N493" i="1"/>
  <c r="O501" i="1"/>
  <c r="N501" i="1"/>
  <c r="M501" i="1"/>
  <c r="O509" i="1"/>
  <c r="M509" i="1"/>
  <c r="N517" i="1"/>
  <c r="M517" i="1"/>
  <c r="N523" i="1"/>
  <c r="M523" i="1"/>
  <c r="N538" i="1"/>
  <c r="N544" i="1"/>
  <c r="M544" i="1"/>
  <c r="N547" i="1"/>
  <c r="O547" i="1"/>
  <c r="O553" i="1"/>
  <c r="M553" i="1"/>
  <c r="N555" i="1"/>
  <c r="O555" i="1"/>
  <c r="N566" i="1"/>
  <c r="M566" i="1"/>
  <c r="N571" i="1"/>
  <c r="O571" i="1"/>
  <c r="N574" i="1"/>
  <c r="O574" i="1"/>
  <c r="O580" i="1"/>
  <c r="M580" i="1"/>
  <c r="N590" i="1"/>
  <c r="M590" i="1"/>
  <c r="N600" i="1"/>
  <c r="M600" i="1"/>
  <c r="O613" i="1"/>
  <c r="N613" i="1"/>
  <c r="M613" i="1"/>
  <c r="O619" i="1"/>
  <c r="N619" i="1"/>
  <c r="O630" i="1"/>
  <c r="N630" i="1"/>
  <c r="L637" i="1"/>
  <c r="K637" i="1" s="1"/>
  <c r="M637" i="1"/>
  <c r="O637" i="1"/>
  <c r="N637" i="1"/>
  <c r="L645" i="1"/>
  <c r="K645" i="1" s="1"/>
  <c r="M645" i="1"/>
  <c r="O645" i="1"/>
  <c r="N645" i="1"/>
  <c r="M653" i="1"/>
  <c r="O653" i="1"/>
  <c r="N653" i="1"/>
  <c r="M661" i="1"/>
  <c r="O661" i="1"/>
  <c r="N661" i="1"/>
  <c r="N669" i="1"/>
  <c r="M669" i="1"/>
  <c r="N675" i="1"/>
  <c r="M675" i="1"/>
  <c r="N677" i="1"/>
  <c r="O677" i="1"/>
  <c r="N684" i="1"/>
  <c r="M684" i="1"/>
  <c r="N688" i="1"/>
  <c r="M688" i="1"/>
  <c r="N692" i="1"/>
  <c r="M692" i="1"/>
  <c r="N694" i="1"/>
  <c r="M694" i="1"/>
  <c r="N696" i="1"/>
  <c r="M696" i="1"/>
  <c r="N701" i="1"/>
  <c r="M701" i="1"/>
  <c r="N703" i="1"/>
  <c r="M703" i="1"/>
  <c r="N705" i="1"/>
  <c r="O705" i="1"/>
  <c r="N707" i="1"/>
  <c r="M707" i="1"/>
  <c r="N711" i="1"/>
  <c r="M711" i="1"/>
  <c r="N713" i="1"/>
  <c r="M713" i="1"/>
  <c r="N715" i="1"/>
  <c r="M715" i="1"/>
  <c r="O722" i="1"/>
  <c r="M722" i="1"/>
  <c r="N724" i="1"/>
  <c r="M724" i="1"/>
  <c r="N726" i="1"/>
  <c r="O726" i="1"/>
  <c r="N729" i="1"/>
  <c r="M729" i="1"/>
  <c r="N733" i="1"/>
  <c r="M733" i="1"/>
  <c r="N735" i="1"/>
  <c r="M735" i="1"/>
  <c r="N738" i="1"/>
  <c r="M738" i="1"/>
  <c r="O742" i="1"/>
  <c r="M742" i="1"/>
  <c r="N744" i="1"/>
  <c r="M744" i="1"/>
  <c r="N746" i="1"/>
  <c r="O746" i="1"/>
  <c r="N749" i="1"/>
  <c r="M749" i="1"/>
  <c r="N754" i="1"/>
  <c r="M754" i="1"/>
  <c r="N756" i="1"/>
  <c r="M756" i="1"/>
  <c r="N759" i="1"/>
  <c r="M759" i="1"/>
  <c r="O763" i="1"/>
  <c r="M763" i="1"/>
  <c r="N765" i="1"/>
  <c r="M765" i="1"/>
  <c r="N767" i="1"/>
  <c r="O767" i="1"/>
  <c r="N770" i="1"/>
  <c r="M770" i="1"/>
  <c r="N774" i="1"/>
  <c r="M774" i="1"/>
  <c r="N776" i="1"/>
  <c r="M776" i="1"/>
  <c r="N779" i="1"/>
  <c r="M779" i="1"/>
  <c r="L107" i="1"/>
  <c r="K107" i="1" s="1"/>
  <c r="M107" i="1"/>
  <c r="M114" i="1"/>
  <c r="M118" i="1"/>
  <c r="M125" i="1"/>
  <c r="L134" i="1"/>
  <c r="O134" i="1"/>
  <c r="M134" i="1"/>
  <c r="O138" i="1"/>
  <c r="O25" i="1"/>
  <c r="O26" i="1"/>
  <c r="O35" i="1"/>
  <c r="O34" i="1" s="1"/>
  <c r="O38" i="1"/>
  <c r="O39" i="1"/>
  <c r="O42" i="1"/>
  <c r="O43" i="1"/>
  <c r="O47" i="1"/>
  <c r="O48" i="1"/>
  <c r="O51" i="1"/>
  <c r="O52" i="1"/>
  <c r="O55" i="1"/>
  <c r="O56" i="1"/>
  <c r="O59" i="1"/>
  <c r="O60" i="1"/>
  <c r="O63" i="1"/>
  <c r="O64" i="1"/>
  <c r="O65" i="1"/>
  <c r="O68" i="1"/>
  <c r="O69" i="1"/>
  <c r="O70" i="1"/>
  <c r="O73" i="1"/>
  <c r="O74" i="1"/>
  <c r="O89" i="1"/>
  <c r="N100" i="1"/>
  <c r="O171" i="1"/>
  <c r="O170" i="1" s="1"/>
  <c r="M194" i="1"/>
  <c r="M146" i="1"/>
  <c r="N157" i="1"/>
  <c r="L178" i="1"/>
  <c r="L177" i="1" s="1"/>
  <c r="C31" i="5" s="1"/>
  <c r="N178" i="1"/>
  <c r="N177" i="1" s="1"/>
  <c r="N201" i="1"/>
  <c r="M201" i="1"/>
  <c r="L217" i="1"/>
  <c r="N217" i="1"/>
  <c r="M217" i="1"/>
  <c r="O219" i="1"/>
  <c r="N219" i="1"/>
  <c r="L236" i="1"/>
  <c r="O236" i="1"/>
  <c r="M236" i="1"/>
  <c r="N256" i="1"/>
  <c r="M256" i="1"/>
  <c r="N262" i="1"/>
  <c r="M262" i="1"/>
  <c r="N267" i="1"/>
  <c r="M267" i="1"/>
  <c r="K277" i="1"/>
  <c r="M277" i="1"/>
  <c r="N285" i="1"/>
  <c r="M285" i="1"/>
  <c r="N291" i="1"/>
  <c r="M291" i="1"/>
  <c r="K297" i="1"/>
  <c r="M297" i="1"/>
  <c r="N306" i="1"/>
  <c r="M306" i="1"/>
  <c r="L314" i="1"/>
  <c r="M314" i="1"/>
  <c r="O314" i="1"/>
  <c r="N314" i="1"/>
  <c r="K319" i="1"/>
  <c r="O319" i="1"/>
  <c r="M319" i="1"/>
  <c r="O321" i="1"/>
  <c r="N321" i="1"/>
  <c r="M326" i="1"/>
  <c r="N326" i="1"/>
  <c r="K335" i="1"/>
  <c r="O335" i="1"/>
  <c r="M335" i="1"/>
  <c r="K340" i="1"/>
  <c r="O340" i="1"/>
  <c r="M340" i="1"/>
  <c r="L345" i="1"/>
  <c r="O345" i="1"/>
  <c r="M345" i="1"/>
  <c r="O347" i="1"/>
  <c r="N347" i="1"/>
  <c r="M352" i="1"/>
  <c r="N352" i="1"/>
  <c r="L362" i="1"/>
  <c r="M362" i="1"/>
  <c r="N362" i="1"/>
  <c r="O364" i="1"/>
  <c r="N364" i="1"/>
  <c r="O374" i="1"/>
  <c r="M374" i="1"/>
  <c r="M382" i="1"/>
  <c r="N382" i="1"/>
  <c r="N388" i="1"/>
  <c r="M388" i="1"/>
  <c r="O394" i="1"/>
  <c r="M394" i="1"/>
  <c r="N405" i="1"/>
  <c r="M405" i="1"/>
  <c r="N411" i="1"/>
  <c r="M411" i="1"/>
  <c r="O414" i="1"/>
  <c r="N414" i="1"/>
  <c r="O420" i="1"/>
  <c r="M420" i="1"/>
  <c r="O428" i="1"/>
  <c r="M428" i="1"/>
  <c r="N436" i="1"/>
  <c r="M436" i="1"/>
  <c r="N442" i="1"/>
  <c r="M442" i="1"/>
  <c r="L448" i="1"/>
  <c r="K448" i="1" s="1"/>
  <c r="O448" i="1"/>
  <c r="N448" i="1"/>
  <c r="O454" i="1"/>
  <c r="M454" i="1"/>
  <c r="N460" i="1"/>
  <c r="M460" i="1"/>
  <c r="L468" i="1"/>
  <c r="K468" i="1" s="1"/>
  <c r="N468" i="1"/>
  <c r="M468" i="1"/>
  <c r="O481" i="1"/>
  <c r="M481" i="1"/>
  <c r="N487" i="1"/>
  <c r="M487" i="1"/>
  <c r="N495" i="1"/>
  <c r="M495" i="1"/>
  <c r="O499" i="1"/>
  <c r="M499" i="1"/>
  <c r="O503" i="1"/>
  <c r="N503" i="1"/>
  <c r="N512" i="1"/>
  <c r="M512" i="1"/>
  <c r="O514" i="1"/>
  <c r="N514" i="1"/>
  <c r="L520" i="1"/>
  <c r="K520" i="1" s="1"/>
  <c r="O520" i="1"/>
  <c r="N520" i="1"/>
  <c r="O527" i="1"/>
  <c r="M527" i="1"/>
  <c r="L529" i="1"/>
  <c r="N529" i="1"/>
  <c r="O529" i="1"/>
  <c r="O535" i="1"/>
  <c r="M535" i="1"/>
  <c r="N541" i="1"/>
  <c r="M541" i="1"/>
  <c r="N549" i="1"/>
  <c r="O561" i="1"/>
  <c r="M561" i="1"/>
  <c r="O563" i="1"/>
  <c r="N568" i="1"/>
  <c r="O568" i="1"/>
  <c r="N577" i="1"/>
  <c r="M577" i="1"/>
  <c r="N584" i="1"/>
  <c r="M584" i="1"/>
  <c r="L586" i="1"/>
  <c r="K586" i="1" s="1"/>
  <c r="O586" i="1"/>
  <c r="N586" i="1"/>
  <c r="N595" i="1"/>
  <c r="M595" i="1"/>
  <c r="O597" i="1"/>
  <c r="N597" i="1"/>
  <c r="N602" i="1"/>
  <c r="M602" i="1"/>
  <c r="O611" i="1"/>
  <c r="N611" i="1"/>
  <c r="O617" i="1"/>
  <c r="N617" i="1"/>
  <c r="O626" i="1"/>
  <c r="N626" i="1"/>
  <c r="O632" i="1"/>
  <c r="N632" i="1"/>
  <c r="M641" i="1"/>
  <c r="O641" i="1"/>
  <c r="N641" i="1"/>
  <c r="M649" i="1"/>
  <c r="O649" i="1"/>
  <c r="N649" i="1"/>
  <c r="L655" i="1"/>
  <c r="K655" i="1" s="1"/>
  <c r="M655" i="1"/>
  <c r="O655" i="1"/>
  <c r="N655" i="1"/>
  <c r="M659" i="1"/>
  <c r="N659" i="1"/>
  <c r="N667" i="1"/>
  <c r="M667" i="1"/>
  <c r="N673" i="1"/>
  <c r="M673" i="1"/>
  <c r="N682" i="1"/>
  <c r="M682" i="1"/>
  <c r="N686" i="1"/>
  <c r="O686" i="1"/>
  <c r="O785" i="1"/>
  <c r="M785" i="1"/>
  <c r="M783" i="1" s="1"/>
  <c r="L792" i="1"/>
  <c r="L791" i="1" s="1"/>
  <c r="C96" i="5" s="1"/>
  <c r="N792" i="1"/>
  <c r="N791" i="1" s="1"/>
  <c r="O792" i="1"/>
  <c r="O791" i="1" s="1"/>
  <c r="M792" i="1"/>
  <c r="M791" i="1" s="1"/>
  <c r="O800" i="1"/>
  <c r="M800" i="1"/>
  <c r="O802" i="1"/>
  <c r="M802" i="1"/>
  <c r="O808" i="1"/>
  <c r="M808" i="1"/>
  <c r="O810" i="1"/>
  <c r="M810" i="1"/>
  <c r="N812" i="1"/>
  <c r="M812" i="1"/>
  <c r="N814" i="1"/>
  <c r="O814" i="1"/>
  <c r="L818" i="1"/>
  <c r="K818" i="1" s="1"/>
  <c r="O818" i="1"/>
  <c r="N818" i="1"/>
  <c r="M818" i="1"/>
  <c r="N822" i="1"/>
  <c r="M822" i="1"/>
  <c r="O827" i="1"/>
  <c r="M827" i="1"/>
  <c r="O829" i="1"/>
  <c r="M829" i="1"/>
  <c r="L833" i="1"/>
  <c r="K833" i="1" s="1"/>
  <c r="O833" i="1"/>
  <c r="N833" i="1"/>
  <c r="N838" i="1"/>
  <c r="M838" i="1"/>
  <c r="O842" i="1"/>
  <c r="N842" i="1"/>
  <c r="M842" i="1"/>
  <c r="O846" i="1"/>
  <c r="M846" i="1"/>
  <c r="O848" i="1"/>
  <c r="N848" i="1"/>
  <c r="O853" i="1"/>
  <c r="O852" i="1" s="1"/>
  <c r="M853" i="1"/>
  <c r="M852" i="1" s="1"/>
  <c r="N857" i="1"/>
  <c r="M857" i="1"/>
  <c r="L861" i="1"/>
  <c r="L860" i="1" s="1"/>
  <c r="C108" i="5" s="1"/>
  <c r="O861" i="1"/>
  <c r="O860" i="1" s="1"/>
  <c r="N861" i="1"/>
  <c r="N860" i="1" s="1"/>
  <c r="M861" i="1"/>
  <c r="M860" i="1" s="1"/>
  <c r="O867" i="1"/>
  <c r="M867" i="1"/>
  <c r="N870" i="1"/>
  <c r="M870" i="1"/>
  <c r="N872" i="1"/>
  <c r="M872" i="1"/>
  <c r="N875" i="1"/>
  <c r="M875" i="1"/>
  <c r="N878" i="1"/>
  <c r="M878" i="1"/>
  <c r="N881" i="1"/>
  <c r="M881" i="1"/>
  <c r="L883" i="1"/>
  <c r="K883" i="1" s="1"/>
  <c r="O883" i="1"/>
  <c r="N883" i="1"/>
  <c r="L887" i="1"/>
  <c r="K887" i="1" s="1"/>
  <c r="O887" i="1"/>
  <c r="N887" i="1"/>
  <c r="N896" i="1"/>
  <c r="O896" i="1"/>
  <c r="M898" i="1"/>
  <c r="O898" i="1"/>
  <c r="N898" i="1"/>
  <c r="O902" i="1"/>
  <c r="N902" i="1"/>
  <c r="L907" i="1"/>
  <c r="O907" i="1"/>
  <c r="O906" i="1" s="1"/>
  <c r="M907" i="1"/>
  <c r="M906" i="1" s="1"/>
  <c r="N907" i="1"/>
  <c r="N906" i="1" s="1"/>
  <c r="L911" i="1"/>
  <c r="K911" i="1" s="1"/>
  <c r="O911" i="1"/>
  <c r="M911" i="1"/>
  <c r="N911" i="1"/>
  <c r="O915" i="1"/>
  <c r="N915" i="1"/>
  <c r="O920" i="1"/>
  <c r="M920" i="1"/>
  <c r="N920" i="1"/>
  <c r="O924" i="1"/>
  <c r="M924" i="1"/>
  <c r="N924" i="1"/>
  <c r="O928" i="1"/>
  <c r="M928" i="1"/>
  <c r="N928" i="1"/>
  <c r="O932" i="1"/>
  <c r="M932" i="1"/>
  <c r="N932" i="1"/>
  <c r="O934" i="1"/>
  <c r="M934" i="1"/>
  <c r="N934" i="1"/>
  <c r="O938" i="1"/>
  <c r="M938" i="1"/>
  <c r="N938" i="1"/>
  <c r="M943" i="1"/>
  <c r="N943" i="1"/>
  <c r="M945" i="1"/>
  <c r="N945" i="1"/>
  <c r="O947" i="1"/>
  <c r="N947" i="1"/>
  <c r="M954" i="1"/>
  <c r="N954" i="1"/>
  <c r="O956" i="1"/>
  <c r="N956" i="1"/>
  <c r="M960" i="1"/>
  <c r="N960" i="1"/>
  <c r="L962" i="1"/>
  <c r="K962" i="1" s="1"/>
  <c r="M962" i="1"/>
  <c r="N962" i="1"/>
  <c r="M964" i="1"/>
  <c r="N964" i="1"/>
  <c r="M970" i="1"/>
  <c r="N970" i="1"/>
  <c r="M972" i="1"/>
  <c r="N972" i="1"/>
  <c r="M974" i="1"/>
  <c r="N974" i="1"/>
  <c r="M978" i="1"/>
  <c r="N978" i="1"/>
  <c r="M980" i="1"/>
  <c r="N980" i="1"/>
  <c r="O982" i="1"/>
  <c r="N982" i="1"/>
  <c r="M984" i="1"/>
  <c r="N984" i="1"/>
  <c r="M990" i="1"/>
  <c r="N990" i="1"/>
  <c r="M992" i="1"/>
  <c r="N992" i="1"/>
  <c r="M994" i="1"/>
  <c r="N994" i="1"/>
  <c r="M998" i="1"/>
  <c r="N998" i="1"/>
  <c r="M1000" i="1"/>
  <c r="N1000" i="1"/>
  <c r="N1002" i="1"/>
  <c r="O1002" i="1"/>
  <c r="N1004" i="1"/>
  <c r="M1004" i="1"/>
  <c r="N1012" i="1"/>
  <c r="M1012" i="1"/>
  <c r="N1014" i="1"/>
  <c r="M1014" i="1"/>
  <c r="N1017" i="1"/>
  <c r="M1017" i="1"/>
  <c r="O1021" i="1"/>
  <c r="M1021" i="1"/>
  <c r="N1023" i="1"/>
  <c r="M1023" i="1"/>
  <c r="N1025" i="1"/>
  <c r="O1025" i="1"/>
  <c r="N1028" i="1"/>
  <c r="M1028" i="1"/>
  <c r="N1032" i="1"/>
  <c r="M1032" i="1"/>
  <c r="N1034" i="1"/>
  <c r="M1034" i="1"/>
  <c r="N1037" i="1"/>
  <c r="M1037" i="1"/>
  <c r="O1042" i="1"/>
  <c r="M1042" i="1"/>
  <c r="N1044" i="1"/>
  <c r="M1044" i="1"/>
  <c r="N1046" i="1"/>
  <c r="O1046" i="1"/>
  <c r="N1049" i="1"/>
  <c r="M1049" i="1"/>
  <c r="N1053" i="1"/>
  <c r="M1053" i="1"/>
  <c r="N1055" i="1"/>
  <c r="M1055" i="1"/>
  <c r="N1058" i="1"/>
  <c r="M1058" i="1"/>
  <c r="O1062" i="1"/>
  <c r="M1062" i="1"/>
  <c r="N1064" i="1"/>
  <c r="M1064" i="1"/>
  <c r="N1066" i="1"/>
  <c r="O1066" i="1"/>
  <c r="N1069" i="1"/>
  <c r="M1069" i="1"/>
  <c r="O1075" i="1"/>
  <c r="M1075" i="1"/>
  <c r="L1083" i="1"/>
  <c r="L1082" i="1" s="1"/>
  <c r="C136" i="5" s="1"/>
  <c r="O1083" i="1"/>
  <c r="O1082" i="1" s="1"/>
  <c r="N1083" i="1"/>
  <c r="N1082" i="1" s="1"/>
  <c r="M1083" i="1"/>
  <c r="M1082" i="1" s="1"/>
  <c r="O1093" i="1"/>
  <c r="N1093" i="1"/>
  <c r="M1093" i="1"/>
  <c r="O1095" i="1"/>
  <c r="N1095" i="1"/>
  <c r="M1095" i="1"/>
  <c r="O1101" i="1"/>
  <c r="M1101" i="1"/>
  <c r="M1103" i="1"/>
  <c r="O1103" i="1"/>
  <c r="M1105" i="1"/>
  <c r="N1105" i="1"/>
  <c r="O1107" i="1"/>
  <c r="N1107" i="1"/>
  <c r="L1111" i="1"/>
  <c r="K1111" i="1" s="1"/>
  <c r="M1111" i="1"/>
  <c r="O1111" i="1"/>
  <c r="N1111" i="1"/>
  <c r="M1115" i="1"/>
  <c r="N1115" i="1"/>
  <c r="M1120" i="1"/>
  <c r="O1120" i="1"/>
  <c r="M1122" i="1"/>
  <c r="O1122" i="1"/>
  <c r="O1126" i="1"/>
  <c r="N1126" i="1"/>
  <c r="M1132" i="1"/>
  <c r="N1132" i="1"/>
  <c r="M1136" i="1"/>
  <c r="O1136" i="1"/>
  <c r="N1136" i="1"/>
  <c r="M1140" i="1"/>
  <c r="O1140" i="1"/>
  <c r="O1142" i="1"/>
  <c r="N1142" i="1"/>
  <c r="M1147" i="1"/>
  <c r="M1146" i="1" s="1"/>
  <c r="O1147" i="1"/>
  <c r="O1146" i="1" s="1"/>
  <c r="M1151" i="1"/>
  <c r="N1151" i="1"/>
  <c r="L1155" i="1"/>
  <c r="L1154" i="1" s="1"/>
  <c r="C148" i="5" s="1"/>
  <c r="M1155" i="1"/>
  <c r="M1154" i="1" s="1"/>
  <c r="O1155" i="1"/>
  <c r="O1154" i="1" s="1"/>
  <c r="N1155" i="1"/>
  <c r="N1154" i="1" s="1"/>
  <c r="M101" i="1"/>
  <c r="O108" i="1"/>
  <c r="M115" i="1"/>
  <c r="M122" i="1"/>
  <c r="O126" i="1"/>
  <c r="L135" i="1"/>
  <c r="K135" i="1" s="1"/>
  <c r="M135" i="1"/>
  <c r="N99" i="1"/>
  <c r="O100" i="1"/>
  <c r="N107" i="1"/>
  <c r="N114" i="1"/>
  <c r="N118" i="1"/>
  <c r="N125" i="1"/>
  <c r="N138" i="1"/>
  <c r="N141" i="1"/>
  <c r="N145" i="1"/>
  <c r="N150" i="1"/>
  <c r="M168" i="1"/>
  <c r="M167" i="1" s="1"/>
  <c r="M182" i="1"/>
  <c r="M181" i="1" s="1"/>
  <c r="N196" i="1"/>
  <c r="O277" i="1"/>
  <c r="O282" i="1"/>
  <c r="O288" i="1"/>
  <c r="O295" i="1"/>
  <c r="O309" i="1"/>
  <c r="M538" i="1"/>
  <c r="M155" i="1"/>
  <c r="L165" i="1"/>
  <c r="L164" i="1" s="1"/>
  <c r="C27" i="5" s="1"/>
  <c r="N165" i="1"/>
  <c r="N164" i="1" s="1"/>
  <c r="N194" i="1"/>
  <c r="N203" i="1"/>
  <c r="M203" i="1"/>
  <c r="L212" i="1"/>
  <c r="K212" i="1" s="1"/>
  <c r="O212" i="1"/>
  <c r="N212" i="1"/>
  <c r="N227" i="1"/>
  <c r="M227" i="1"/>
  <c r="O238" i="1"/>
  <c r="N238" i="1"/>
  <c r="M140" i="1"/>
  <c r="M147" i="1"/>
  <c r="N156" i="1"/>
  <c r="N161" i="1"/>
  <c r="L175" i="1"/>
  <c r="L174" i="1" s="1"/>
  <c r="C30" i="5" s="1"/>
  <c r="N175" i="1"/>
  <c r="N174" i="1" s="1"/>
  <c r="L189" i="1"/>
  <c r="L188" i="1" s="1"/>
  <c r="C34" i="5" s="1"/>
  <c r="N189" i="1"/>
  <c r="N188" i="1" s="1"/>
  <c r="N202" i="1"/>
  <c r="M202" i="1"/>
  <c r="O204" i="1"/>
  <c r="N204" i="1"/>
  <c r="N211" i="1"/>
  <c r="M211" i="1"/>
  <c r="N218" i="1"/>
  <c r="M218" i="1"/>
  <c r="L226" i="1"/>
  <c r="O226" i="1"/>
  <c r="M226" i="1"/>
  <c r="K233" i="1"/>
  <c r="O233" i="1"/>
  <c r="O232" i="1" s="1"/>
  <c r="M233" i="1"/>
  <c r="M232" i="1" s="1"/>
  <c r="K241" i="1"/>
  <c r="O241" i="1"/>
  <c r="M241" i="1"/>
  <c r="L252" i="1"/>
  <c r="O252" i="1"/>
  <c r="M252" i="1"/>
  <c r="N260" i="1"/>
  <c r="M260" i="1"/>
  <c r="N266" i="1"/>
  <c r="M266" i="1"/>
  <c r="N281" i="1"/>
  <c r="M281" i="1"/>
  <c r="N287" i="1"/>
  <c r="M287" i="1"/>
  <c r="L290" i="1"/>
  <c r="K290" i="1" s="1"/>
  <c r="N290" i="1"/>
  <c r="L296" i="1"/>
  <c r="M296" i="1"/>
  <c r="N298" i="1"/>
  <c r="L310" i="1"/>
  <c r="K310" i="1" s="1"/>
  <c r="N310" i="1"/>
  <c r="M310" i="1"/>
  <c r="M312" i="1"/>
  <c r="N312" i="1"/>
  <c r="L317" i="1"/>
  <c r="O317" i="1"/>
  <c r="M317" i="1"/>
  <c r="L323" i="1"/>
  <c r="O323" i="1"/>
  <c r="M323" i="1"/>
  <c r="O325" i="1"/>
  <c r="M336" i="1"/>
  <c r="M338" i="1"/>
  <c r="K343" i="1"/>
  <c r="O343" i="1"/>
  <c r="M343" i="1"/>
  <c r="L349" i="1"/>
  <c r="O349" i="1"/>
  <c r="M349" i="1"/>
  <c r="L355" i="1"/>
  <c r="O355" i="1"/>
  <c r="M355" i="1"/>
  <c r="L359" i="1"/>
  <c r="K359" i="1" s="1"/>
  <c r="M359" i="1"/>
  <c r="K367" i="1"/>
  <c r="O367" i="1"/>
  <c r="M367" i="1"/>
  <c r="O369" i="1"/>
  <c r="O375" i="1"/>
  <c r="M375" i="1"/>
  <c r="M381" i="1"/>
  <c r="N389" i="1"/>
  <c r="M389" i="1"/>
  <c r="L395" i="1"/>
  <c r="K395" i="1" s="1"/>
  <c r="O395" i="1"/>
  <c r="N395" i="1"/>
  <c r="N404" i="1"/>
  <c r="M404" i="1"/>
  <c r="O406" i="1"/>
  <c r="N406" i="1"/>
  <c r="N415" i="1"/>
  <c r="M415" i="1"/>
  <c r="O421" i="1"/>
  <c r="M421" i="1"/>
  <c r="N432" i="1"/>
  <c r="M432" i="1"/>
  <c r="N438" i="1"/>
  <c r="M438" i="1"/>
  <c r="N443" i="1"/>
  <c r="M443" i="1"/>
  <c r="N456" i="1"/>
  <c r="M456" i="1"/>
  <c r="N461" i="1"/>
  <c r="M461" i="1"/>
  <c r="O464" i="1"/>
  <c r="N464" i="1"/>
  <c r="N467" i="1"/>
  <c r="M467" i="1"/>
  <c r="O480" i="1"/>
  <c r="M480" i="1"/>
  <c r="N483" i="1"/>
  <c r="M483" i="1"/>
  <c r="O485" i="1"/>
  <c r="N485" i="1"/>
  <c r="N488" i="1"/>
  <c r="M488" i="1"/>
  <c r="O491" i="1"/>
  <c r="N491" i="1"/>
  <c r="N494" i="1"/>
  <c r="M494" i="1"/>
  <c r="N498" i="1"/>
  <c r="M498" i="1"/>
  <c r="O500" i="1"/>
  <c r="M500" i="1"/>
  <c r="O502" i="1"/>
  <c r="M502" i="1"/>
  <c r="N504" i="1"/>
  <c r="M504" i="1"/>
  <c r="O510" i="1"/>
  <c r="M510" i="1"/>
  <c r="N513" i="1"/>
  <c r="M513" i="1"/>
  <c r="N516" i="1"/>
  <c r="M516" i="1"/>
  <c r="N519" i="1"/>
  <c r="M519" i="1"/>
  <c r="O522" i="1"/>
  <c r="N522" i="1"/>
  <c r="N524" i="1"/>
  <c r="M524" i="1"/>
  <c r="N528" i="1"/>
  <c r="M528" i="1"/>
  <c r="O534" i="1"/>
  <c r="M534" i="1"/>
  <c r="N537" i="1"/>
  <c r="M537" i="1"/>
  <c r="N539" i="1"/>
  <c r="O539" i="1"/>
  <c r="N542" i="1"/>
  <c r="M542" i="1"/>
  <c r="N545" i="1"/>
  <c r="O545" i="1"/>
  <c r="N548" i="1"/>
  <c r="M548" i="1"/>
  <c r="O552" i="1"/>
  <c r="M552" i="1"/>
  <c r="O554" i="1"/>
  <c r="M554" i="1"/>
  <c r="L556" i="1"/>
  <c r="K556" i="1" s="1"/>
  <c r="N556" i="1"/>
  <c r="M556" i="1"/>
  <c r="O562" i="1"/>
  <c r="M562" i="1"/>
  <c r="N565" i="1"/>
  <c r="M565" i="1"/>
  <c r="N567" i="1"/>
  <c r="M567" i="1"/>
  <c r="N570" i="1"/>
  <c r="M570" i="1"/>
  <c r="N573" i="1"/>
  <c r="M573" i="1"/>
  <c r="N576" i="1"/>
  <c r="M576" i="1"/>
  <c r="L581" i="1"/>
  <c r="K581" i="1" s="1"/>
  <c r="N581" i="1"/>
  <c r="O581" i="1"/>
  <c r="N585" i="1"/>
  <c r="M585" i="1"/>
  <c r="O589" i="1"/>
  <c r="M589" i="1"/>
  <c r="O591" i="1"/>
  <c r="N591" i="1"/>
  <c r="N596" i="1"/>
  <c r="M596" i="1"/>
  <c r="O599" i="1"/>
  <c r="M599" i="1"/>
  <c r="N601" i="1"/>
  <c r="M601" i="1"/>
  <c r="O603" i="1"/>
  <c r="N603" i="1"/>
  <c r="L612" i="1"/>
  <c r="K612" i="1" s="1"/>
  <c r="O612" i="1"/>
  <c r="N612" i="1"/>
  <c r="O614" i="1"/>
  <c r="N614" i="1"/>
  <c r="M614" i="1"/>
  <c r="O618" i="1"/>
  <c r="N618" i="1"/>
  <c r="L623" i="1"/>
  <c r="O623" i="1"/>
  <c r="O622" i="1" s="1"/>
  <c r="N623" i="1"/>
  <c r="N622" i="1" s="1"/>
  <c r="M623" i="1"/>
  <c r="M622" i="1" s="1"/>
  <c r="L627" i="1"/>
  <c r="K627" i="1" s="1"/>
  <c r="O627" i="1"/>
  <c r="N627" i="1"/>
  <c r="M627" i="1"/>
  <c r="O631" i="1"/>
  <c r="N631" i="1"/>
  <c r="M636" i="1"/>
  <c r="O636" i="1"/>
  <c r="N636" i="1"/>
  <c r="M640" i="1"/>
  <c r="O640" i="1"/>
  <c r="N640" i="1"/>
  <c r="M644" i="1"/>
  <c r="O644" i="1"/>
  <c r="N644" i="1"/>
  <c r="L648" i="1"/>
  <c r="M648" i="1"/>
  <c r="O648" i="1"/>
  <c r="N648" i="1"/>
  <c r="M650" i="1"/>
  <c r="O650" i="1"/>
  <c r="N650" i="1"/>
  <c r="M654" i="1"/>
  <c r="O654" i="1"/>
  <c r="N654" i="1"/>
  <c r="M658" i="1"/>
  <c r="N658" i="1"/>
  <c r="M660" i="1"/>
  <c r="N660" i="1"/>
  <c r="L662" i="1"/>
  <c r="K662" i="1" s="1"/>
  <c r="N662" i="1"/>
  <c r="O662" i="1"/>
  <c r="N668" i="1"/>
  <c r="M668" i="1"/>
  <c r="N670" i="1"/>
  <c r="O670" i="1"/>
  <c r="N674" i="1"/>
  <c r="M674" i="1"/>
  <c r="L676" i="1"/>
  <c r="K676" i="1" s="1"/>
  <c r="N676" i="1"/>
  <c r="M676" i="1"/>
  <c r="N678" i="1"/>
  <c r="M678" i="1"/>
  <c r="N683" i="1"/>
  <c r="M683" i="1"/>
  <c r="N685" i="1"/>
  <c r="M685" i="1"/>
  <c r="N687" i="1"/>
  <c r="M687" i="1"/>
  <c r="L691" i="1"/>
  <c r="N691" i="1"/>
  <c r="N693" i="1"/>
  <c r="M693" i="1"/>
  <c r="N695" i="1"/>
  <c r="O695" i="1"/>
  <c r="N697" i="1"/>
  <c r="M697" i="1"/>
  <c r="N702" i="1"/>
  <c r="M702" i="1"/>
  <c r="N704" i="1"/>
  <c r="M704" i="1"/>
  <c r="N706" i="1"/>
  <c r="M706" i="1"/>
  <c r="N710" i="1"/>
  <c r="M710" i="1"/>
  <c r="N712" i="1"/>
  <c r="M712" i="1"/>
  <c r="N714" i="1"/>
  <c r="O714" i="1"/>
  <c r="N716" i="1"/>
  <c r="M716" i="1"/>
  <c r="N723" i="1"/>
  <c r="M723" i="1"/>
  <c r="N725" i="1"/>
  <c r="M725" i="1"/>
  <c r="N728" i="1"/>
  <c r="M728" i="1"/>
  <c r="O732" i="1"/>
  <c r="M732" i="1"/>
  <c r="N734" i="1"/>
  <c r="M734" i="1"/>
  <c r="N736" i="1"/>
  <c r="O736" i="1"/>
  <c r="N739" i="1"/>
  <c r="M739" i="1"/>
  <c r="N743" i="1"/>
  <c r="M743" i="1"/>
  <c r="N745" i="1"/>
  <c r="M745" i="1"/>
  <c r="N748" i="1"/>
  <c r="M748" i="1"/>
  <c r="O753" i="1"/>
  <c r="M753" i="1"/>
  <c r="N755" i="1"/>
  <c r="M755" i="1"/>
  <c r="N757" i="1"/>
  <c r="O757" i="1"/>
  <c r="N760" i="1"/>
  <c r="M760" i="1"/>
  <c r="N764" i="1"/>
  <c r="M764" i="1"/>
  <c r="N766" i="1"/>
  <c r="M766" i="1"/>
  <c r="N769" i="1"/>
  <c r="M769" i="1"/>
  <c r="O773" i="1"/>
  <c r="M773" i="1"/>
  <c r="N775" i="1"/>
  <c r="M775" i="1"/>
  <c r="N777" i="1"/>
  <c r="O777" i="1"/>
  <c r="N780" i="1"/>
  <c r="M780" i="1"/>
  <c r="M98" i="1"/>
  <c r="M105" i="1"/>
  <c r="M112" i="1"/>
  <c r="O116" i="1"/>
  <c r="M123" i="1"/>
  <c r="M127" i="1"/>
  <c r="M136" i="1"/>
  <c r="N23" i="1"/>
  <c r="M24" i="1"/>
  <c r="M25" i="1"/>
  <c r="M35" i="1"/>
  <c r="M34" i="1" s="1"/>
  <c r="M39" i="1"/>
  <c r="M47" i="1"/>
  <c r="M48" i="1"/>
  <c r="M51" i="1"/>
  <c r="M52" i="1"/>
  <c r="M55" i="1"/>
  <c r="M56" i="1"/>
  <c r="M59" i="1"/>
  <c r="M60" i="1"/>
  <c r="M63" i="1"/>
  <c r="M64" i="1"/>
  <c r="M65" i="1"/>
  <c r="M68" i="1"/>
  <c r="M69" i="1"/>
  <c r="M70" i="1"/>
  <c r="M73" i="1"/>
  <c r="M74" i="1"/>
  <c r="M78" i="1"/>
  <c r="M79" i="1"/>
  <c r="M81" i="1"/>
  <c r="M86" i="1"/>
  <c r="M87" i="1"/>
  <c r="M88" i="1"/>
  <c r="M91" i="1"/>
  <c r="M92" i="1"/>
  <c r="M93" i="1"/>
  <c r="M96" i="1"/>
  <c r="M97" i="1"/>
  <c r="N98" i="1"/>
  <c r="O175" i="1"/>
  <c r="O174" i="1" s="1"/>
  <c r="O189" i="1"/>
  <c r="O188" i="1" s="1"/>
  <c r="O290" i="1"/>
  <c r="O296" i="1"/>
  <c r="M549" i="1"/>
  <c r="M151" i="1"/>
  <c r="N160" i="1"/>
  <c r="L185" i="1"/>
  <c r="L184" i="1" s="1"/>
  <c r="C33" i="5" s="1"/>
  <c r="N185" i="1"/>
  <c r="N184" i="1" s="1"/>
  <c r="L205" i="1"/>
  <c r="K205" i="1" s="1"/>
  <c r="O205" i="1"/>
  <c r="N205" i="1"/>
  <c r="M205" i="1"/>
  <c r="L223" i="1"/>
  <c r="K223" i="1" s="1"/>
  <c r="N223" i="1"/>
  <c r="M223" i="1"/>
  <c r="N242" i="1"/>
  <c r="M242" i="1"/>
  <c r="M145" i="1"/>
  <c r="M150" i="1"/>
  <c r="L154" i="1"/>
  <c r="O154" i="1"/>
  <c r="M154" i="1"/>
  <c r="N158" i="1"/>
  <c r="L168" i="1"/>
  <c r="L167" i="1" s="1"/>
  <c r="C28" i="5" s="1"/>
  <c r="N168" i="1"/>
  <c r="N167" i="1" s="1"/>
  <c r="L182" i="1"/>
  <c r="L181" i="1" s="1"/>
  <c r="C32" i="5" s="1"/>
  <c r="N182" i="1"/>
  <c r="N181" i="1" s="1"/>
  <c r="M195" i="1"/>
  <c r="O197" i="1"/>
  <c r="N197" i="1"/>
  <c r="L209" i="1"/>
  <c r="N209" i="1"/>
  <c r="M209" i="1"/>
  <c r="L213" i="1"/>
  <c r="K213" i="1" s="1"/>
  <c r="O213" i="1"/>
  <c r="N213" i="1"/>
  <c r="M213" i="1"/>
  <c r="L222" i="1"/>
  <c r="L221" i="1" s="1"/>
  <c r="C39" i="5" s="1"/>
  <c r="O222" i="1"/>
  <c r="N222" i="1"/>
  <c r="M222" i="1"/>
  <c r="O228" i="1"/>
  <c r="N228" i="1"/>
  <c r="N237" i="1"/>
  <c r="M237" i="1"/>
  <c r="L243" i="1"/>
  <c r="K243" i="1" s="1"/>
  <c r="O243" i="1"/>
  <c r="N243" i="1"/>
  <c r="N255" i="1"/>
  <c r="M255" i="1"/>
  <c r="O257" i="1"/>
  <c r="N257" i="1"/>
  <c r="N263" i="1"/>
  <c r="K270" i="1"/>
  <c r="M270" i="1"/>
  <c r="N272" i="1"/>
  <c r="L278" i="1"/>
  <c r="M278" i="1"/>
  <c r="N284" i="1"/>
  <c r="M284" i="1"/>
  <c r="N292" i="1"/>
  <c r="M292" i="1"/>
  <c r="N305" i="1"/>
  <c r="M305" i="1"/>
  <c r="N307" i="1"/>
  <c r="L315" i="1"/>
  <c r="K315" i="1" s="1"/>
  <c r="O315" i="1"/>
  <c r="M315" i="1"/>
  <c r="M320" i="1"/>
  <c r="M331" i="1"/>
  <c r="L333" i="1"/>
  <c r="K333" i="1" s="1"/>
  <c r="O333" i="1"/>
  <c r="O341" i="1"/>
  <c r="M341" i="1"/>
  <c r="M346" i="1"/>
  <c r="O351" i="1"/>
  <c r="L357" i="1"/>
  <c r="O357" i="1"/>
  <c r="M357" i="1"/>
  <c r="M363" i="1"/>
  <c r="M378" i="1"/>
  <c r="M384" i="1"/>
  <c r="O387" i="1"/>
  <c r="N387" i="1"/>
  <c r="O393" i="1"/>
  <c r="M393" i="1"/>
  <c r="O401" i="1"/>
  <c r="M401" i="1"/>
  <c r="N409" i="1"/>
  <c r="M409" i="1"/>
  <c r="O412" i="1"/>
  <c r="N412" i="1"/>
  <c r="O419" i="1"/>
  <c r="M419" i="1"/>
  <c r="L423" i="1"/>
  <c r="K423" i="1" s="1"/>
  <c r="N423" i="1"/>
  <c r="M423" i="1"/>
  <c r="O429" i="1"/>
  <c r="M429" i="1"/>
  <c r="N435" i="1"/>
  <c r="M435" i="1"/>
  <c r="O441" i="1"/>
  <c r="N441" i="1"/>
  <c r="N447" i="1"/>
  <c r="M447" i="1"/>
  <c r="O453" i="1"/>
  <c r="M453" i="1"/>
  <c r="O458" i="1"/>
  <c r="N458" i="1"/>
  <c r="M141" i="1"/>
  <c r="L789" i="1"/>
  <c r="L788" i="1" s="1"/>
  <c r="C95" i="5" s="1"/>
  <c r="N789" i="1"/>
  <c r="N788" i="1" s="1"/>
  <c r="O789" i="1"/>
  <c r="O788" i="1" s="1"/>
  <c r="M789" i="1"/>
  <c r="M788" i="1" s="1"/>
  <c r="L796" i="1"/>
  <c r="L795" i="1" s="1"/>
  <c r="C97" i="5" s="1"/>
  <c r="N796" i="1"/>
  <c r="N795" i="1" s="1"/>
  <c r="O796" i="1"/>
  <c r="O795" i="1" s="1"/>
  <c r="M796" i="1"/>
  <c r="M795" i="1" s="1"/>
  <c r="O801" i="1"/>
  <c r="M801" i="1"/>
  <c r="N803" i="1"/>
  <c r="O803" i="1"/>
  <c r="M803" i="1"/>
  <c r="O809" i="1"/>
  <c r="M809" i="1"/>
  <c r="O811" i="1"/>
  <c r="M811" i="1"/>
  <c r="N813" i="1"/>
  <c r="M813" i="1"/>
  <c r="N817" i="1"/>
  <c r="O817" i="1"/>
  <c r="M817" i="1"/>
  <c r="O821" i="1"/>
  <c r="M821" i="1"/>
  <c r="O823" i="1"/>
  <c r="N823" i="1"/>
  <c r="O828" i="1"/>
  <c r="M828" i="1"/>
  <c r="N832" i="1"/>
  <c r="M832" i="1"/>
  <c r="L837" i="1"/>
  <c r="N837" i="1"/>
  <c r="M837" i="1"/>
  <c r="L839" i="1"/>
  <c r="K839" i="1" s="1"/>
  <c r="O839" i="1"/>
  <c r="N839" i="1"/>
  <c r="N843" i="1"/>
  <c r="M843" i="1"/>
  <c r="N847" i="1"/>
  <c r="M847" i="1"/>
  <c r="N849" i="1"/>
  <c r="M849" i="1"/>
  <c r="O856" i="1"/>
  <c r="M856" i="1"/>
  <c r="O858" i="1"/>
  <c r="N858" i="1"/>
  <c r="O866" i="1"/>
  <c r="M866" i="1"/>
  <c r="O868" i="1"/>
  <c r="M868" i="1"/>
  <c r="N871" i="1"/>
  <c r="M871" i="1"/>
  <c r="O873" i="1"/>
  <c r="N873" i="1"/>
  <c r="O876" i="1"/>
  <c r="N876" i="1"/>
  <c r="O879" i="1"/>
  <c r="N879" i="1"/>
  <c r="N882" i="1"/>
  <c r="M882" i="1"/>
  <c r="O886" i="1"/>
  <c r="M886" i="1"/>
  <c r="N895" i="1"/>
  <c r="O895" i="1"/>
  <c r="M897" i="1"/>
  <c r="O897" i="1"/>
  <c r="N897" i="1"/>
  <c r="N901" i="1"/>
  <c r="O901" i="1"/>
  <c r="L903" i="1"/>
  <c r="K903" i="1" s="1"/>
  <c r="O903" i="1"/>
  <c r="N903" i="1"/>
  <c r="O910" i="1"/>
  <c r="N910" i="1"/>
  <c r="O914" i="1"/>
  <c r="N914" i="1"/>
  <c r="L916" i="1"/>
  <c r="K916" i="1" s="1"/>
  <c r="O916" i="1"/>
  <c r="N916" i="1"/>
  <c r="O921" i="1"/>
  <c r="M921" i="1"/>
  <c r="N921" i="1"/>
  <c r="L925" i="1"/>
  <c r="K925" i="1" s="1"/>
  <c r="O925" i="1"/>
  <c r="M925" i="1"/>
  <c r="N925" i="1"/>
  <c r="L929" i="1"/>
  <c r="K929" i="1" s="1"/>
  <c r="O929" i="1"/>
  <c r="M929" i="1"/>
  <c r="N929" i="1"/>
  <c r="O933" i="1"/>
  <c r="M933" i="1"/>
  <c r="N933" i="1"/>
  <c r="L937" i="1"/>
  <c r="O937" i="1"/>
  <c r="M937" i="1"/>
  <c r="N937" i="1"/>
  <c r="O939" i="1"/>
  <c r="M939" i="1"/>
  <c r="N939" i="1"/>
  <c r="M944" i="1"/>
  <c r="N944" i="1"/>
  <c r="O946" i="1"/>
  <c r="M946" i="1"/>
  <c r="N946" i="1"/>
  <c r="M953" i="1"/>
  <c r="N953" i="1"/>
  <c r="M955" i="1"/>
  <c r="N955" i="1"/>
  <c r="M959" i="1"/>
  <c r="N959" i="1"/>
  <c r="M961" i="1"/>
  <c r="N961" i="1"/>
  <c r="O963" i="1"/>
  <c r="N963" i="1"/>
  <c r="M969" i="1"/>
  <c r="N969" i="1"/>
  <c r="M971" i="1"/>
  <c r="N971" i="1"/>
  <c r="O973" i="1"/>
  <c r="N973" i="1"/>
  <c r="M975" i="1"/>
  <c r="N975" i="1"/>
  <c r="M979" i="1"/>
  <c r="N979" i="1"/>
  <c r="M981" i="1"/>
  <c r="N981" i="1"/>
  <c r="M983" i="1"/>
  <c r="N983" i="1"/>
  <c r="M989" i="1"/>
  <c r="N989" i="1"/>
  <c r="M991" i="1"/>
  <c r="N991" i="1"/>
  <c r="O993" i="1"/>
  <c r="N993" i="1"/>
  <c r="M995" i="1"/>
  <c r="N995" i="1"/>
  <c r="M999" i="1"/>
  <c r="N999" i="1"/>
  <c r="M1001" i="1"/>
  <c r="N1001" i="1"/>
  <c r="N1003" i="1"/>
  <c r="M1003" i="1"/>
  <c r="O1011" i="1"/>
  <c r="M1011" i="1"/>
  <c r="N1013" i="1"/>
  <c r="M1013" i="1"/>
  <c r="N1015" i="1"/>
  <c r="O1015" i="1"/>
  <c r="N1018" i="1"/>
  <c r="M1018" i="1"/>
  <c r="N1022" i="1"/>
  <c r="M1022" i="1"/>
  <c r="N1024" i="1"/>
  <c r="M1024" i="1"/>
  <c r="N1027" i="1"/>
  <c r="M1027" i="1"/>
  <c r="O1031" i="1"/>
  <c r="M1031" i="1"/>
  <c r="N1033" i="1"/>
  <c r="M1033" i="1"/>
  <c r="N1035" i="1"/>
  <c r="O1035" i="1"/>
  <c r="N1038" i="1"/>
  <c r="M1038" i="1"/>
  <c r="N1043" i="1"/>
  <c r="M1043" i="1"/>
  <c r="N1045" i="1"/>
  <c r="M1045" i="1"/>
  <c r="N1048" i="1"/>
  <c r="M1048" i="1"/>
  <c r="O1052" i="1"/>
  <c r="M1052" i="1"/>
  <c r="N1054" i="1"/>
  <c r="M1054" i="1"/>
  <c r="N1056" i="1"/>
  <c r="O1056" i="1"/>
  <c r="N1059" i="1"/>
  <c r="M1059" i="1"/>
  <c r="N1063" i="1"/>
  <c r="M1063" i="1"/>
  <c r="N1065" i="1"/>
  <c r="M1065" i="1"/>
  <c r="N1068" i="1"/>
  <c r="M1068" i="1"/>
  <c r="N1074" i="1"/>
  <c r="M1074" i="1"/>
  <c r="L1080" i="1"/>
  <c r="L1079" i="1" s="1"/>
  <c r="C135" i="5" s="1"/>
  <c r="O1080" i="1"/>
  <c r="O1079" i="1" s="1"/>
  <c r="N1080" i="1"/>
  <c r="N1079" i="1" s="1"/>
  <c r="M1080" i="1"/>
  <c r="M1079" i="1" s="1"/>
  <c r="L1088" i="1"/>
  <c r="L1087" i="1" s="1"/>
  <c r="C137" i="5" s="1"/>
  <c r="O1088" i="1"/>
  <c r="O1087" i="1" s="1"/>
  <c r="N1088" i="1"/>
  <c r="N1087" i="1" s="1"/>
  <c r="M1088" i="1"/>
  <c r="M1087" i="1" s="1"/>
  <c r="O1094" i="1"/>
  <c r="N1094" i="1"/>
  <c r="M1094" i="1"/>
  <c r="L1096" i="1"/>
  <c r="O1096" i="1"/>
  <c r="N1096" i="1"/>
  <c r="M1096" i="1"/>
  <c r="M1102" i="1"/>
  <c r="O1102" i="1"/>
  <c r="M1104" i="1"/>
  <c r="O1104" i="1"/>
  <c r="M1106" i="1"/>
  <c r="N1106" i="1"/>
  <c r="L1110" i="1"/>
  <c r="L1109" i="1" s="1"/>
  <c r="C140" i="5" s="1"/>
  <c r="M1110" i="1"/>
  <c r="O1110" i="1"/>
  <c r="N1110" i="1"/>
  <c r="M1114" i="1"/>
  <c r="O1114" i="1"/>
  <c r="O1116" i="1"/>
  <c r="N1116" i="1"/>
  <c r="M1121" i="1"/>
  <c r="O1121" i="1"/>
  <c r="M1125" i="1"/>
  <c r="N1125" i="1"/>
  <c r="L1131" i="1"/>
  <c r="M1131" i="1"/>
  <c r="N1131" i="1"/>
  <c r="L1133" i="1"/>
  <c r="K1133" i="1" s="1"/>
  <c r="O1133" i="1"/>
  <c r="N1133" i="1"/>
  <c r="L1137" i="1"/>
  <c r="K1137" i="1" s="1"/>
  <c r="M1137" i="1"/>
  <c r="N1137" i="1"/>
  <c r="M1141" i="1"/>
  <c r="N1141" i="1"/>
  <c r="M1143" i="1"/>
  <c r="N1143" i="1"/>
  <c r="M1150" i="1"/>
  <c r="O1150" i="1"/>
  <c r="O1152" i="1"/>
  <c r="N1152" i="1"/>
  <c r="L99" i="1"/>
  <c r="K99" i="1" s="1"/>
  <c r="M99" i="1"/>
  <c r="M106" i="1"/>
  <c r="M113" i="1"/>
  <c r="M117" i="1"/>
  <c r="M124" i="1"/>
  <c r="M128" i="1"/>
  <c r="M137" i="1"/>
  <c r="O23" i="1"/>
  <c r="N24" i="1"/>
  <c r="N26" i="1"/>
  <c r="N35" i="1"/>
  <c r="N34" i="1" s="1"/>
  <c r="N39" i="1"/>
  <c r="N37" i="1" s="1"/>
  <c r="N42" i="1"/>
  <c r="N43" i="1"/>
  <c r="N47" i="1"/>
  <c r="N48" i="1"/>
  <c r="N51" i="1"/>
  <c r="N52" i="1"/>
  <c r="N55" i="1"/>
  <c r="N56" i="1"/>
  <c r="N59" i="1"/>
  <c r="N60" i="1"/>
  <c r="N63" i="1"/>
  <c r="N64" i="1"/>
  <c r="N68" i="1"/>
  <c r="N69" i="1"/>
  <c r="N70" i="1"/>
  <c r="N73" i="1"/>
  <c r="N74" i="1"/>
  <c r="N78" i="1"/>
  <c r="N79" i="1"/>
  <c r="N80" i="1"/>
  <c r="N81" i="1"/>
  <c r="N86" i="1"/>
  <c r="N87" i="1"/>
  <c r="N88" i="1"/>
  <c r="N89" i="1"/>
  <c r="N91" i="1"/>
  <c r="N92" i="1"/>
  <c r="N93" i="1"/>
  <c r="N96" i="1"/>
  <c r="N97" i="1"/>
  <c r="N101" i="1"/>
  <c r="N106" i="1"/>
  <c r="N108" i="1"/>
  <c r="N113" i="1"/>
  <c r="N115" i="1"/>
  <c r="N117" i="1"/>
  <c r="N122" i="1"/>
  <c r="N124" i="1"/>
  <c r="N126" i="1"/>
  <c r="N128" i="1"/>
  <c r="N135" i="1"/>
  <c r="N137" i="1"/>
  <c r="N140" i="1"/>
  <c r="N146" i="1"/>
  <c r="N148" i="1"/>
  <c r="N151" i="1"/>
  <c r="N155" i="1"/>
  <c r="M157" i="1"/>
  <c r="M160" i="1"/>
  <c r="M165" i="1"/>
  <c r="M171" i="1"/>
  <c r="M178" i="1"/>
  <c r="M185" i="1"/>
  <c r="N195" i="1"/>
  <c r="O265" i="1"/>
  <c r="O297" i="1"/>
  <c r="O311" i="1"/>
  <c r="N320" i="1"/>
  <c r="N333" i="1"/>
  <c r="N381" i="1"/>
  <c r="M563" i="1"/>
  <c r="M691" i="1"/>
  <c r="O7" i="1"/>
  <c r="O8" i="1"/>
  <c r="O15" i="1"/>
  <c r="O16" i="1"/>
  <c r="M9" i="1"/>
  <c r="M10" i="1"/>
  <c r="M11" i="1"/>
  <c r="M12" i="1"/>
  <c r="M13" i="1"/>
  <c r="M14" i="1"/>
  <c r="M15" i="1"/>
  <c r="M18" i="1"/>
  <c r="M19" i="1"/>
  <c r="M20" i="1"/>
  <c r="N7" i="1"/>
  <c r="N10" i="1"/>
  <c r="N14" i="1"/>
  <c r="N19" i="1"/>
  <c r="N20" i="1"/>
  <c r="O29" i="1"/>
  <c r="O30" i="1"/>
  <c r="O31" i="1"/>
  <c r="N29" i="1"/>
  <c r="N30" i="1"/>
  <c r="N31" i="1"/>
  <c r="L144" i="1"/>
  <c r="L151" i="1"/>
  <c r="K151" i="1" s="1"/>
  <c r="L233" i="1"/>
  <c r="L232" i="1" s="1"/>
  <c r="C41" i="5" s="1"/>
  <c r="L270" i="1"/>
  <c r="L277" i="1"/>
  <c r="K309" i="1"/>
  <c r="L335" i="1"/>
  <c r="L374" i="1"/>
  <c r="K374" i="1"/>
  <c r="K392" i="1"/>
  <c r="L392" i="1"/>
  <c r="L394" i="1"/>
  <c r="K394" i="1"/>
  <c r="K402" i="1"/>
  <c r="L402" i="1"/>
  <c r="K420" i="1"/>
  <c r="L420" i="1"/>
  <c r="L422" i="1"/>
  <c r="K422" i="1" s="1"/>
  <c r="L428" i="1"/>
  <c r="K428" i="1"/>
  <c r="L446" i="1"/>
  <c r="K446" i="1"/>
  <c r="L454" i="1"/>
  <c r="K454" i="1"/>
  <c r="L481" i="1"/>
  <c r="K481" i="1"/>
  <c r="L484" i="1"/>
  <c r="K484" i="1" s="1"/>
  <c r="K499" i="1"/>
  <c r="L499" i="1"/>
  <c r="L501" i="1"/>
  <c r="K501" i="1" s="1"/>
  <c r="L509" i="1"/>
  <c r="K509" i="1"/>
  <c r="L527" i="1"/>
  <c r="K527" i="1"/>
  <c r="K535" i="1"/>
  <c r="L535" i="1"/>
  <c r="K553" i="1"/>
  <c r="L553" i="1"/>
  <c r="L555" i="1"/>
  <c r="K555" i="1" s="1"/>
  <c r="L561" i="1"/>
  <c r="K561" i="1"/>
  <c r="L563" i="1"/>
  <c r="K563" i="1"/>
  <c r="K580" i="1"/>
  <c r="L580" i="1"/>
  <c r="L579" i="1" s="1"/>
  <c r="C67" i="5" s="1"/>
  <c r="L619" i="1"/>
  <c r="K619" i="1" s="1"/>
  <c r="L641" i="1"/>
  <c r="K641" i="1" s="1"/>
  <c r="L659" i="1"/>
  <c r="K659" i="1" s="1"/>
  <c r="L667" i="1"/>
  <c r="L722" i="1"/>
  <c r="K722" i="1"/>
  <c r="K742" i="1"/>
  <c r="L742" i="1"/>
  <c r="K763" i="1"/>
  <c r="L763" i="1"/>
  <c r="K801" i="1"/>
  <c r="L801" i="1"/>
  <c r="L809" i="1"/>
  <c r="K809" i="1"/>
  <c r="K811" i="1"/>
  <c r="L811" i="1"/>
  <c r="L817" i="1"/>
  <c r="L816" i="1" s="1"/>
  <c r="C100" i="5" s="1"/>
  <c r="K821" i="1"/>
  <c r="L821" i="1"/>
  <c r="L828" i="1"/>
  <c r="K828" i="1"/>
  <c r="K856" i="1"/>
  <c r="L856" i="1"/>
  <c r="L866" i="1"/>
  <c r="K866" i="1"/>
  <c r="K868" i="1"/>
  <c r="L868" i="1"/>
  <c r="L886" i="1"/>
  <c r="L885" i="1" s="1"/>
  <c r="C110" i="5" s="1"/>
  <c r="K886" i="1"/>
  <c r="L895" i="1"/>
  <c r="L933" i="1"/>
  <c r="K933" i="1" s="1"/>
  <c r="L953" i="1"/>
  <c r="L1011" i="1"/>
  <c r="K1011" i="1"/>
  <c r="L1031" i="1"/>
  <c r="K1031" i="1"/>
  <c r="L1052" i="1"/>
  <c r="K1052" i="1"/>
  <c r="K1094" i="1"/>
  <c r="L1094" i="1"/>
  <c r="L1102" i="1"/>
  <c r="K1102" i="1"/>
  <c r="L1104" i="1"/>
  <c r="K1104" i="1"/>
  <c r="L1114" i="1"/>
  <c r="K1114" i="1"/>
  <c r="L1121" i="1"/>
  <c r="K1121" i="1"/>
  <c r="L1125" i="1"/>
  <c r="K1125" i="1" s="1"/>
  <c r="L1150" i="1"/>
  <c r="K1150" i="1"/>
  <c r="K25" i="1"/>
  <c r="K226" i="1"/>
  <c r="L241" i="1"/>
  <c r="K252" i="1"/>
  <c r="K278" i="1"/>
  <c r="L297" i="1"/>
  <c r="K314" i="1"/>
  <c r="K317" i="1"/>
  <c r="L340" i="1"/>
  <c r="L343" i="1"/>
  <c r="L356" i="1"/>
  <c r="L16" i="1"/>
  <c r="K16" i="1" s="1"/>
  <c r="K134" i="1"/>
  <c r="K154" i="1"/>
  <c r="K236" i="1"/>
  <c r="L295" i="1"/>
  <c r="K345" i="1"/>
  <c r="K349" i="1"/>
  <c r="K357" i="1"/>
  <c r="L367" i="1"/>
  <c r="K375" i="1"/>
  <c r="L375" i="1"/>
  <c r="L393" i="1"/>
  <c r="K393" i="1"/>
  <c r="L401" i="1"/>
  <c r="K401" i="1"/>
  <c r="L419" i="1"/>
  <c r="K419" i="1"/>
  <c r="L421" i="1"/>
  <c r="K421" i="1"/>
  <c r="L429" i="1"/>
  <c r="K429" i="1"/>
  <c r="L447" i="1"/>
  <c r="K447" i="1" s="1"/>
  <c r="L453" i="1"/>
  <c r="K453" i="1"/>
  <c r="L480" i="1"/>
  <c r="K480" i="1"/>
  <c r="L500" i="1"/>
  <c r="K500" i="1"/>
  <c r="L502" i="1"/>
  <c r="K502" i="1"/>
  <c r="K510" i="1"/>
  <c r="L510" i="1"/>
  <c r="L528" i="1"/>
  <c r="L526" i="1" s="1"/>
  <c r="C65" i="5" s="1"/>
  <c r="L534" i="1"/>
  <c r="K534" i="1"/>
  <c r="L552" i="1"/>
  <c r="K552" i="1"/>
  <c r="L554" i="1"/>
  <c r="K554" i="1"/>
  <c r="K562" i="1"/>
  <c r="L562" i="1"/>
  <c r="K589" i="1"/>
  <c r="L589" i="1"/>
  <c r="K599" i="1"/>
  <c r="L599" i="1"/>
  <c r="L631" i="1"/>
  <c r="K631" i="1" s="1"/>
  <c r="L687" i="1"/>
  <c r="K687" i="1" s="1"/>
  <c r="L732" i="1"/>
  <c r="K732" i="1"/>
  <c r="L753" i="1"/>
  <c r="K753" i="1"/>
  <c r="L773" i="1"/>
  <c r="K773" i="1"/>
  <c r="K785" i="1"/>
  <c r="L785" i="1"/>
  <c r="K800" i="1"/>
  <c r="L800" i="1"/>
  <c r="L802" i="1"/>
  <c r="K802" i="1"/>
  <c r="K808" i="1"/>
  <c r="L808" i="1"/>
  <c r="L810" i="1"/>
  <c r="K810" i="1"/>
  <c r="K827" i="1"/>
  <c r="L827" i="1"/>
  <c r="L829" i="1"/>
  <c r="K829" i="1"/>
  <c r="L842" i="1"/>
  <c r="L841" i="1" s="1"/>
  <c r="C104" i="5" s="1"/>
  <c r="L846" i="1"/>
  <c r="K846" i="1"/>
  <c r="L853" i="1"/>
  <c r="K853" i="1"/>
  <c r="L867" i="1"/>
  <c r="K867" i="1"/>
  <c r="L902" i="1"/>
  <c r="K902" i="1" s="1"/>
  <c r="L920" i="1"/>
  <c r="K1021" i="1"/>
  <c r="L1021" i="1"/>
  <c r="K1042" i="1"/>
  <c r="L1042" i="1"/>
  <c r="L1062" i="1"/>
  <c r="K1062" i="1"/>
  <c r="K1075" i="1"/>
  <c r="L1075" i="1"/>
  <c r="L1093" i="1"/>
  <c r="K1093" i="1"/>
  <c r="L1095" i="1"/>
  <c r="K1095" i="1"/>
  <c r="K1101" i="1"/>
  <c r="L1101" i="1"/>
  <c r="L1103" i="1"/>
  <c r="K1103" i="1"/>
  <c r="L1120" i="1"/>
  <c r="K1120" i="1"/>
  <c r="L1122" i="1"/>
  <c r="K1122" i="1"/>
  <c r="L1136" i="1"/>
  <c r="L1140" i="1"/>
  <c r="K1140" i="1"/>
  <c r="L1147" i="1"/>
  <c r="K1147" i="1"/>
  <c r="L9" i="1"/>
  <c r="K9" i="1" s="1"/>
  <c r="L253" i="1"/>
  <c r="K296" i="1"/>
  <c r="L311" i="1"/>
  <c r="K311" i="1" s="1"/>
  <c r="L319" i="1"/>
  <c r="K323" i="1"/>
  <c r="K355" i="1"/>
  <c r="L909" i="1" l="1"/>
  <c r="C114" i="5" s="1"/>
  <c r="L551" i="1"/>
  <c r="L418" i="1"/>
  <c r="C57" i="5" s="1"/>
  <c r="L391" i="1"/>
  <c r="C55" i="5" s="1"/>
  <c r="L354" i="1"/>
  <c r="C51" i="5" s="1"/>
  <c r="K29" i="1"/>
  <c r="L445" i="1"/>
  <c r="C59" i="5" s="1"/>
  <c r="L981" i="1"/>
  <c r="K981" i="1" s="1"/>
  <c r="L483" i="1"/>
  <c r="K483" i="1" s="1"/>
  <c r="P41" i="1"/>
  <c r="P84" i="1"/>
  <c r="L542" i="1"/>
  <c r="K542" i="1" s="1"/>
  <c r="L287" i="1"/>
  <c r="K287" i="1" s="1"/>
  <c r="L724" i="1"/>
  <c r="K724" i="1" s="1"/>
  <c r="L266" i="1"/>
  <c r="K266" i="1" s="1"/>
  <c r="P372" i="1"/>
  <c r="J41" i="1"/>
  <c r="P121" i="1"/>
  <c r="L1115" i="1"/>
  <c r="K1115" i="1" s="1"/>
  <c r="L306" i="1"/>
  <c r="K306" i="1" s="1"/>
  <c r="L715" i="1"/>
  <c r="K715" i="1" s="1"/>
  <c r="L218" i="1"/>
  <c r="K218" i="1" s="1"/>
  <c r="L803" i="1"/>
  <c r="K803" i="1" s="1"/>
  <c r="L461" i="1"/>
  <c r="K461" i="1" s="1"/>
  <c r="P919" i="1"/>
  <c r="L921" i="1"/>
  <c r="K921" i="1" s="1"/>
  <c r="L843" i="1"/>
  <c r="K843" i="1" s="1"/>
  <c r="L513" i="1"/>
  <c r="K513" i="1" s="1"/>
  <c r="L464" i="1"/>
  <c r="K464" i="1" s="1"/>
  <c r="L404" i="1"/>
  <c r="O269" i="1"/>
  <c r="P153" i="1"/>
  <c r="P37" i="1"/>
  <c r="P269" i="1"/>
  <c r="P111" i="1"/>
  <c r="P6" i="1"/>
  <c r="P470" i="1"/>
  <c r="L1037" i="1"/>
  <c r="K1037" i="1" s="1"/>
  <c r="L1048" i="1"/>
  <c r="K1048" i="1" s="1"/>
  <c r="J738" i="1"/>
  <c r="O738" i="1" s="1"/>
  <c r="P643" i="1"/>
  <c r="P931" i="1"/>
  <c r="P647" i="1"/>
  <c r="J34" i="1"/>
  <c r="P35" i="1"/>
  <c r="P34" i="1" s="1"/>
  <c r="J164" i="1"/>
  <c r="P165" i="1"/>
  <c r="P164" i="1" s="1"/>
  <c r="J177" i="1"/>
  <c r="P178" i="1"/>
  <c r="P177" i="1" s="1"/>
  <c r="J622" i="1"/>
  <c r="P623" i="1"/>
  <c r="P622" i="1" s="1"/>
  <c r="J788" i="1"/>
  <c r="P789" i="1"/>
  <c r="P788" i="1" s="1"/>
  <c r="J816" i="1"/>
  <c r="P817" i="1"/>
  <c r="P816" i="1" s="1"/>
  <c r="J167" i="1"/>
  <c r="P168" i="1"/>
  <c r="P167" i="1" s="1"/>
  <c r="J181" i="1"/>
  <c r="P182" i="1"/>
  <c r="P181" i="1" s="1"/>
  <c r="P610" i="1"/>
  <c r="J791" i="1"/>
  <c r="P792" i="1"/>
  <c r="P791" i="1" s="1"/>
  <c r="J860" i="1"/>
  <c r="P861" i="1"/>
  <c r="P860" i="1" s="1"/>
  <c r="J1079" i="1"/>
  <c r="P1080" i="1"/>
  <c r="P1079" i="1" s="1"/>
  <c r="P923" i="1"/>
  <c r="P635" i="1"/>
  <c r="J170" i="1"/>
  <c r="P171" i="1"/>
  <c r="P170" i="1" s="1"/>
  <c r="J184" i="1"/>
  <c r="P185" i="1"/>
  <c r="P184" i="1" s="1"/>
  <c r="P652" i="1"/>
  <c r="J795" i="1"/>
  <c r="P796" i="1"/>
  <c r="P795" i="1" s="1"/>
  <c r="J906" i="1"/>
  <c r="P907" i="1"/>
  <c r="P906" i="1" s="1"/>
  <c r="P927" i="1"/>
  <c r="P936" i="1"/>
  <c r="J1082" i="1"/>
  <c r="P1083" i="1"/>
  <c r="P1082" i="1" s="1"/>
  <c r="J1154" i="1"/>
  <c r="P1155" i="1"/>
  <c r="P1154" i="1" s="1"/>
  <c r="J174" i="1"/>
  <c r="P175" i="1"/>
  <c r="P174" i="1" s="1"/>
  <c r="P639" i="1"/>
  <c r="J1087" i="1"/>
  <c r="P1088" i="1"/>
  <c r="P1087" i="1" s="1"/>
  <c r="J1109" i="1"/>
  <c r="P1110" i="1"/>
  <c r="P1109" i="1" s="1"/>
  <c r="P46" i="1"/>
  <c r="J188" i="1"/>
  <c r="P189" i="1"/>
  <c r="P188" i="1" s="1"/>
  <c r="J114" i="1"/>
  <c r="O114" i="1" s="1"/>
  <c r="L316" i="1"/>
  <c r="K316" i="1" s="1"/>
  <c r="L668" i="1"/>
  <c r="K668" i="1" s="1"/>
  <c r="L711" i="1"/>
  <c r="K711" i="1" s="1"/>
  <c r="L870" i="1"/>
  <c r="L106" i="1"/>
  <c r="K106" i="1" s="1"/>
  <c r="L780" i="1"/>
  <c r="K780" i="1" s="1"/>
  <c r="L1152" i="1"/>
  <c r="K1152" i="1" s="1"/>
  <c r="L336" i="1"/>
  <c r="K336" i="1" s="1"/>
  <c r="L590" i="1"/>
  <c r="K590" i="1" s="1"/>
  <c r="L503" i="1"/>
  <c r="K503" i="1" s="1"/>
  <c r="J954" i="1"/>
  <c r="O954" i="1" s="1"/>
  <c r="L136" i="1"/>
  <c r="K136" i="1" s="1"/>
  <c r="L692" i="1"/>
  <c r="K692" i="1" s="1"/>
  <c r="N853" i="1"/>
  <c r="N852" i="1" s="1"/>
  <c r="L8" i="1"/>
  <c r="K8" i="1" s="1"/>
  <c r="L626" i="1"/>
  <c r="L625" i="1" s="1"/>
  <c r="C74" i="5" s="1"/>
  <c r="L823" i="1"/>
  <c r="K823" i="1" s="1"/>
  <c r="L849" i="1"/>
  <c r="K849" i="1" s="1"/>
  <c r="L696" i="1"/>
  <c r="K696" i="1" s="1"/>
  <c r="L660" i="1"/>
  <c r="K660" i="1" s="1"/>
  <c r="L872" i="1"/>
  <c r="K872" i="1" s="1"/>
  <c r="L584" i="1"/>
  <c r="L1035" i="1"/>
  <c r="K1035" i="1" s="1"/>
  <c r="L1151" i="1"/>
  <c r="K1151" i="1" s="1"/>
  <c r="L649" i="1"/>
  <c r="K649" i="1" s="1"/>
  <c r="L541" i="1"/>
  <c r="K541" i="1" s="1"/>
  <c r="L995" i="1"/>
  <c r="K995" i="1" s="1"/>
  <c r="L812" i="1"/>
  <c r="K812" i="1" s="1"/>
  <c r="L435" i="1"/>
  <c r="K435" i="1" s="1"/>
  <c r="L298" i="1"/>
  <c r="K298" i="1" s="1"/>
  <c r="L1107" i="1"/>
  <c r="K1107" i="1" s="1"/>
  <c r="J971" i="1"/>
  <c r="O971" i="1" s="1"/>
  <c r="J1141" i="1"/>
  <c r="O1141" i="1" s="1"/>
  <c r="O1139" i="1" s="1"/>
  <c r="L963" i="1"/>
  <c r="K963" i="1" s="1"/>
  <c r="L769" i="1"/>
  <c r="K769" i="1" s="1"/>
  <c r="L743" i="1"/>
  <c r="K743" i="1" s="1"/>
  <c r="L759" i="1"/>
  <c r="K759" i="1" s="1"/>
  <c r="L1012" i="1"/>
  <c r="K1012" i="1" s="1"/>
  <c r="L764" i="1"/>
  <c r="K764" i="1" s="1"/>
  <c r="L12" i="1"/>
  <c r="K12" i="1" s="1"/>
  <c r="L1027" i="1"/>
  <c r="K1027" i="1" s="1"/>
  <c r="L939" i="1"/>
  <c r="K939" i="1" s="1"/>
  <c r="L847" i="1"/>
  <c r="K847" i="1" s="1"/>
  <c r="L779" i="1"/>
  <c r="K779" i="1" s="1"/>
  <c r="L989" i="1"/>
  <c r="L670" i="1"/>
  <c r="K670" i="1" s="1"/>
  <c r="L984" i="1"/>
  <c r="K984" i="1" s="1"/>
  <c r="L873" i="1"/>
  <c r="K873" i="1" s="1"/>
  <c r="L776" i="1"/>
  <c r="K776" i="1" s="1"/>
  <c r="L944" i="1"/>
  <c r="K944" i="1" s="1"/>
  <c r="J675" i="1"/>
  <c r="O675" i="1" s="1"/>
  <c r="L611" i="1"/>
  <c r="L980" i="1"/>
  <c r="K980" i="1" s="1"/>
  <c r="L775" i="1"/>
  <c r="K775" i="1" s="1"/>
  <c r="L321" i="1"/>
  <c r="K321" i="1" s="1"/>
  <c r="L15" i="1"/>
  <c r="K15" i="1" s="1"/>
  <c r="L774" i="1"/>
  <c r="K774" i="1" s="1"/>
  <c r="L754" i="1"/>
  <c r="K754" i="1" s="1"/>
  <c r="L733" i="1"/>
  <c r="K733" i="1" s="1"/>
  <c r="L1056" i="1"/>
  <c r="K1056" i="1" s="1"/>
  <c r="L838" i="1"/>
  <c r="K838" i="1" s="1"/>
  <c r="L875" i="1"/>
  <c r="K875" i="1" s="1"/>
  <c r="L938" i="1"/>
  <c r="K938" i="1" s="1"/>
  <c r="L748" i="1"/>
  <c r="K748" i="1" s="1"/>
  <c r="L728" i="1"/>
  <c r="K728" i="1" s="1"/>
  <c r="L640" i="1"/>
  <c r="K640" i="1" s="1"/>
  <c r="L1043" i="1"/>
  <c r="K1043" i="1" s="1"/>
  <c r="L617" i="1"/>
  <c r="L197" i="1"/>
  <c r="K197" i="1" s="1"/>
  <c r="L695" i="1"/>
  <c r="K695" i="1" s="1"/>
  <c r="L650" i="1"/>
  <c r="K650" i="1" s="1"/>
  <c r="L596" i="1"/>
  <c r="K596" i="1" s="1"/>
  <c r="L970" i="1"/>
  <c r="K970" i="1" s="1"/>
  <c r="L1014" i="1"/>
  <c r="K1014" i="1" s="1"/>
  <c r="L901" i="1"/>
  <c r="L858" i="1"/>
  <c r="K858" i="1" s="1"/>
  <c r="L387" i="1"/>
  <c r="K387" i="1" s="1"/>
  <c r="L195" i="1"/>
  <c r="K195" i="1" s="1"/>
  <c r="L158" i="1"/>
  <c r="K158" i="1" s="1"/>
  <c r="L898" i="1"/>
  <c r="K898" i="1" s="1"/>
  <c r="L896" i="1"/>
  <c r="K896" i="1" s="1"/>
  <c r="L577" i="1"/>
  <c r="K577" i="1" s="1"/>
  <c r="L568" i="1"/>
  <c r="K568" i="1" s="1"/>
  <c r="L654" i="1"/>
  <c r="K654" i="1" s="1"/>
  <c r="L576" i="1"/>
  <c r="K576" i="1" s="1"/>
  <c r="L411" i="1"/>
  <c r="K411" i="1" s="1"/>
  <c r="L202" i="1"/>
  <c r="K202" i="1" s="1"/>
  <c r="L974" i="1"/>
  <c r="K974" i="1" s="1"/>
  <c r="L644" i="1"/>
  <c r="K644" i="1" s="1"/>
  <c r="L491" i="1"/>
  <c r="K491" i="1" s="1"/>
  <c r="L661" i="1"/>
  <c r="K661" i="1" s="1"/>
  <c r="L597" i="1"/>
  <c r="K597" i="1" s="1"/>
  <c r="L112" i="1"/>
  <c r="L618" i="1"/>
  <c r="K618" i="1" s="1"/>
  <c r="L1126" i="1"/>
  <c r="K1126" i="1" s="1"/>
  <c r="L1058" i="1"/>
  <c r="K1058" i="1" s="1"/>
  <c r="L760" i="1"/>
  <c r="K760" i="1" s="1"/>
  <c r="L990" i="1"/>
  <c r="K990" i="1" s="1"/>
  <c r="L704" i="1"/>
  <c r="K704" i="1" s="1"/>
  <c r="L982" i="1"/>
  <c r="K982" i="1" s="1"/>
  <c r="L857" i="1"/>
  <c r="K857" i="1" s="1"/>
  <c r="L516" i="1"/>
  <c r="K516" i="1" s="1"/>
  <c r="L832" i="1"/>
  <c r="K832" i="1" s="1"/>
  <c r="L595" i="1"/>
  <c r="L1038" i="1"/>
  <c r="K1038" i="1" s="1"/>
  <c r="L975" i="1"/>
  <c r="K975" i="1" s="1"/>
  <c r="L946" i="1"/>
  <c r="K946" i="1" s="1"/>
  <c r="N233" i="1"/>
  <c r="N232" i="1" s="1"/>
  <c r="L204" i="1"/>
  <c r="K204" i="1" s="1"/>
  <c r="L1045" i="1"/>
  <c r="K1045" i="1" s="1"/>
  <c r="J697" i="1"/>
  <c r="O697" i="1" s="1"/>
  <c r="J59" i="1"/>
  <c r="P59" i="1" s="1"/>
  <c r="P58" i="1" s="1"/>
  <c r="L706" i="1"/>
  <c r="K706" i="1" s="1"/>
  <c r="J267" i="1"/>
  <c r="O267" i="1" s="1"/>
  <c r="L693" i="1"/>
  <c r="K693" i="1" s="1"/>
  <c r="J115" i="1"/>
  <c r="O115" i="1" s="1"/>
  <c r="J711" i="1"/>
  <c r="O711" i="1" s="1"/>
  <c r="J1001" i="1"/>
  <c r="O1001" i="1" s="1"/>
  <c r="L677" i="1"/>
  <c r="K677" i="1" s="1"/>
  <c r="L713" i="1"/>
  <c r="K713" i="1" s="1"/>
  <c r="L882" i="1"/>
  <c r="K882" i="1" s="1"/>
  <c r="L1034" i="1"/>
  <c r="K1034" i="1" s="1"/>
  <c r="L160" i="1"/>
  <c r="K160" i="1" s="1"/>
  <c r="J943" i="1"/>
  <c r="O943" i="1" s="1"/>
  <c r="L991" i="1"/>
  <c r="K991" i="1" s="1"/>
  <c r="L1106" i="1"/>
  <c r="K1106" i="1" s="1"/>
  <c r="L999" i="1"/>
  <c r="K999" i="1" s="1"/>
  <c r="L585" i="1"/>
  <c r="K585" i="1" s="1"/>
  <c r="L1001" i="1"/>
  <c r="K1001" i="1" s="1"/>
  <c r="L117" i="1"/>
  <c r="K117" i="1" s="1"/>
  <c r="L914" i="1"/>
  <c r="J1037" i="1"/>
  <c r="O1037" i="1" s="1"/>
  <c r="L412" i="1"/>
  <c r="K412" i="1" s="1"/>
  <c r="L363" i="1"/>
  <c r="K363" i="1" s="1"/>
  <c r="L331" i="1"/>
  <c r="L242" i="1"/>
  <c r="K242" i="1" s="1"/>
  <c r="J1044" i="1"/>
  <c r="O1044" i="1" s="1"/>
  <c r="J124" i="1"/>
  <c r="O124" i="1" s="1"/>
  <c r="L438" i="1"/>
  <c r="K438" i="1" s="1"/>
  <c r="L262" i="1"/>
  <c r="K262" i="1" s="1"/>
  <c r="L237" i="1"/>
  <c r="K237" i="1" s="1"/>
  <c r="J1048" i="1"/>
  <c r="O1048" i="1" s="1"/>
  <c r="J117" i="1"/>
  <c r="O117" i="1" s="1"/>
  <c r="J973" i="1"/>
  <c r="M973" i="1" s="1"/>
  <c r="M968" i="1" s="1"/>
  <c r="L979" i="1"/>
  <c r="K979" i="1" s="1"/>
  <c r="L1132" i="1"/>
  <c r="K1132" i="1" s="1"/>
  <c r="L388" i="1"/>
  <c r="K388" i="1" s="1"/>
  <c r="J494" i="1"/>
  <c r="O494" i="1" s="1"/>
  <c r="L702" i="1"/>
  <c r="K702" i="1" s="1"/>
  <c r="L993" i="1"/>
  <c r="K993" i="1" s="1"/>
  <c r="L915" i="1"/>
  <c r="K915" i="1" s="1"/>
  <c r="L122" i="1"/>
  <c r="L934" i="1"/>
  <c r="K934" i="1" s="1"/>
  <c r="L945" i="1"/>
  <c r="K945" i="1" s="1"/>
  <c r="L13" i="1"/>
  <c r="K13" i="1" s="1"/>
  <c r="L674" i="1"/>
  <c r="K674" i="1" s="1"/>
  <c r="L636" i="1"/>
  <c r="K636" i="1" s="1"/>
  <c r="L983" i="1"/>
  <c r="K983" i="1" s="1"/>
  <c r="L441" i="1"/>
  <c r="K441" i="1" s="1"/>
  <c r="J910" i="1"/>
  <c r="M910" i="1" s="1"/>
  <c r="M909" i="1" s="1"/>
  <c r="L113" i="1"/>
  <c r="K113" i="1" s="1"/>
  <c r="L972" i="1"/>
  <c r="K972" i="1" s="1"/>
  <c r="L1068" i="1"/>
  <c r="K1068" i="1" s="1"/>
  <c r="L994" i="1"/>
  <c r="K994" i="1" s="1"/>
  <c r="N1109" i="1"/>
  <c r="L18" i="1"/>
  <c r="L992" i="1"/>
  <c r="K992" i="1" s="1"/>
  <c r="L924" i="1"/>
  <c r="K924" i="1" s="1"/>
  <c r="L602" i="1"/>
  <c r="K602" i="1" s="1"/>
  <c r="L128" i="1"/>
  <c r="K128" i="1" s="1"/>
  <c r="L1059" i="1"/>
  <c r="K1059" i="1" s="1"/>
  <c r="L255" i="1"/>
  <c r="K255" i="1" s="1"/>
  <c r="L127" i="1"/>
  <c r="K127" i="1" s="1"/>
  <c r="L116" i="1"/>
  <c r="K116" i="1" s="1"/>
  <c r="L710" i="1"/>
  <c r="L570" i="1"/>
  <c r="K570" i="1" s="1"/>
  <c r="L498" i="1"/>
  <c r="L497" i="1" s="1"/>
  <c r="C63" i="5" s="1"/>
  <c r="L485" i="1"/>
  <c r="L443" i="1"/>
  <c r="K443" i="1" s="1"/>
  <c r="L369" i="1"/>
  <c r="K369" i="1" s="1"/>
  <c r="L194" i="1"/>
  <c r="L1105" i="1"/>
  <c r="K1105" i="1" s="1"/>
  <c r="L1049" i="1"/>
  <c r="K1049" i="1" s="1"/>
  <c r="L1003" i="1"/>
  <c r="K1003" i="1" s="1"/>
  <c r="L613" i="1"/>
  <c r="K613" i="1" s="1"/>
  <c r="L65" i="1"/>
  <c r="K65" i="1" s="1"/>
  <c r="K1096" i="1"/>
  <c r="L1092" i="1"/>
  <c r="C138" i="5" s="1"/>
  <c r="L1015" i="1"/>
  <c r="K1015" i="1" s="1"/>
  <c r="L879" i="1"/>
  <c r="K879" i="1" s="1"/>
  <c r="L876" i="1"/>
  <c r="K876" i="1" s="1"/>
  <c r="M816" i="1"/>
  <c r="L228" i="1"/>
  <c r="K228" i="1" s="1"/>
  <c r="L603" i="1"/>
  <c r="K603" i="1" s="1"/>
  <c r="L524" i="1"/>
  <c r="K524" i="1" s="1"/>
  <c r="L381" i="1"/>
  <c r="K381" i="1" s="1"/>
  <c r="J959" i="1"/>
  <c r="O959" i="1" s="1"/>
  <c r="L928" i="1"/>
  <c r="K928" i="1" s="1"/>
  <c r="L38" i="1"/>
  <c r="L37" i="1" s="1"/>
  <c r="C9" i="5" s="1"/>
  <c r="L11" i="1"/>
  <c r="K11" i="1" s="1"/>
  <c r="L1116" i="1"/>
  <c r="K1116" i="1" s="1"/>
  <c r="L969" i="1"/>
  <c r="L871" i="1"/>
  <c r="K871" i="1" s="1"/>
  <c r="L263" i="1"/>
  <c r="K263" i="1" s="1"/>
  <c r="L494" i="1"/>
  <c r="K494" i="1" s="1"/>
  <c r="L389" i="1"/>
  <c r="K389" i="1" s="1"/>
  <c r="L1017" i="1"/>
  <c r="K1017" i="1" s="1"/>
  <c r="J1068" i="1"/>
  <c r="O1068" i="1" s="1"/>
  <c r="L881" i="1"/>
  <c r="K881" i="1" s="1"/>
  <c r="L673" i="1"/>
  <c r="J963" i="1"/>
  <c r="M963" i="1" s="1"/>
  <c r="J729" i="1"/>
  <c r="O729" i="1" s="1"/>
  <c r="J980" i="1"/>
  <c r="O980" i="1" s="1"/>
  <c r="J776" i="1"/>
  <c r="O776" i="1" s="1"/>
  <c r="J756" i="1"/>
  <c r="O756" i="1" s="1"/>
  <c r="J81" i="1"/>
  <c r="O81" i="1" s="1"/>
  <c r="L1064" i="1"/>
  <c r="K1064" i="1" s="1"/>
  <c r="L1013" i="1"/>
  <c r="K1013" i="1" s="1"/>
  <c r="J896" i="1"/>
  <c r="M896" i="1" s="1"/>
  <c r="M894" i="1" s="1"/>
  <c r="L1004" i="1"/>
  <c r="K1004" i="1" s="1"/>
  <c r="J1058" i="1"/>
  <c r="O1058" i="1" s="1"/>
  <c r="L1023" i="1"/>
  <c r="K1023" i="1" s="1"/>
  <c r="L219" i="1"/>
  <c r="K219" i="1" s="1"/>
  <c r="L632" i="1"/>
  <c r="K632" i="1" s="1"/>
  <c r="L814" i="1"/>
  <c r="K814" i="1" s="1"/>
  <c r="J1045" i="1"/>
  <c r="O1045" i="1" s="1"/>
  <c r="J702" i="1"/>
  <c r="O702" i="1" s="1"/>
  <c r="L1025" i="1"/>
  <c r="K1025" i="1" s="1"/>
  <c r="L744" i="1"/>
  <c r="K744" i="1" s="1"/>
  <c r="J548" i="1"/>
  <c r="O548" i="1" s="1"/>
  <c r="J106" i="1"/>
  <c r="O106" i="1" s="1"/>
  <c r="O103" i="1" s="1"/>
  <c r="J100" i="1"/>
  <c r="M100" i="1" s="1"/>
  <c r="J316" i="1"/>
  <c r="P316" i="1" s="1"/>
  <c r="P302" i="1" s="1"/>
  <c r="L767" i="1"/>
  <c r="K767" i="1" s="1"/>
  <c r="L385" i="1"/>
  <c r="K385" i="1" s="1"/>
  <c r="L954" i="1"/>
  <c r="K954" i="1" s="1"/>
  <c r="L337" i="1"/>
  <c r="K337" i="1" s="1"/>
  <c r="J972" i="1"/>
  <c r="O972" i="1" s="1"/>
  <c r="J956" i="1"/>
  <c r="M956" i="1" s="1"/>
  <c r="J993" i="1"/>
  <c r="M993" i="1" s="1"/>
  <c r="M988" i="1" s="1"/>
  <c r="J872" i="1"/>
  <c r="O872" i="1" s="1"/>
  <c r="L735" i="1"/>
  <c r="K735" i="1" s="1"/>
  <c r="J749" i="1"/>
  <c r="O749" i="1" s="1"/>
  <c r="J113" i="1"/>
  <c r="O113" i="1" s="1"/>
  <c r="L686" i="1"/>
  <c r="K686" i="1" s="1"/>
  <c r="L161" i="1"/>
  <c r="K161" i="1" s="1"/>
  <c r="L653" i="1"/>
  <c r="K653" i="1" s="1"/>
  <c r="H897" i="1"/>
  <c r="J684" i="1"/>
  <c r="O684" i="1" s="1"/>
  <c r="J98" i="1"/>
  <c r="O98" i="1" s="1"/>
  <c r="L1135" i="1"/>
  <c r="C144" i="5" s="1"/>
  <c r="J457" i="1"/>
  <c r="O457" i="1" s="1"/>
  <c r="L281" i="1"/>
  <c r="K281" i="1" s="1"/>
  <c r="L100" i="1"/>
  <c r="K100" i="1" s="1"/>
  <c r="J693" i="1"/>
  <c r="O693" i="1" s="1"/>
  <c r="L1000" i="1"/>
  <c r="K1000" i="1" s="1"/>
  <c r="L88" i="1"/>
  <c r="K88" i="1" s="1"/>
  <c r="L312" i="1"/>
  <c r="K312" i="1" s="1"/>
  <c r="L382" i="1"/>
  <c r="K382" i="1" s="1"/>
  <c r="L514" i="1"/>
  <c r="J338" i="1"/>
  <c r="O338" i="1" s="1"/>
  <c r="J523" i="1"/>
  <c r="O523" i="1" s="1"/>
  <c r="L1033" i="1"/>
  <c r="K1033" i="1" s="1"/>
  <c r="H878" i="1"/>
  <c r="J878" i="1" s="1"/>
  <c r="O878" i="1" s="1"/>
  <c r="K78" i="1"/>
  <c r="K86" i="1"/>
  <c r="H343" i="1"/>
  <c r="J343" i="1" s="1"/>
  <c r="N343" i="1" s="1"/>
  <c r="L342" i="1"/>
  <c r="K342" i="1" s="1"/>
  <c r="K431" i="1"/>
  <c r="J677" i="1"/>
  <c r="M677" i="1" s="1"/>
  <c r="M672" i="1" s="1"/>
  <c r="J713" i="1"/>
  <c r="O713" i="1" s="1"/>
  <c r="L108" i="1"/>
  <c r="K108" i="1" s="1"/>
  <c r="N366" i="1"/>
  <c r="L332" i="1"/>
  <c r="K332" i="1" s="1"/>
  <c r="L1024" i="1"/>
  <c r="K1024" i="1" s="1"/>
  <c r="L813" i="1"/>
  <c r="K813" i="1" s="1"/>
  <c r="L415" i="1"/>
  <c r="K415" i="1" s="1"/>
  <c r="J196" i="1"/>
  <c r="O196" i="1" s="1"/>
  <c r="L147" i="1"/>
  <c r="K147" i="1" s="1"/>
  <c r="L137" i="1"/>
  <c r="K137" i="1" s="1"/>
  <c r="L307" i="1"/>
  <c r="K307" i="1" s="1"/>
  <c r="L1063" i="1"/>
  <c r="K1063" i="1" s="1"/>
  <c r="L305" i="1"/>
  <c r="O635" i="1"/>
  <c r="N1147" i="1"/>
  <c r="N1146" i="1" s="1"/>
  <c r="L1066" i="1"/>
  <c r="K1066" i="1" s="1"/>
  <c r="L1044" i="1"/>
  <c r="K1044" i="1" s="1"/>
  <c r="L196" i="1"/>
  <c r="K196" i="1" s="1"/>
  <c r="L96" i="1"/>
  <c r="G325" i="1"/>
  <c r="J277" i="1"/>
  <c r="N277" i="1" s="1"/>
  <c r="J585" i="1"/>
  <c r="J583" i="1" s="1"/>
  <c r="J866" i="1"/>
  <c r="N866" i="1" s="1"/>
  <c r="N864" i="1" s="1"/>
  <c r="L784" i="1"/>
  <c r="L783" i="1" s="1"/>
  <c r="C94" i="5" s="1"/>
  <c r="L669" i="1"/>
  <c r="K669" i="1" s="1"/>
  <c r="L458" i="1"/>
  <c r="L272" i="1"/>
  <c r="K272" i="1" s="1"/>
  <c r="L98" i="1"/>
  <c r="K98" i="1" s="1"/>
  <c r="O643" i="1"/>
  <c r="L591" i="1"/>
  <c r="K591" i="1" s="1"/>
  <c r="L956" i="1"/>
  <c r="K956" i="1" s="1"/>
  <c r="L460" i="1"/>
  <c r="K460" i="1" s="1"/>
  <c r="L630" i="1"/>
  <c r="L629" i="1" s="1"/>
  <c r="C75" i="5" s="1"/>
  <c r="J86" i="1"/>
  <c r="O86" i="1" s="1"/>
  <c r="L30" i="1"/>
  <c r="K30" i="1" s="1"/>
  <c r="L756" i="1"/>
  <c r="K756" i="1" s="1"/>
  <c r="L1074" i="1"/>
  <c r="L1073" i="1" s="1"/>
  <c r="C134" i="5" s="1"/>
  <c r="L1143" i="1"/>
  <c r="K1143" i="1" s="1"/>
  <c r="L456" i="1"/>
  <c r="K456" i="1" s="1"/>
  <c r="L285" i="1"/>
  <c r="K285" i="1" s="1"/>
  <c r="J746" i="1"/>
  <c r="M746" i="1" s="1"/>
  <c r="J670" i="1"/>
  <c r="M670" i="1" s="1"/>
  <c r="M665" i="1" s="1"/>
  <c r="L256" i="1"/>
  <c r="K256" i="1" s="1"/>
  <c r="J108" i="1"/>
  <c r="M108" i="1" s="1"/>
  <c r="L932" i="1"/>
  <c r="K932" i="1" s="1"/>
  <c r="L414" i="1"/>
  <c r="K414" i="1" s="1"/>
  <c r="L466" i="1"/>
  <c r="K466" i="1" s="1"/>
  <c r="L463" i="1"/>
  <c r="K463" i="1" s="1"/>
  <c r="L416" i="1"/>
  <c r="K416" i="1" s="1"/>
  <c r="L282" i="1"/>
  <c r="L79" i="1"/>
  <c r="K79" i="1" s="1"/>
  <c r="J136" i="1"/>
  <c r="O136" i="1" s="1"/>
  <c r="L512" i="1"/>
  <c r="K512" i="1" s="1"/>
  <c r="L238" i="1"/>
  <c r="K238" i="1" s="1"/>
  <c r="L155" i="1"/>
  <c r="K155" i="1" s="1"/>
  <c r="J596" i="1"/>
  <c r="O596" i="1" s="1"/>
  <c r="L467" i="1"/>
  <c r="K467" i="1" s="1"/>
  <c r="M639" i="1"/>
  <c r="L229" i="1"/>
  <c r="K229" i="1" s="1"/>
  <c r="J526" i="1"/>
  <c r="O526" i="1"/>
  <c r="O885" i="1"/>
  <c r="L138" i="1"/>
  <c r="K138" i="1" s="1"/>
  <c r="L714" i="1"/>
  <c r="K714" i="1" s="1"/>
  <c r="L291" i="1"/>
  <c r="K291" i="1" s="1"/>
  <c r="L118" i="1"/>
  <c r="K118" i="1" s="1"/>
  <c r="L734" i="1"/>
  <c r="K734" i="1" s="1"/>
  <c r="L537" i="1"/>
  <c r="K537" i="1" s="1"/>
  <c r="L211" i="1"/>
  <c r="K211" i="1" s="1"/>
  <c r="L227" i="1"/>
  <c r="K227" i="1" s="1"/>
  <c r="L487" i="1"/>
  <c r="K487" i="1" s="1"/>
  <c r="L201" i="1"/>
  <c r="J337" i="1"/>
  <c r="M337" i="1" s="1"/>
  <c r="H325" i="1"/>
  <c r="H324" i="1"/>
  <c r="J332" i="1"/>
  <c r="O332" i="1" s="1"/>
  <c r="J291" i="1"/>
  <c r="O291" i="1" s="1"/>
  <c r="J323" i="1"/>
  <c r="N323" i="1" s="1"/>
  <c r="L124" i="1"/>
  <c r="K124" i="1" s="1"/>
  <c r="L777" i="1"/>
  <c r="K777" i="1" s="1"/>
  <c r="L705" i="1"/>
  <c r="K705" i="1" s="1"/>
  <c r="J118" i="1"/>
  <c r="O118" i="1" s="1"/>
  <c r="H326" i="1"/>
  <c r="J326" i="1" s="1"/>
  <c r="O326" i="1" s="1"/>
  <c r="J123" i="1"/>
  <c r="O123" i="1" s="1"/>
  <c r="M43" i="1"/>
  <c r="M41" i="1" s="1"/>
  <c r="L736" i="1"/>
  <c r="K736" i="1" s="1"/>
  <c r="L548" i="1"/>
  <c r="K548" i="1" s="1"/>
  <c r="L522" i="1"/>
  <c r="K522" i="1" s="1"/>
  <c r="L960" i="1"/>
  <c r="K960" i="1" s="1"/>
  <c r="L947" i="1"/>
  <c r="K947" i="1" s="1"/>
  <c r="L288" i="1"/>
  <c r="K288" i="1" s="1"/>
  <c r="J1034" i="1"/>
  <c r="O1034" i="1" s="1"/>
  <c r="J1054" i="1"/>
  <c r="O1054" i="1" s="1"/>
  <c r="J442" i="1"/>
  <c r="O442" i="1" s="1"/>
  <c r="O1345" i="1"/>
  <c r="Q1346" i="1"/>
  <c r="P1354" i="1"/>
  <c r="Q1355" i="1"/>
  <c r="Q1354" i="1" s="1"/>
  <c r="P1351" i="1"/>
  <c r="Q1352" i="1"/>
  <c r="Q1351" i="1" s="1"/>
  <c r="O1348" i="1"/>
  <c r="Q1349" i="1"/>
  <c r="Q1348" i="1" s="1"/>
  <c r="Q1334" i="1"/>
  <c r="Q1333" i="1" s="1"/>
  <c r="M1333" i="1"/>
  <c r="P1342" i="1"/>
  <c r="Q1343" i="1"/>
  <c r="Q1342" i="1" s="1"/>
  <c r="O1339" i="1"/>
  <c r="Q1340" i="1"/>
  <c r="Q1337" i="1"/>
  <c r="Q1336" i="1" s="1"/>
  <c r="M1336" i="1"/>
  <c r="L475" i="1"/>
  <c r="K475" i="1" s="1"/>
  <c r="L101" i="1"/>
  <c r="K101" i="1" s="1"/>
  <c r="L566" i="1"/>
  <c r="K566" i="1" s="1"/>
  <c r="J125" i="1"/>
  <c r="O125" i="1" s="1"/>
  <c r="L126" i="1"/>
  <c r="K126" i="1" s="1"/>
  <c r="L115" i="1"/>
  <c r="K115" i="1" s="1"/>
  <c r="L442" i="1"/>
  <c r="K442" i="1" s="1"/>
  <c r="L523" i="1"/>
  <c r="K523" i="1" s="1"/>
  <c r="J445" i="1"/>
  <c r="J566" i="1"/>
  <c r="O566" i="1" s="1"/>
  <c r="L998" i="1"/>
  <c r="L495" i="1"/>
  <c r="K495" i="1" s="1"/>
  <c r="L493" i="1"/>
  <c r="K493" i="1" s="1"/>
  <c r="L125" i="1"/>
  <c r="K125" i="1" s="1"/>
  <c r="L746" i="1"/>
  <c r="K746" i="1" s="1"/>
  <c r="L259" i="1"/>
  <c r="K259" i="1" s="1"/>
  <c r="J1064" i="1"/>
  <c r="O1064" i="1" s="1"/>
  <c r="J368" i="1"/>
  <c r="O368" i="1" s="1"/>
  <c r="J1023" i="1"/>
  <c r="O1023" i="1" s="1"/>
  <c r="J1013" i="1"/>
  <c r="O1013" i="1" s="1"/>
  <c r="J668" i="1"/>
  <c r="J685" i="1"/>
  <c r="O685" i="1" s="1"/>
  <c r="J923" i="1"/>
  <c r="J88" i="1"/>
  <c r="O88" i="1" s="1"/>
  <c r="J999" i="1"/>
  <c r="O999" i="1" s="1"/>
  <c r="L684" i="1"/>
  <c r="K684" i="1" s="1"/>
  <c r="J688" i="1"/>
  <c r="O688" i="1" s="1"/>
  <c r="J229" i="1"/>
  <c r="O229" i="1" s="1"/>
  <c r="L156" i="1"/>
  <c r="K156" i="1" s="1"/>
  <c r="J579" i="1"/>
  <c r="L1046" i="1"/>
  <c r="K1046" i="1" s="1"/>
  <c r="L114" i="1"/>
  <c r="K114" i="1" s="1"/>
  <c r="N580" i="1"/>
  <c r="N579" i="1" s="1"/>
  <c r="L265" i="1"/>
  <c r="K265" i="1" s="1"/>
  <c r="J245" i="1"/>
  <c r="J335" i="1"/>
  <c r="N335" i="1" s="1"/>
  <c r="J74" i="1"/>
  <c r="P74" i="1" s="1"/>
  <c r="P72" i="1" s="1"/>
  <c r="L701" i="1"/>
  <c r="J1024" i="1"/>
  <c r="O1024" i="1" s="1"/>
  <c r="J46" i="1"/>
  <c r="J72" i="1"/>
  <c r="J706" i="1"/>
  <c r="O706" i="1" s="1"/>
  <c r="J379" i="1"/>
  <c r="M379" i="1" s="1"/>
  <c r="M643" i="1"/>
  <c r="J141" i="1"/>
  <c r="O141" i="1" s="1"/>
  <c r="J1014" i="1"/>
  <c r="O1014" i="1" s="1"/>
  <c r="J20" i="1"/>
  <c r="O20" i="1" s="1"/>
  <c r="H19" i="1"/>
  <c r="J19" i="1" s="1"/>
  <c r="O19" i="1" s="1"/>
  <c r="L707" i="1"/>
  <c r="K707" i="1" s="1"/>
  <c r="M1073" i="1"/>
  <c r="O639" i="1"/>
  <c r="J984" i="1"/>
  <c r="O984" i="1" s="1"/>
  <c r="J51" i="1"/>
  <c r="P51" i="1" s="1"/>
  <c r="P50" i="1" s="1"/>
  <c r="M1109" i="1"/>
  <c r="L688" i="1"/>
  <c r="K688" i="1" s="1"/>
  <c r="J127" i="1"/>
  <c r="O127" i="1" s="1"/>
  <c r="N526" i="1"/>
  <c r="L457" i="1"/>
  <c r="K457" i="1" s="1"/>
  <c r="L280" i="1"/>
  <c r="K280" i="1" s="1"/>
  <c r="L140" i="1"/>
  <c r="K140" i="1" s="1"/>
  <c r="L1028" i="1"/>
  <c r="K1028" i="1" s="1"/>
  <c r="J725" i="1"/>
  <c r="O725" i="1" s="1"/>
  <c r="J219" i="1"/>
  <c r="M219" i="1" s="1"/>
  <c r="J69" i="1"/>
  <c r="P69" i="1" s="1"/>
  <c r="P67" i="1" s="1"/>
  <c r="L549" i="1"/>
  <c r="K549" i="1" s="1"/>
  <c r="L267" i="1"/>
  <c r="K267" i="1" s="1"/>
  <c r="L547" i="1"/>
  <c r="K547" i="1" s="1"/>
  <c r="J567" i="1"/>
  <c r="O567" i="1" s="1"/>
  <c r="J1065" i="1"/>
  <c r="O1065" i="1" s="1"/>
  <c r="J780" i="1"/>
  <c r="O780" i="1" s="1"/>
  <c r="J755" i="1"/>
  <c r="O755" i="1" s="1"/>
  <c r="J64" i="1"/>
  <c r="P64" i="1" s="1"/>
  <c r="P62" i="1" s="1"/>
  <c r="J484" i="1"/>
  <c r="O484" i="1" s="1"/>
  <c r="O909" i="1"/>
  <c r="J56" i="1"/>
  <c r="P56" i="1" s="1"/>
  <c r="P54" i="1" s="1"/>
  <c r="J281" i="1"/>
  <c r="O281" i="1" s="1"/>
  <c r="M885" i="1"/>
  <c r="J514" i="1"/>
  <c r="M514" i="1" s="1"/>
  <c r="J467" i="1"/>
  <c r="O467" i="1" s="1"/>
  <c r="J415" i="1"/>
  <c r="O415" i="1" s="1"/>
  <c r="J388" i="1"/>
  <c r="O388" i="1" s="1"/>
  <c r="J256" i="1"/>
  <c r="O256" i="1" s="1"/>
  <c r="K51" i="1"/>
  <c r="J87" i="1"/>
  <c r="O87" i="1" s="1"/>
  <c r="J221" i="1"/>
  <c r="J616" i="1"/>
  <c r="J101" i="1"/>
  <c r="O101" i="1" s="1"/>
  <c r="L749" i="1"/>
  <c r="K749" i="1" s="1"/>
  <c r="J89" i="1"/>
  <c r="M89" i="1" s="1"/>
  <c r="M84" i="1" s="1"/>
  <c r="J766" i="1"/>
  <c r="O766" i="1" s="1"/>
  <c r="J97" i="1"/>
  <c r="O97" i="1" s="1"/>
  <c r="H378" i="1"/>
  <c r="J378" i="1" s="1"/>
  <c r="O378" i="1" s="1"/>
  <c r="J79" i="1"/>
  <c r="O79" i="1" s="1"/>
  <c r="J37" i="1"/>
  <c r="M38" i="1"/>
  <c r="J436" i="1"/>
  <c r="O436" i="1" s="1"/>
  <c r="L141" i="1"/>
  <c r="K141" i="1" s="1"/>
  <c r="L601" i="1"/>
  <c r="K601" i="1" s="1"/>
  <c r="L364" i="1"/>
  <c r="K364" i="1" s="1"/>
  <c r="L703" i="1"/>
  <c r="K703" i="1" s="1"/>
  <c r="L712" i="1"/>
  <c r="K712" i="1" s="1"/>
  <c r="L848" i="1"/>
  <c r="K848" i="1" s="1"/>
  <c r="J919" i="1"/>
  <c r="L1002" i="1"/>
  <c r="K1002" i="1" s="1"/>
  <c r="J1135" i="1"/>
  <c r="L739" i="1"/>
  <c r="K739" i="1" s="1"/>
  <c r="L755" i="1"/>
  <c r="K755" i="1" s="1"/>
  <c r="L1018" i="1"/>
  <c r="K1018" i="1" s="1"/>
  <c r="J1055" i="1"/>
  <c r="O1055" i="1" s="1"/>
  <c r="L157" i="1"/>
  <c r="K157" i="1" s="1"/>
  <c r="L341" i="1"/>
  <c r="K341" i="1" s="1"/>
  <c r="L145" i="1"/>
  <c r="K145" i="1" s="1"/>
  <c r="L725" i="1"/>
  <c r="K725" i="1" s="1"/>
  <c r="L723" i="1"/>
  <c r="K723" i="1" s="1"/>
  <c r="L716" i="1"/>
  <c r="K716" i="1" s="1"/>
  <c r="L614" i="1"/>
  <c r="K614" i="1" s="1"/>
  <c r="M526" i="1"/>
  <c r="L1069" i="1"/>
  <c r="K1069" i="1" s="1"/>
  <c r="L1055" i="1"/>
  <c r="K1055" i="1" s="1"/>
  <c r="L682" i="1"/>
  <c r="L675" i="1"/>
  <c r="K675" i="1" s="1"/>
  <c r="L544" i="1"/>
  <c r="K544" i="1" s="1"/>
  <c r="L379" i="1"/>
  <c r="K379" i="1" s="1"/>
  <c r="J635" i="1"/>
  <c r="J157" i="1"/>
  <c r="O157" i="1" s="1"/>
  <c r="J739" i="1"/>
  <c r="O739" i="1" s="1"/>
  <c r="J377" i="1"/>
  <c r="O377" i="1" s="1"/>
  <c r="L766" i="1"/>
  <c r="K766" i="1" s="1"/>
  <c r="L1022" i="1"/>
  <c r="K1022" i="1" s="1"/>
  <c r="L1053" i="1"/>
  <c r="K1053" i="1" s="1"/>
  <c r="L745" i="1"/>
  <c r="K745" i="1" s="1"/>
  <c r="L1065" i="1"/>
  <c r="K1065" i="1" s="1"/>
  <c r="O22" i="1"/>
  <c r="L1054" i="1"/>
  <c r="K1054" i="1" s="1"/>
  <c r="L973" i="1"/>
  <c r="K973" i="1" s="1"/>
  <c r="L971" i="1"/>
  <c r="K971" i="1" s="1"/>
  <c r="L292" i="1"/>
  <c r="K292" i="1" s="1"/>
  <c r="L284" i="1"/>
  <c r="K284" i="1" s="1"/>
  <c r="L757" i="1"/>
  <c r="K757" i="1" s="1"/>
  <c r="L697" i="1"/>
  <c r="K697" i="1" s="1"/>
  <c r="N643" i="1"/>
  <c r="L545" i="1"/>
  <c r="K545" i="1" s="1"/>
  <c r="L519" i="1"/>
  <c r="K519" i="1" s="1"/>
  <c r="L488" i="1"/>
  <c r="K488" i="1" s="1"/>
  <c r="L338" i="1"/>
  <c r="K338" i="1" s="1"/>
  <c r="L571" i="1"/>
  <c r="K571" i="1" s="1"/>
  <c r="L490" i="1"/>
  <c r="K490" i="1" s="1"/>
  <c r="L439" i="1"/>
  <c r="K439" i="1" s="1"/>
  <c r="L377" i="1"/>
  <c r="L372" i="1" s="1"/>
  <c r="C54" i="5" s="1"/>
  <c r="J841" i="1"/>
  <c r="J765" i="1"/>
  <c r="O765" i="1" s="1"/>
  <c r="J1018" i="1"/>
  <c r="O1018" i="1" s="1"/>
  <c r="L1032" i="1"/>
  <c r="K1032" i="1" s="1"/>
  <c r="L685" i="1"/>
  <c r="K685" i="1" s="1"/>
  <c r="L565" i="1"/>
  <c r="L955" i="1"/>
  <c r="K955" i="1" s="1"/>
  <c r="O1137" i="1"/>
  <c r="O1135" i="1" s="1"/>
  <c r="L384" i="1"/>
  <c r="K384" i="1" s="1"/>
  <c r="L257" i="1"/>
  <c r="L250" i="1" s="1"/>
  <c r="C45" i="5" s="1"/>
  <c r="L105" i="1"/>
  <c r="L103" i="1" s="1"/>
  <c r="C21" i="5" s="1"/>
  <c r="M635" i="1"/>
  <c r="L260" i="1"/>
  <c r="K260" i="1" s="1"/>
  <c r="L203" i="1"/>
  <c r="K203" i="1" s="1"/>
  <c r="L517" i="1"/>
  <c r="K517" i="1" s="1"/>
  <c r="L408" i="1"/>
  <c r="K408" i="1" s="1"/>
  <c r="J1033" i="1"/>
  <c r="O1033" i="1" s="1"/>
  <c r="J364" i="1"/>
  <c r="J361" i="1" s="1"/>
  <c r="J813" i="1"/>
  <c r="O813" i="1" s="1"/>
  <c r="J307" i="1"/>
  <c r="M307" i="1" s="1"/>
  <c r="H320" i="1"/>
  <c r="J944" i="1"/>
  <c r="O944" i="1" s="1"/>
  <c r="J146" i="1"/>
  <c r="O146" i="1" s="1"/>
  <c r="J712" i="1"/>
  <c r="O712" i="1" s="1"/>
  <c r="J544" i="1"/>
  <c r="O544" i="1" s="1"/>
  <c r="J483" i="1"/>
  <c r="O483" i="1" s="1"/>
  <c r="J838" i="1"/>
  <c r="J836" i="1" s="1"/>
  <c r="O255" i="1"/>
  <c r="J643" i="1"/>
  <c r="O404" i="1"/>
  <c r="J319" i="1"/>
  <c r="N319" i="1" s="1"/>
  <c r="J1002" i="1"/>
  <c r="M1002" i="1" s="1"/>
  <c r="J1106" i="1"/>
  <c r="O1106" i="1" s="1"/>
  <c r="O1100" i="1" s="1"/>
  <c r="J1142" i="1"/>
  <c r="J683" i="1"/>
  <c r="O683" i="1" s="1"/>
  <c r="H406" i="1"/>
  <c r="H405" i="1"/>
  <c r="J280" i="1"/>
  <c r="M588" i="1"/>
  <c r="J961" i="1"/>
  <c r="O961" i="1" s="1"/>
  <c r="H433" i="1"/>
  <c r="H432" i="1"/>
  <c r="J431" i="1"/>
  <c r="J456" i="1"/>
  <c r="N509" i="1"/>
  <c r="J512" i="1"/>
  <c r="O512" i="1" s="1"/>
  <c r="N374" i="1"/>
  <c r="N372" i="1" s="1"/>
  <c r="J350" i="1"/>
  <c r="O350" i="1" s="1"/>
  <c r="J692" i="1"/>
  <c r="O692" i="1" s="1"/>
  <c r="J981" i="1"/>
  <c r="O981" i="1" s="1"/>
  <c r="J18" i="1"/>
  <c r="O18" i="1" s="1"/>
  <c r="J991" i="1"/>
  <c r="O991" i="1" s="1"/>
  <c r="J707" i="1"/>
  <c r="O707" i="1" s="1"/>
  <c r="J979" i="1"/>
  <c r="O979" i="1" s="1"/>
  <c r="J418" i="1"/>
  <c r="N419" i="1"/>
  <c r="N418" i="1" s="1"/>
  <c r="J629" i="1"/>
  <c r="M630" i="1"/>
  <c r="M629" i="1" s="1"/>
  <c r="J639" i="1"/>
  <c r="J927" i="1"/>
  <c r="J1118" i="1"/>
  <c r="N1121" i="1"/>
  <c r="N1118" i="1" s="1"/>
  <c r="J625" i="1"/>
  <c r="M626" i="1"/>
  <c r="M625" i="1" s="1"/>
  <c r="J913" i="1"/>
  <c r="M914" i="1"/>
  <c r="M913" i="1" s="1"/>
  <c r="J601" i="1"/>
  <c r="O601" i="1" s="1"/>
  <c r="J703" i="1"/>
  <c r="O703" i="1" s="1"/>
  <c r="J873" i="1"/>
  <c r="M873" i="1" s="1"/>
  <c r="J994" i="1"/>
  <c r="O994" i="1" s="1"/>
  <c r="J148" i="1"/>
  <c r="M148" i="1" s="1"/>
  <c r="M143" i="1" s="1"/>
  <c r="J694" i="1"/>
  <c r="O694" i="1" s="1"/>
  <c r="J714" i="1"/>
  <c r="M714" i="1" s="1"/>
  <c r="M709" i="1" s="1"/>
  <c r="J882" i="1"/>
  <c r="O882" i="1" s="1"/>
  <c r="J1000" i="1"/>
  <c r="J686" i="1"/>
  <c r="M686" i="1" s="1"/>
  <c r="J936" i="1"/>
  <c r="H539" i="1"/>
  <c r="H538" i="1"/>
  <c r="L31" i="1"/>
  <c r="K31" i="1" s="1"/>
  <c r="J678" i="1"/>
  <c r="O678" i="1" s="1"/>
  <c r="J964" i="1"/>
  <c r="O964" i="1" s="1"/>
  <c r="J1149" i="1"/>
  <c r="M1152" i="1"/>
  <c r="L1142" i="1"/>
  <c r="K1142" i="1" s="1"/>
  <c r="J1132" i="1"/>
  <c r="J1130" i="1" s="1"/>
  <c r="M1116" i="1"/>
  <c r="J1113" i="1"/>
  <c r="M1107" i="1"/>
  <c r="M1100" i="1" s="1"/>
  <c r="J1073" i="1"/>
  <c r="O1074" i="1"/>
  <c r="O1073" i="1" s="1"/>
  <c r="O990" i="1"/>
  <c r="J970" i="1"/>
  <c r="O960" i="1"/>
  <c r="O955" i="1"/>
  <c r="J931" i="1"/>
  <c r="J900" i="1"/>
  <c r="M901" i="1"/>
  <c r="M900" i="1" s="1"/>
  <c r="J885" i="1"/>
  <c r="N886" i="1"/>
  <c r="N885" i="1" s="1"/>
  <c r="J855" i="1"/>
  <c r="J848" i="1"/>
  <c r="M848" i="1" s="1"/>
  <c r="J825" i="1"/>
  <c r="N827" i="1"/>
  <c r="N825" i="1" s="1"/>
  <c r="J820" i="1"/>
  <c r="M823" i="1"/>
  <c r="M820" i="1" s="1"/>
  <c r="N800" i="1"/>
  <c r="N799" i="1" s="1"/>
  <c r="J799" i="1"/>
  <c r="O784" i="1"/>
  <c r="J783" i="1"/>
  <c r="J775" i="1"/>
  <c r="O775" i="1" s="1"/>
  <c r="L770" i="1"/>
  <c r="K770" i="1" s="1"/>
  <c r="L765" i="1"/>
  <c r="K765" i="1" s="1"/>
  <c r="J760" i="1"/>
  <c r="O760" i="1" s="1"/>
  <c r="J744" i="1"/>
  <c r="O744" i="1" s="1"/>
  <c r="J735" i="1"/>
  <c r="O735" i="1" s="1"/>
  <c r="J734" i="1"/>
  <c r="O734" i="1" s="1"/>
  <c r="J724" i="1"/>
  <c r="O724" i="1" s="1"/>
  <c r="L726" i="1"/>
  <c r="K726" i="1" s="1"/>
  <c r="O710" i="1"/>
  <c r="O682" i="1"/>
  <c r="O674" i="1"/>
  <c r="J657" i="1"/>
  <c r="O658" i="1"/>
  <c r="O657" i="1" s="1"/>
  <c r="L658" i="1"/>
  <c r="L657" i="1" s="1"/>
  <c r="C81" i="5" s="1"/>
  <c r="J652" i="1"/>
  <c r="J647" i="1"/>
  <c r="J610" i="1"/>
  <c r="M597" i="1"/>
  <c r="M593" i="1" s="1"/>
  <c r="J588" i="1"/>
  <c r="O590" i="1"/>
  <c r="O588" i="1" s="1"/>
  <c r="N561" i="1"/>
  <c r="N559" i="1" s="1"/>
  <c r="H573" i="1"/>
  <c r="H574" i="1"/>
  <c r="J551" i="1"/>
  <c r="N553" i="1"/>
  <c r="N551" i="1" s="1"/>
  <c r="N534" i="1"/>
  <c r="N532" i="1" s="1"/>
  <c r="N499" i="1"/>
  <c r="J504" i="1"/>
  <c r="O504" i="1" s="1"/>
  <c r="O470" i="1"/>
  <c r="J470" i="1"/>
  <c r="L150" i="1"/>
  <c r="K150" i="1" s="1"/>
  <c r="L10" i="1"/>
  <c r="K10" i="1" s="1"/>
  <c r="L26" i="1"/>
  <c r="K26" i="1" s="1"/>
  <c r="L68" i="1"/>
  <c r="K68" i="1" s="1"/>
  <c r="J340" i="1"/>
  <c r="N340" i="1" s="1"/>
  <c r="J137" i="1"/>
  <c r="O137" i="1" s="1"/>
  <c r="J294" i="1"/>
  <c r="J354" i="1"/>
  <c r="N357" i="1"/>
  <c r="N354" i="1" s="1"/>
  <c r="J342" i="1"/>
  <c r="P342" i="1" s="1"/>
  <c r="P328" i="1" s="1"/>
  <c r="H347" i="1"/>
  <c r="H346" i="1"/>
  <c r="J269" i="1"/>
  <c r="N270" i="1"/>
  <c r="N241" i="1"/>
  <c r="N240" i="1" s="1"/>
  <c r="J240" i="1"/>
  <c r="J235" i="1"/>
  <c r="M238" i="1"/>
  <c r="M235" i="1" s="1"/>
  <c r="M228" i="1"/>
  <c r="J210" i="1"/>
  <c r="J200" i="1"/>
  <c r="O201" i="1"/>
  <c r="O200" i="1" s="1"/>
  <c r="M197" i="1"/>
  <c r="J156" i="1"/>
  <c r="O156" i="1" s="1"/>
  <c r="J160" i="1"/>
  <c r="O160" i="1" s="1"/>
  <c r="J147" i="1"/>
  <c r="O147" i="1" s="1"/>
  <c r="J138" i="1"/>
  <c r="M138" i="1" s="1"/>
  <c r="M133" i="1" s="1"/>
  <c r="L97" i="1"/>
  <c r="K97" i="1" s="1"/>
  <c r="M31" i="1"/>
  <c r="M28" i="1" s="1"/>
  <c r="J28" i="1"/>
  <c r="K23" i="1"/>
  <c r="J23" i="1"/>
  <c r="M7" i="1"/>
  <c r="L7" i="1"/>
  <c r="K7" i="1" s="1"/>
  <c r="L14" i="1"/>
  <c r="K14" i="1" s="1"/>
  <c r="O1022" i="1"/>
  <c r="O723" i="1"/>
  <c r="O1012" i="1"/>
  <c r="O764" i="1"/>
  <c r="M80" i="1"/>
  <c r="O1053" i="1"/>
  <c r="O774" i="1"/>
  <c r="O754" i="1"/>
  <c r="O733" i="1"/>
  <c r="G352" i="1"/>
  <c r="G351" i="1"/>
  <c r="L351" i="1" s="1"/>
  <c r="K351" i="1" s="1"/>
  <c r="N816" i="1"/>
  <c r="L729" i="1"/>
  <c r="K729" i="1" s="1"/>
  <c r="L148" i="1"/>
  <c r="K148" i="1" s="1"/>
  <c r="J1028" i="1"/>
  <c r="O1028" i="1" s="1"/>
  <c r="L80" i="1"/>
  <c r="K80" i="1" s="1"/>
  <c r="J770" i="1"/>
  <c r="O770" i="1" s="1"/>
  <c r="L146" i="1"/>
  <c r="K146" i="1" s="1"/>
  <c r="J391" i="1"/>
  <c r="O135" i="1"/>
  <c r="L350" i="1"/>
  <c r="K350" i="1" s="1"/>
  <c r="O1032" i="1"/>
  <c r="N639" i="1"/>
  <c r="K529" i="1"/>
  <c r="O145" i="1"/>
  <c r="J150" i="1"/>
  <c r="O150" i="1" s="1"/>
  <c r="K1155" i="1"/>
  <c r="K943" i="1"/>
  <c r="K907" i="1"/>
  <c r="K792" i="1"/>
  <c r="K953" i="1"/>
  <c r="K667" i="1"/>
  <c r="K837" i="1"/>
  <c r="K691" i="1"/>
  <c r="K648" i="1"/>
  <c r="K1110" i="1"/>
  <c r="K937" i="1"/>
  <c r="K623" i="1"/>
  <c r="K471" i="1"/>
  <c r="K246" i="1"/>
  <c r="K1080" i="1"/>
  <c r="K789" i="1"/>
  <c r="K528" i="1"/>
  <c r="K1136" i="1"/>
  <c r="K978" i="1"/>
  <c r="K920" i="1"/>
  <c r="K959" i="1"/>
  <c r="K895" i="1"/>
  <c r="K1083" i="1"/>
  <c r="K861" i="1"/>
  <c r="K842" i="1"/>
  <c r="K910" i="1"/>
  <c r="K817" i="1"/>
  <c r="K1131" i="1"/>
  <c r="K1088" i="1"/>
  <c r="K796" i="1"/>
  <c r="K362" i="1"/>
  <c r="K189" i="1"/>
  <c r="K171" i="1"/>
  <c r="K182" i="1"/>
  <c r="K178" i="1"/>
  <c r="K222" i="1"/>
  <c r="K209" i="1"/>
  <c r="K185" i="1"/>
  <c r="K217" i="1"/>
  <c r="K168" i="1"/>
  <c r="K175" i="1"/>
  <c r="K165" i="1"/>
  <c r="N635" i="1"/>
  <c r="O1109" i="1"/>
  <c r="N1073" i="1"/>
  <c r="N909" i="1"/>
  <c r="O816" i="1"/>
  <c r="N72" i="1"/>
  <c r="O1149" i="1"/>
  <c r="N855" i="1"/>
  <c r="M836" i="1"/>
  <c r="N820" i="1"/>
  <c r="M418" i="1"/>
  <c r="O221" i="1"/>
  <c r="N647" i="1"/>
  <c r="N900" i="1"/>
  <c r="O894" i="1"/>
  <c r="M221" i="1"/>
  <c r="O28" i="1"/>
  <c r="N988" i="1"/>
  <c r="O900" i="1"/>
  <c r="M67" i="1"/>
  <c r="N111" i="1"/>
  <c r="M1051" i="1"/>
  <c r="N752" i="1"/>
  <c r="M731" i="1"/>
  <c r="N709" i="1"/>
  <c r="N1149" i="1"/>
  <c r="N1130" i="1"/>
  <c r="M111" i="1"/>
  <c r="N225" i="1"/>
  <c r="O616" i="1"/>
  <c r="O610" i="1"/>
  <c r="N103" i="1"/>
  <c r="M1130" i="1"/>
  <c r="O1113" i="1"/>
  <c r="N1051" i="1"/>
  <c r="N913" i="1"/>
  <c r="N894" i="1"/>
  <c r="M855" i="1"/>
  <c r="N836" i="1"/>
  <c r="O418" i="1"/>
  <c r="M772" i="1"/>
  <c r="N657" i="1"/>
  <c r="O647" i="1"/>
  <c r="N1139" i="1"/>
  <c r="N1135" i="1"/>
  <c r="M1118" i="1"/>
  <c r="M1092" i="1"/>
  <c r="M1061" i="1"/>
  <c r="M1041" i="1"/>
  <c r="N997" i="1"/>
  <c r="M942" i="1"/>
  <c r="O927" i="1"/>
  <c r="O923" i="1"/>
  <c r="O919" i="1"/>
  <c r="N845" i="1"/>
  <c r="N841" i="1"/>
  <c r="N672" i="1"/>
  <c r="M616" i="1"/>
  <c r="M610" i="1"/>
  <c r="M762" i="1"/>
  <c r="N721" i="1"/>
  <c r="M700" i="1"/>
  <c r="N652" i="1"/>
  <c r="M579" i="1"/>
  <c r="M1030" i="1"/>
  <c r="N1010" i="1"/>
  <c r="N968" i="1"/>
  <c r="M936" i="1"/>
  <c r="N731" i="1"/>
  <c r="N690" i="1"/>
  <c r="M647" i="1"/>
  <c r="N1100" i="1"/>
  <c r="N1092" i="1"/>
  <c r="N1020" i="1"/>
  <c r="N977" i="1"/>
  <c r="N931" i="1"/>
  <c r="O845" i="1"/>
  <c r="O841" i="1"/>
  <c r="N807" i="1"/>
  <c r="N665" i="1"/>
  <c r="N625" i="1"/>
  <c r="N616" i="1"/>
  <c r="N610" i="1"/>
  <c r="N593" i="1"/>
  <c r="M583" i="1"/>
  <c r="M721" i="1"/>
  <c r="O579" i="1"/>
  <c r="N958" i="1"/>
  <c r="N951" i="1"/>
  <c r="O936" i="1"/>
  <c r="O1118" i="1"/>
  <c r="O1092" i="1"/>
  <c r="N1061" i="1"/>
  <c r="N1041" i="1"/>
  <c r="M977" i="1"/>
  <c r="M931" i="1"/>
  <c r="N927" i="1"/>
  <c r="N923" i="1"/>
  <c r="N919" i="1"/>
  <c r="M841" i="1"/>
  <c r="O825" i="1"/>
  <c r="M807" i="1"/>
  <c r="M799" i="1"/>
  <c r="N741" i="1"/>
  <c r="O652" i="1"/>
  <c r="O629" i="1"/>
  <c r="M690" i="1"/>
  <c r="N1113" i="1"/>
  <c r="N1030" i="1"/>
  <c r="M1010" i="1"/>
  <c r="N936" i="1"/>
  <c r="O913" i="1"/>
  <c r="O855" i="1"/>
  <c r="O820" i="1"/>
  <c r="N772" i="1"/>
  <c r="M752" i="1"/>
  <c r="M657" i="1"/>
  <c r="N588" i="1"/>
  <c r="M1135" i="1"/>
  <c r="M1020" i="1"/>
  <c r="N942" i="1"/>
  <c r="O931" i="1"/>
  <c r="M927" i="1"/>
  <c r="M923" i="1"/>
  <c r="M919" i="1"/>
  <c r="M825" i="1"/>
  <c r="O799" i="1"/>
  <c r="N681" i="1"/>
  <c r="O625" i="1"/>
  <c r="N583" i="1"/>
  <c r="N762" i="1"/>
  <c r="N700" i="1"/>
  <c r="M652" i="1"/>
  <c r="N629" i="1"/>
  <c r="N22" i="1"/>
  <c r="O551" i="1"/>
  <c r="M366" i="1"/>
  <c r="M354" i="1"/>
  <c r="N250" i="1"/>
  <c r="N153" i="1"/>
  <c r="M121" i="1"/>
  <c r="M275" i="1"/>
  <c r="O235" i="1"/>
  <c r="O216" i="1"/>
  <c r="M445" i="1"/>
  <c r="O391" i="1"/>
  <c r="M294" i="1"/>
  <c r="N6" i="1"/>
  <c r="M177" i="1"/>
  <c r="N121" i="1"/>
  <c r="N62" i="1"/>
  <c r="N54" i="1"/>
  <c r="N46" i="1"/>
  <c r="M451" i="1"/>
  <c r="M72" i="1"/>
  <c r="M58" i="1"/>
  <c r="M50" i="1"/>
  <c r="M497" i="1"/>
  <c r="O354" i="1"/>
  <c r="O240" i="1"/>
  <c r="N193" i="1"/>
  <c r="O294" i="1"/>
  <c r="N133" i="1"/>
  <c r="O62" i="1"/>
  <c r="O54" i="1"/>
  <c r="O46" i="1"/>
  <c r="O37" i="1"/>
  <c r="N445" i="1"/>
  <c r="N294" i="1"/>
  <c r="M470" i="1"/>
  <c r="N470" i="1"/>
  <c r="M184" i="1"/>
  <c r="M170" i="1"/>
  <c r="N143" i="1"/>
  <c r="N84" i="1"/>
  <c r="N76" i="1"/>
  <c r="N451" i="1"/>
  <c r="M208" i="1"/>
  <c r="M153" i="1"/>
  <c r="N426" i="1"/>
  <c r="O361" i="1"/>
  <c r="M200" i="1"/>
  <c r="O67" i="1"/>
  <c r="O445" i="1"/>
  <c r="M391" i="1"/>
  <c r="N28" i="1"/>
  <c r="M164" i="1"/>
  <c r="N95" i="1"/>
  <c r="N67" i="1"/>
  <c r="N58" i="1"/>
  <c r="N50" i="1"/>
  <c r="N41" i="1"/>
  <c r="N399" i="1"/>
  <c r="M269" i="1"/>
  <c r="N221" i="1"/>
  <c r="N208" i="1"/>
  <c r="M62" i="1"/>
  <c r="M54" i="1"/>
  <c r="M46" i="1"/>
  <c r="M551" i="1"/>
  <c r="M478" i="1"/>
  <c r="M250" i="1"/>
  <c r="M240" i="1"/>
  <c r="N361" i="1"/>
  <c r="N235" i="1"/>
  <c r="N216" i="1"/>
  <c r="N200" i="1"/>
  <c r="O72" i="1"/>
  <c r="O58" i="1"/>
  <c r="O50" i="1"/>
  <c r="O41" i="1"/>
  <c r="N391" i="1"/>
  <c r="L681" i="1" l="1"/>
  <c r="C84" i="5" s="1"/>
  <c r="L275" i="1"/>
  <c r="C47" i="5" s="1"/>
  <c r="L451" i="1"/>
  <c r="C60" i="5" s="1"/>
  <c r="K514" i="1"/>
  <c r="L507" i="1"/>
  <c r="C64" i="5" s="1"/>
  <c r="K122" i="1"/>
  <c r="L121" i="1"/>
  <c r="C23" i="5" s="1"/>
  <c r="K595" i="1"/>
  <c r="L593" i="1"/>
  <c r="C70" i="5" s="1"/>
  <c r="K617" i="1"/>
  <c r="L616" i="1"/>
  <c r="C72" i="5" s="1"/>
  <c r="K611" i="1"/>
  <c r="L610" i="1"/>
  <c r="C71" i="5" s="1"/>
  <c r="K870" i="1"/>
  <c r="K404" i="1"/>
  <c r="L399" i="1"/>
  <c r="C56" i="5" s="1"/>
  <c r="L22" i="1"/>
  <c r="C6" i="5" s="1"/>
  <c r="L153" i="1"/>
  <c r="C26" i="5" s="1"/>
  <c r="L741" i="1"/>
  <c r="C90" i="5" s="1"/>
  <c r="L28" i="1"/>
  <c r="C7" i="5" s="1"/>
  <c r="L721" i="1"/>
  <c r="C88" i="5" s="1"/>
  <c r="L588" i="1"/>
  <c r="C69" i="5" s="1"/>
  <c r="L942" i="1"/>
  <c r="C121" i="5" s="1"/>
  <c r="L762" i="1"/>
  <c r="C92" i="5" s="1"/>
  <c r="L1041" i="1"/>
  <c r="C131" i="5" s="1"/>
  <c r="L216" i="1"/>
  <c r="C38" i="5" s="1"/>
  <c r="L269" i="1"/>
  <c r="C46" i="5" s="1"/>
  <c r="L294" i="1"/>
  <c r="C48" i="5" s="1"/>
  <c r="L997" i="1"/>
  <c r="C127" i="5" s="1"/>
  <c r="K305" i="1"/>
  <c r="K710" i="1"/>
  <c r="L709" i="1"/>
  <c r="C87" i="5" s="1"/>
  <c r="K331" i="1"/>
  <c r="K914" i="1"/>
  <c r="L913" i="1"/>
  <c r="C115" i="5" s="1"/>
  <c r="K901" i="1"/>
  <c r="L900" i="1"/>
  <c r="C112" i="5" s="1"/>
  <c r="L470" i="1"/>
  <c r="C61" i="5" s="1"/>
  <c r="L143" i="1"/>
  <c r="C25" i="5" s="1"/>
  <c r="L951" i="1"/>
  <c r="C122" i="5" s="1"/>
  <c r="L1010" i="1"/>
  <c r="C128" i="5" s="1"/>
  <c r="L807" i="1"/>
  <c r="C99" i="5" s="1"/>
  <c r="L133" i="1"/>
  <c r="C24" i="5" s="1"/>
  <c r="L825" i="1"/>
  <c r="C102" i="5" s="1"/>
  <c r="L84" i="1"/>
  <c r="C19" i="5" s="1"/>
  <c r="L361" i="1"/>
  <c r="C52" i="5" s="1"/>
  <c r="L820" i="1"/>
  <c r="C101" i="5" s="1"/>
  <c r="L366" i="1"/>
  <c r="C53" i="5" s="1"/>
  <c r="L700" i="1"/>
  <c r="C86" i="5" s="1"/>
  <c r="Q1339" i="1"/>
  <c r="Q1345" i="1"/>
  <c r="K201" i="1"/>
  <c r="L200" i="1"/>
  <c r="C36" i="5" s="1"/>
  <c r="K673" i="1"/>
  <c r="L672" i="1"/>
  <c r="C83" i="5" s="1"/>
  <c r="K969" i="1"/>
  <c r="L968" i="1"/>
  <c r="C124" i="5" s="1"/>
  <c r="K485" i="1"/>
  <c r="L478" i="1"/>
  <c r="C62" i="5" s="1"/>
  <c r="K18" i="1"/>
  <c r="L6" i="1"/>
  <c r="C5" i="5" s="1"/>
  <c r="K584" i="1"/>
  <c r="L583" i="1"/>
  <c r="C68" i="5" s="1"/>
  <c r="L235" i="1"/>
  <c r="C42" i="5" s="1"/>
  <c r="L752" i="1"/>
  <c r="C91" i="5" s="1"/>
  <c r="L225" i="1"/>
  <c r="C40" i="5" s="1"/>
  <c r="L1051" i="1"/>
  <c r="C132" i="5" s="1"/>
  <c r="L845" i="1"/>
  <c r="C105" i="5" s="1"/>
  <c r="L1149" i="1"/>
  <c r="C147" i="5" s="1"/>
  <c r="L731" i="1"/>
  <c r="C89" i="5" s="1"/>
  <c r="L1061" i="1"/>
  <c r="C133" i="5" s="1"/>
  <c r="L958" i="1"/>
  <c r="C123" i="5" s="1"/>
  <c r="L208" i="1"/>
  <c r="C37" i="5" s="1"/>
  <c r="L855" i="1"/>
  <c r="C107" i="5" s="1"/>
  <c r="L1118" i="1"/>
  <c r="C142" i="5" s="1"/>
  <c r="K96" i="1"/>
  <c r="L95" i="1"/>
  <c r="C20" i="5" s="1"/>
  <c r="K194" i="1"/>
  <c r="L193" i="1"/>
  <c r="C35" i="5" s="1"/>
  <c r="K112" i="1"/>
  <c r="L111" i="1"/>
  <c r="C22" i="5" s="1"/>
  <c r="K989" i="1"/>
  <c r="L988" i="1"/>
  <c r="C126" i="5" s="1"/>
  <c r="L977" i="1"/>
  <c r="C125" i="5" s="1"/>
  <c r="L690" i="1"/>
  <c r="C85" i="5" s="1"/>
  <c r="L665" i="1"/>
  <c r="C82" i="5" s="1"/>
  <c r="L76" i="1"/>
  <c r="C18" i="5" s="1"/>
  <c r="L836" i="1"/>
  <c r="C103" i="5" s="1"/>
  <c r="L1113" i="1"/>
  <c r="C141" i="5" s="1"/>
  <c r="L1139" i="1"/>
  <c r="C145" i="5" s="1"/>
  <c r="L240" i="1"/>
  <c r="C43" i="5" s="1"/>
  <c r="L772" i="1"/>
  <c r="C93" i="5" s="1"/>
  <c r="L1100" i="1"/>
  <c r="C139" i="5" s="1"/>
  <c r="L426" i="1"/>
  <c r="C58" i="5" s="1"/>
  <c r="L1130" i="1"/>
  <c r="C143" i="5" s="1"/>
  <c r="L1030" i="1"/>
  <c r="C130" i="5" s="1"/>
  <c r="L1020" i="1"/>
  <c r="C129" i="5" s="1"/>
  <c r="L799" i="1"/>
  <c r="C98" i="5" s="1"/>
  <c r="K38" i="1"/>
  <c r="M958" i="1"/>
  <c r="N478" i="1"/>
  <c r="O951" i="1"/>
  <c r="J1139" i="1"/>
  <c r="K626" i="1"/>
  <c r="J909" i="1"/>
  <c r="K498" i="1"/>
  <c r="M951" i="1"/>
  <c r="J58" i="1"/>
  <c r="J225" i="1"/>
  <c r="O1041" i="1"/>
  <c r="J968" i="1"/>
  <c r="J1041" i="1"/>
  <c r="M95" i="1"/>
  <c r="M225" i="1"/>
  <c r="M103" i="1"/>
  <c r="J665" i="1"/>
  <c r="O741" i="1"/>
  <c r="J951" i="1"/>
  <c r="L325" i="1"/>
  <c r="K325" i="1" s="1"/>
  <c r="J897" i="1"/>
  <c r="P897" i="1" s="1"/>
  <c r="P894" i="1" s="1"/>
  <c r="L897" i="1"/>
  <c r="L894" i="1" s="1"/>
  <c r="C111" i="5" s="1"/>
  <c r="N275" i="1"/>
  <c r="K784" i="1"/>
  <c r="L878" i="1"/>
  <c r="K878" i="1" s="1"/>
  <c r="O193" i="1"/>
  <c r="M372" i="1"/>
  <c r="M741" i="1"/>
  <c r="K1074" i="1"/>
  <c r="J193" i="1"/>
  <c r="O593" i="1"/>
  <c r="K630" i="1"/>
  <c r="M193" i="1"/>
  <c r="N507" i="1"/>
  <c r="O585" i="1"/>
  <c r="J103" i="1"/>
  <c r="J84" i="1"/>
  <c r="O497" i="1"/>
  <c r="K565" i="1"/>
  <c r="K105" i="1"/>
  <c r="K282" i="1"/>
  <c r="K257" i="1"/>
  <c r="K377" i="1"/>
  <c r="K998" i="1"/>
  <c r="K458" i="1"/>
  <c r="K701" i="1"/>
  <c r="O507" i="1"/>
  <c r="M681" i="1"/>
  <c r="L19" i="1"/>
  <c r="O111" i="1"/>
  <c r="J325" i="1"/>
  <c r="M325" i="1" s="1"/>
  <c r="J111" i="1"/>
  <c r="O1061" i="1"/>
  <c r="M507" i="1"/>
  <c r="O668" i="1"/>
  <c r="J807" i="1"/>
  <c r="J250" i="1"/>
  <c r="O121" i="1"/>
  <c r="O133" i="1"/>
  <c r="O366" i="1"/>
  <c r="O988" i="1"/>
  <c r="N328" i="1"/>
  <c r="O1051" i="1"/>
  <c r="L326" i="1"/>
  <c r="K326" i="1" s="1"/>
  <c r="M1113" i="1"/>
  <c r="J942" i="1"/>
  <c r="J366" i="1"/>
  <c r="J324" i="1"/>
  <c r="O324" i="1" s="1"/>
  <c r="L324" i="1"/>
  <c r="K324" i="1" s="1"/>
  <c r="O225" i="1"/>
  <c r="O76" i="1"/>
  <c r="J76" i="1"/>
  <c r="J593" i="1"/>
  <c r="O838" i="1"/>
  <c r="J50" i="1"/>
  <c r="J121" i="1"/>
  <c r="J1010" i="1"/>
  <c r="J1061" i="1"/>
  <c r="J216" i="1"/>
  <c r="J772" i="1"/>
  <c r="O690" i="1"/>
  <c r="O772" i="1"/>
  <c r="O6" i="1"/>
  <c r="O250" i="1"/>
  <c r="J1100" i="1"/>
  <c r="O95" i="1"/>
  <c r="J690" i="1"/>
  <c r="O1020" i="1"/>
  <c r="J700" i="1"/>
  <c r="O700" i="1"/>
  <c r="M37" i="1"/>
  <c r="N302" i="1"/>
  <c r="O372" i="1"/>
  <c r="M76" i="1"/>
  <c r="N497" i="1"/>
  <c r="J62" i="1"/>
  <c r="O681" i="1"/>
  <c r="O1010" i="1"/>
  <c r="M6" i="1"/>
  <c r="J681" i="1"/>
  <c r="O721" i="1"/>
  <c r="O942" i="1"/>
  <c r="O807" i="1"/>
  <c r="M997" i="1"/>
  <c r="J752" i="1"/>
  <c r="J997" i="1"/>
  <c r="J478" i="1"/>
  <c r="N269" i="1"/>
  <c r="O958" i="1"/>
  <c r="O1030" i="1"/>
  <c r="O762" i="1"/>
  <c r="O84" i="1"/>
  <c r="J95" i="1"/>
  <c r="J864" i="1"/>
  <c r="J67" i="1"/>
  <c r="M216" i="1"/>
  <c r="O864" i="1"/>
  <c r="K682" i="1"/>
  <c r="O709" i="1"/>
  <c r="J372" i="1"/>
  <c r="J54" i="1"/>
  <c r="J1030" i="1"/>
  <c r="J1051" i="1"/>
  <c r="L378" i="1"/>
  <c r="J672" i="1"/>
  <c r="J988" i="1"/>
  <c r="O977" i="1"/>
  <c r="M1142" i="1"/>
  <c r="J721" i="1"/>
  <c r="J133" i="1"/>
  <c r="J977" i="1"/>
  <c r="M364" i="1"/>
  <c r="O731" i="1"/>
  <c r="O143" i="1"/>
  <c r="M864" i="1"/>
  <c r="O752" i="1"/>
  <c r="O672" i="1"/>
  <c r="J731" i="1"/>
  <c r="J6" i="1"/>
  <c r="J497" i="1"/>
  <c r="J709" i="1"/>
  <c r="J320" i="1"/>
  <c r="L320" i="1"/>
  <c r="L302" i="1" s="1"/>
  <c r="C49" i="5" s="1"/>
  <c r="J958" i="1"/>
  <c r="O1000" i="1"/>
  <c r="J507" i="1"/>
  <c r="O431" i="1"/>
  <c r="J406" i="1"/>
  <c r="M406" i="1" s="1"/>
  <c r="L406" i="1"/>
  <c r="K406" i="1" s="1"/>
  <c r="L432" i="1"/>
  <c r="J432" i="1"/>
  <c r="O432" i="1" s="1"/>
  <c r="O970" i="1"/>
  <c r="J433" i="1"/>
  <c r="M433" i="1" s="1"/>
  <c r="L433" i="1"/>
  <c r="K433" i="1" s="1"/>
  <c r="O280" i="1"/>
  <c r="J275" i="1"/>
  <c r="J451" i="1"/>
  <c r="O456" i="1"/>
  <c r="L405" i="1"/>
  <c r="J405" i="1"/>
  <c r="O1132" i="1"/>
  <c r="L538" i="1"/>
  <c r="L532" i="1" s="1"/>
  <c r="C66" i="5" s="1"/>
  <c r="J538" i="1"/>
  <c r="J1020" i="1"/>
  <c r="J845" i="1"/>
  <c r="J539" i="1"/>
  <c r="M539" i="1" s="1"/>
  <c r="L539" i="1"/>
  <c r="K539" i="1" s="1"/>
  <c r="M1149" i="1"/>
  <c r="M845" i="1"/>
  <c r="O783" i="1"/>
  <c r="J762" i="1"/>
  <c r="J741" i="1"/>
  <c r="K658" i="1"/>
  <c r="J573" i="1"/>
  <c r="L573" i="1"/>
  <c r="L559" i="1" s="1"/>
  <c r="J574" i="1"/>
  <c r="M574" i="1" s="1"/>
  <c r="L574" i="1"/>
  <c r="K574" i="1" s="1"/>
  <c r="J153" i="1"/>
  <c r="J346" i="1"/>
  <c r="O346" i="1" s="1"/>
  <c r="L346" i="1"/>
  <c r="K346" i="1" s="1"/>
  <c r="L347" i="1"/>
  <c r="K347" i="1" s="1"/>
  <c r="J347" i="1"/>
  <c r="M347" i="1" s="1"/>
  <c r="J208" i="1"/>
  <c r="O210" i="1"/>
  <c r="O153" i="1"/>
  <c r="J22" i="1"/>
  <c r="M23" i="1"/>
  <c r="J143" i="1"/>
  <c r="J352" i="1"/>
  <c r="O352" i="1" s="1"/>
  <c r="L352" i="1"/>
  <c r="K352" i="1" s="1"/>
  <c r="J351" i="1"/>
  <c r="L864" i="1" l="1"/>
  <c r="C109" i="5" s="1"/>
  <c r="L328" i="1"/>
  <c r="C50" i="5" s="1"/>
  <c r="N2" i="1"/>
  <c r="K897" i="1"/>
  <c r="J894" i="1"/>
  <c r="O583" i="1"/>
  <c r="M302" i="1"/>
  <c r="K19" i="1"/>
  <c r="O665" i="1"/>
  <c r="O836" i="1"/>
  <c r="K378" i="1"/>
  <c r="M1139" i="1"/>
  <c r="M361" i="1"/>
  <c r="K320" i="1"/>
  <c r="O320" i="1"/>
  <c r="J302" i="1"/>
  <c r="J426" i="1"/>
  <c r="K405" i="1"/>
  <c r="O275" i="1"/>
  <c r="O426" i="1"/>
  <c r="O451" i="1"/>
  <c r="K432" i="1"/>
  <c r="M426" i="1"/>
  <c r="O405" i="1"/>
  <c r="J399" i="1"/>
  <c r="O968" i="1"/>
  <c r="M399" i="1"/>
  <c r="O997" i="1"/>
  <c r="O538" i="1"/>
  <c r="J532" i="1"/>
  <c r="M532" i="1"/>
  <c r="K538" i="1"/>
  <c r="O1130" i="1"/>
  <c r="O573" i="1"/>
  <c r="J559" i="1"/>
  <c r="M559" i="1"/>
  <c r="K573" i="1"/>
  <c r="O208" i="1"/>
  <c r="M22" i="1"/>
  <c r="M351" i="1"/>
  <c r="J328" i="1"/>
  <c r="J2" i="1" s="1"/>
  <c r="O328" i="1"/>
  <c r="M2" i="1" l="1"/>
  <c r="O302" i="1"/>
  <c r="O399" i="1"/>
  <c r="O532" i="1"/>
  <c r="O559" i="1"/>
  <c r="M328" i="1"/>
  <c r="Q1280" i="1" l="1"/>
  <c r="Q1279" i="1" s="1"/>
  <c r="Q1277" i="1"/>
  <c r="Q1274" i="1"/>
  <c r="Q1276" i="1" l="1"/>
  <c r="Q1275" i="1"/>
  <c r="Q1269" i="1" l="1"/>
  <c r="Q1270" i="1"/>
  <c r="Q1268" i="1"/>
  <c r="Q1271" i="1"/>
  <c r="Q1267" i="1"/>
  <c r="Q1262" i="1" l="1"/>
  <c r="Q1264" i="1"/>
  <c r="Q1261" i="1"/>
  <c r="Q1265" i="1"/>
  <c r="Q1263" i="1"/>
  <c r="Q1256" i="1" l="1"/>
  <c r="Q1255" i="1"/>
  <c r="Q1260" i="1"/>
  <c r="Q1258" i="1"/>
  <c r="Q1257" i="1"/>
  <c r="Q1254" i="1" l="1"/>
  <c r="Q1253" i="1"/>
  <c r="Q1252" i="1"/>
  <c r="Q1251" i="1" l="1"/>
  <c r="Q1247" i="1"/>
  <c r="Q1244" i="1"/>
  <c r="Q1242" i="1" l="1"/>
  <c r="Q1245" i="1"/>
  <c r="Q1248" i="1"/>
  <c r="Q1241" i="1" l="1"/>
  <c r="Q1243" i="1"/>
  <c r="Q1240" i="1" l="1"/>
  <c r="Q1234" i="1"/>
  <c r="Q1237" i="1"/>
  <c r="Q1238" i="1"/>
  <c r="Q1235" i="1"/>
  <c r="Q1231" i="1" l="1"/>
  <c r="Q1233" i="1"/>
  <c r="Q1232" i="1"/>
  <c r="Q1227" i="1" l="1"/>
  <c r="Q1224" i="1"/>
  <c r="Q1228" i="1"/>
  <c r="Q1225" i="1"/>
  <c r="Q1230" i="1"/>
  <c r="Q1223" i="1" l="1"/>
  <c r="Q1221" i="1"/>
  <c r="Q1215" i="1"/>
  <c r="Q1222" i="1"/>
  <c r="Q1220" i="1" l="1"/>
  <c r="Q1214" i="1"/>
  <c r="Q1212" i="1"/>
  <c r="Q1213" i="1"/>
  <c r="Q1210" i="1" l="1"/>
  <c r="Q1209" i="1"/>
  <c r="Q1203" i="1"/>
  <c r="Q1211" i="1"/>
  <c r="Q1196" i="1" l="1"/>
  <c r="Q1208" i="1"/>
  <c r="Q1204" i="1"/>
  <c r="Q1202" i="1"/>
  <c r="Q1205" i="1"/>
  <c r="Q1200" i="1" l="1"/>
  <c r="Q1195" i="1"/>
  <c r="Q1197" i="1"/>
  <c r="Q1198" i="1"/>
  <c r="Q1186" i="1" l="1"/>
  <c r="Q1193" i="1"/>
  <c r="Q1190" i="1"/>
  <c r="Q1194" i="1"/>
  <c r="Q1192" i="1" l="1"/>
  <c r="Q1189" i="1"/>
  <c r="Q1188" i="1"/>
  <c r="Q1185" i="1"/>
  <c r="Q1183" i="1" l="1"/>
  <c r="Q1184" i="1"/>
  <c r="Q1174" i="1" l="1"/>
  <c r="Q1172" i="1"/>
  <c r="Q1173" i="1"/>
  <c r="Q1181" i="1"/>
  <c r="Q1170" i="1" l="1"/>
  <c r="Q1167" i="1"/>
  <c r="E290" i="6" s="1"/>
  <c r="Q1161" i="1"/>
  <c r="Q1162" i="1" l="1"/>
  <c r="Q1165" i="1"/>
  <c r="Q1164" i="1"/>
  <c r="Q1163" i="1"/>
  <c r="Q1160" i="1" l="1"/>
  <c r="E289" i="6" s="1"/>
  <c r="Q1155" i="1"/>
  <c r="Q1154" i="1" s="1"/>
  <c r="F148" i="5" l="1"/>
  <c r="E281" i="6"/>
  <c r="Q1150" i="1"/>
  <c r="Q1151" i="1"/>
  <c r="Q1152" i="1"/>
  <c r="Q1147" i="1" l="1"/>
  <c r="Q1146" i="1" s="1"/>
  <c r="Q1143" i="1"/>
  <c r="Q1149" i="1"/>
  <c r="E280" i="6" l="1"/>
  <c r="F147" i="5"/>
  <c r="F146" i="5"/>
  <c r="E279" i="6"/>
  <c r="Q1141" i="1"/>
  <c r="Q1140" i="1"/>
  <c r="Q1142" i="1"/>
  <c r="Q1133" i="1" l="1"/>
  <c r="Q1139" i="1"/>
  <c r="Q1137" i="1"/>
  <c r="Q1136" i="1"/>
  <c r="F145" i="5" l="1"/>
  <c r="E276" i="6"/>
  <c r="Q1132" i="1"/>
  <c r="Q1131" i="1"/>
  <c r="Q1135" i="1"/>
  <c r="F144" i="5" l="1"/>
  <c r="E275" i="6"/>
  <c r="Q1130" i="1"/>
  <c r="Q1125" i="1"/>
  <c r="Q1126" i="1"/>
  <c r="Q1122" i="1"/>
  <c r="E274" i="6" l="1"/>
  <c r="F143" i="5"/>
  <c r="Q1114" i="1"/>
  <c r="Q1121" i="1"/>
  <c r="Q1120" i="1"/>
  <c r="Q1118" i="1" l="1"/>
  <c r="Q1116" i="1"/>
  <c r="Q1115" i="1"/>
  <c r="F142" i="5" l="1"/>
  <c r="E271" i="6"/>
  <c r="Q1113" i="1"/>
  <c r="Q1103" i="1"/>
  <c r="Q1107" i="1"/>
  <c r="Q1111" i="1"/>
  <c r="Q1104" i="1"/>
  <c r="Q1110" i="1"/>
  <c r="F141" i="5" l="1"/>
  <c r="E270" i="6"/>
  <c r="Q1109" i="1"/>
  <c r="Q1102" i="1"/>
  <c r="Q1105" i="1"/>
  <c r="Q1106" i="1"/>
  <c r="F140" i="5" l="1"/>
  <c r="E269" i="6"/>
  <c r="Q1095" i="1"/>
  <c r="Q1093" i="1"/>
  <c r="Q1101" i="1"/>
  <c r="Q1100" i="1" s="1"/>
  <c r="E268" i="6" l="1"/>
  <c r="F139" i="5"/>
  <c r="Q1094" i="1"/>
  <c r="Q1096" i="1"/>
  <c r="Q1092" i="1" l="1"/>
  <c r="Q1088" i="1"/>
  <c r="Q1087" i="1" s="1"/>
  <c r="F137" i="5" l="1"/>
  <c r="E262" i="6"/>
  <c r="E265" i="6"/>
  <c r="F138" i="5"/>
  <c r="Q1080" i="1"/>
  <c r="Q1079" i="1" s="1"/>
  <c r="Q1083" i="1"/>
  <c r="Q1082" i="1" s="1"/>
  <c r="Q1074" i="1"/>
  <c r="F136" i="5" l="1"/>
  <c r="E259" i="6"/>
  <c r="E258" i="6"/>
  <c r="F135" i="5"/>
  <c r="Q1066" i="1"/>
  <c r="Q1075" i="1"/>
  <c r="Q1073" i="1" s="1"/>
  <c r="F134" i="5" l="1"/>
  <c r="E255" i="6"/>
  <c r="Q1065" i="1"/>
  <c r="Q1069" i="1"/>
  <c r="Q1068" i="1"/>
  <c r="Q1064" i="1" l="1"/>
  <c r="Q1063" i="1"/>
  <c r="Q1056" i="1"/>
  <c r="Q1062" i="1"/>
  <c r="Q1061" i="1" l="1"/>
  <c r="Q1055" i="1"/>
  <c r="Q1058" i="1"/>
  <c r="Q1059" i="1"/>
  <c r="F133" i="5" l="1"/>
  <c r="E252" i="6"/>
  <c r="Q1046" i="1"/>
  <c r="Q1053" i="1"/>
  <c r="Q1045" i="1"/>
  <c r="Q1052" i="1"/>
  <c r="Q1054" i="1"/>
  <c r="Q1051" i="1" l="1"/>
  <c r="Q1048" i="1"/>
  <c r="Q1042" i="1"/>
  <c r="Q1049" i="1"/>
  <c r="F132" i="5" l="1"/>
  <c r="E251" i="6"/>
  <c r="Q1037" i="1"/>
  <c r="Q1044" i="1"/>
  <c r="Q1043" i="1"/>
  <c r="Q1041" i="1" l="1"/>
  <c r="Q1038" i="1"/>
  <c r="Q1035" i="1"/>
  <c r="Q1034" i="1"/>
  <c r="E250" i="6" l="1"/>
  <c r="F131" i="5"/>
  <c r="Q1032" i="1"/>
  <c r="Q1031" i="1"/>
  <c r="Q1033" i="1"/>
  <c r="Q1030" i="1" l="1"/>
  <c r="Q1025" i="1"/>
  <c r="Q1028" i="1"/>
  <c r="Q1024" i="1"/>
  <c r="Q1027" i="1"/>
  <c r="E248" i="6" l="1"/>
  <c r="F130" i="5"/>
  <c r="Q1023" i="1"/>
  <c r="Q1022" i="1"/>
  <c r="Q1021" i="1"/>
  <c r="Q1020" i="1" l="1"/>
  <c r="Q1017" i="1"/>
  <c r="Q1011" i="1"/>
  <c r="Q1015" i="1"/>
  <c r="Q1018" i="1"/>
  <c r="Q1014" i="1"/>
  <c r="F129" i="5" l="1"/>
  <c r="E247" i="6"/>
  <c r="Q1012" i="1"/>
  <c r="Q1004" i="1"/>
  <c r="Q1013" i="1"/>
  <c r="Q1000" i="1" l="1"/>
  <c r="Q1010" i="1"/>
  <c r="Q1003" i="1"/>
  <c r="F128" i="5" l="1"/>
  <c r="E246" i="6"/>
  <c r="Q998" i="1"/>
  <c r="Q1001" i="1"/>
  <c r="Q1002" i="1"/>
  <c r="Q999" i="1"/>
  <c r="Q997" i="1" l="1"/>
  <c r="Q992" i="1"/>
  <c r="Q994" i="1"/>
  <c r="Q995" i="1"/>
  <c r="Q993" i="1"/>
  <c r="E241" i="6" l="1"/>
  <c r="F127" i="5"/>
  <c r="Q989" i="1"/>
  <c r="Q991" i="1"/>
  <c r="Q990" i="1"/>
  <c r="Q988" i="1" l="1"/>
  <c r="Q981" i="1"/>
  <c r="Q984" i="1"/>
  <c r="Q980" i="1"/>
  <c r="Q983" i="1"/>
  <c r="Q982" i="1"/>
  <c r="E240" i="6" l="1"/>
  <c r="F126" i="5"/>
  <c r="Q979" i="1"/>
  <c r="Q975" i="1"/>
  <c r="Q978" i="1"/>
  <c r="Q977" i="1" l="1"/>
  <c r="Q972" i="1"/>
  <c r="Q971" i="1"/>
  <c r="Q970" i="1"/>
  <c r="Q973" i="1"/>
  <c r="Q974" i="1"/>
  <c r="F125" i="5" l="1"/>
  <c r="E237" i="6"/>
  <c r="Q969" i="1"/>
  <c r="Q968" i="1" s="1"/>
  <c r="F124" i="5" l="1"/>
  <c r="E236" i="6"/>
  <c r="Q963" i="1"/>
  <c r="Q962" i="1"/>
  <c r="Q964" i="1"/>
  <c r="Q961" i="1"/>
  <c r="Q960" i="1"/>
  <c r="Q955" i="1" l="1"/>
  <c r="Q959" i="1"/>
  <c r="Q958" i="1" s="1"/>
  <c r="Q956" i="1"/>
  <c r="Q953" i="1"/>
  <c r="F123" i="5" l="1"/>
  <c r="E233" i="6"/>
  <c r="Q954" i="1"/>
  <c r="Q951" i="1" s="1"/>
  <c r="Q946" i="1"/>
  <c r="E232" i="6" l="1"/>
  <c r="F122" i="5"/>
  <c r="Q945" i="1"/>
  <c r="Q947" i="1"/>
  <c r="Q944" i="1"/>
  <c r="Q939" i="1" l="1"/>
  <c r="Q937" i="1"/>
  <c r="Q943" i="1"/>
  <c r="Q942" i="1" s="1"/>
  <c r="E229" i="6" l="1"/>
  <c r="F121" i="5"/>
  <c r="Q932" i="1"/>
  <c r="Q938" i="1"/>
  <c r="Q936" i="1" s="1"/>
  <c r="Q934" i="1"/>
  <c r="F120" i="5" l="1"/>
  <c r="E227" i="6"/>
  <c r="Q929" i="1"/>
  <c r="Q925" i="1"/>
  <c r="Q933" i="1"/>
  <c r="Q931" i="1" s="1"/>
  <c r="F119" i="5" l="1"/>
  <c r="E226" i="6"/>
  <c r="Q920" i="1"/>
  <c r="Q928" i="1"/>
  <c r="Q927" i="1" s="1"/>
  <c r="Q924" i="1"/>
  <c r="Q923" i="1" s="1"/>
  <c r="E224" i="6" l="1"/>
  <c r="F117" i="5"/>
  <c r="F118" i="5"/>
  <c r="E225" i="6"/>
  <c r="Q921" i="1"/>
  <c r="Q919" i="1" s="1"/>
  <c r="F116" i="5" l="1"/>
  <c r="E223" i="6"/>
  <c r="Q914" i="1"/>
  <c r="Q915" i="1"/>
  <c r="Q916" i="1"/>
  <c r="Q910" i="1" l="1"/>
  <c r="Q907" i="1"/>
  <c r="Q906" i="1" s="1"/>
  <c r="Q911" i="1"/>
  <c r="Q913" i="1"/>
  <c r="F113" i="5" l="1"/>
  <c r="E219" i="6"/>
  <c r="E221" i="6"/>
  <c r="F115" i="5"/>
  <c r="Q902" i="1"/>
  <c r="Q909" i="1"/>
  <c r="Q901" i="1"/>
  <c r="Q903" i="1"/>
  <c r="F114" i="5" l="1"/>
  <c r="E220" i="6"/>
  <c r="Q895" i="1"/>
  <c r="Q898" i="1"/>
  <c r="Q900" i="1"/>
  <c r="Q897" i="1"/>
  <c r="Q896" i="1"/>
  <c r="F112" i="5" l="1"/>
  <c r="E217" i="6"/>
  <c r="Q894" i="1"/>
  <c r="Q887" i="1"/>
  <c r="Q883" i="1"/>
  <c r="Q886" i="1"/>
  <c r="E216" i="6" l="1"/>
  <c r="F111" i="5"/>
  <c r="Q885" i="1"/>
  <c r="Q881" i="1"/>
  <c r="Q879" i="1"/>
  <c r="Q878" i="1"/>
  <c r="Q875" i="1"/>
  <c r="Q882" i="1"/>
  <c r="F110" i="5" l="1"/>
  <c r="E207" i="6"/>
  <c r="Q870" i="1"/>
  <c r="Q873" i="1"/>
  <c r="Q872" i="1"/>
  <c r="Q876" i="1"/>
  <c r="Q871" i="1" l="1"/>
  <c r="Q868" i="1"/>
  <c r="Q867" i="1"/>
  <c r="Q858" i="1" l="1"/>
  <c r="Q857" i="1"/>
  <c r="Q866" i="1"/>
  <c r="Q864" i="1" s="1"/>
  <c r="F109" i="5" l="1"/>
  <c r="E206" i="6"/>
  <c r="Q861" i="1"/>
  <c r="Q860" i="1" l="1"/>
  <c r="Q853" i="1"/>
  <c r="Q852" i="1" s="1"/>
  <c r="Q856" i="1"/>
  <c r="Q855" i="1" s="1"/>
  <c r="F107" i="5" l="1"/>
  <c r="E202" i="6"/>
  <c r="E201" i="6"/>
  <c r="F106" i="5"/>
  <c r="F108" i="5"/>
  <c r="E203" i="6"/>
  <c r="Q846" i="1"/>
  <c r="Q849" i="1"/>
  <c r="Q847" i="1"/>
  <c r="Q848" i="1"/>
  <c r="Q845" i="1" l="1"/>
  <c r="Q843" i="1"/>
  <c r="Q842" i="1"/>
  <c r="E198" i="6" l="1"/>
  <c r="F105" i="5"/>
  <c r="Q841" i="1"/>
  <c r="Q839" i="1"/>
  <c r="Q838" i="1"/>
  <c r="Q837" i="1"/>
  <c r="F104" i="5" l="1"/>
  <c r="E197" i="6"/>
  <c r="Q836" i="1"/>
  <c r="Q833" i="1"/>
  <c r="Q832" i="1"/>
  <c r="Q829" i="1"/>
  <c r="F103" i="5" l="1"/>
  <c r="E196" i="6"/>
  <c r="Q827" i="1"/>
  <c r="Q828" i="1"/>
  <c r="Q821" i="1" l="1"/>
  <c r="Q823" i="1"/>
  <c r="Q825" i="1"/>
  <c r="Q822" i="1"/>
  <c r="F102" i="5" l="1"/>
  <c r="E193" i="6"/>
  <c r="Q817" i="1"/>
  <c r="Q814" i="1"/>
  <c r="Q818" i="1"/>
  <c r="Q820" i="1"/>
  <c r="E192" i="6" l="1"/>
  <c r="F101" i="5"/>
  <c r="Q810" i="1"/>
  <c r="Q811" i="1"/>
  <c r="Q813" i="1"/>
  <c r="Q809" i="1"/>
  <c r="Q816" i="1"/>
  <c r="Q812" i="1"/>
  <c r="F100" i="5" l="1"/>
  <c r="E191" i="6"/>
  <c r="Q801" i="1"/>
  <c r="Q808" i="1"/>
  <c r="Q807" i="1" l="1"/>
  <c r="Q802" i="1"/>
  <c r="Q803" i="1"/>
  <c r="Q800" i="1"/>
  <c r="E190" i="6" l="1"/>
  <c r="F99" i="5"/>
  <c r="Q799" i="1"/>
  <c r="Q792" i="1"/>
  <c r="Q791" i="1" s="1"/>
  <c r="Q796" i="1"/>
  <c r="Q795" i="1" s="1"/>
  <c r="F96" i="5" l="1"/>
  <c r="E181" i="6"/>
  <c r="F97" i="5"/>
  <c r="E184" i="6"/>
  <c r="F98" i="5"/>
  <c r="E187" i="6"/>
  <c r="Q789" i="1"/>
  <c r="Q788" i="1" s="1"/>
  <c r="E180" i="6" l="1"/>
  <c r="F95" i="5"/>
  <c r="Q785" i="1"/>
  <c r="Q784" i="1"/>
  <c r="Q783" i="1" l="1"/>
  <c r="Q773" i="1"/>
  <c r="Q780" i="1"/>
  <c r="Q777" i="1"/>
  <c r="Q779" i="1"/>
  <c r="Q776" i="1"/>
  <c r="E177" i="6" l="1"/>
  <c r="F94" i="5"/>
  <c r="Q766" i="1"/>
  <c r="Q775" i="1"/>
  <c r="Q774" i="1"/>
  <c r="Q772" i="1" l="1"/>
  <c r="Q767" i="1"/>
  <c r="Q763" i="1"/>
  <c r="Q770" i="1"/>
  <c r="Q769" i="1"/>
  <c r="F93" i="5" l="1"/>
  <c r="E173" i="6"/>
  <c r="Q756" i="1"/>
  <c r="Q764" i="1"/>
  <c r="Q765" i="1"/>
  <c r="Q762" i="1" l="1"/>
  <c r="Q760" i="1"/>
  <c r="Q759" i="1"/>
  <c r="Q757" i="1"/>
  <c r="F92" i="5" l="1"/>
  <c r="E172" i="6"/>
  <c r="Q754" i="1"/>
  <c r="Q755" i="1"/>
  <c r="Q753" i="1"/>
  <c r="Q745" i="1" l="1"/>
  <c r="Q742" i="1"/>
  <c r="Q746" i="1"/>
  <c r="Q752" i="1"/>
  <c r="Q748" i="1"/>
  <c r="Q749" i="1"/>
  <c r="F91" i="5" l="1"/>
  <c r="E171" i="6"/>
  <c r="Q743" i="1"/>
  <c r="Q736" i="1"/>
  <c r="Q744" i="1"/>
  <c r="Q741" i="1" l="1"/>
  <c r="Q735" i="1"/>
  <c r="Q732" i="1"/>
  <c r="Q739" i="1"/>
  <c r="Q738" i="1"/>
  <c r="E169" i="6" l="1"/>
  <c r="F90" i="5"/>
  <c r="Q733" i="1"/>
  <c r="Q734" i="1"/>
  <c r="Q731" i="1" l="1"/>
  <c r="Q725" i="1"/>
  <c r="Q722" i="1"/>
  <c r="Q729" i="1"/>
  <c r="Q728" i="1"/>
  <c r="Q726" i="1"/>
  <c r="E168" i="6" l="1"/>
  <c r="F89" i="5"/>
  <c r="Q724" i="1"/>
  <c r="Q723" i="1"/>
  <c r="Q716" i="1"/>
  <c r="Q721" i="1" l="1"/>
  <c r="Q715" i="1"/>
  <c r="Q713" i="1"/>
  <c r="Q712" i="1"/>
  <c r="Q714" i="1"/>
  <c r="F88" i="5" l="1"/>
  <c r="E167" i="6"/>
  <c r="Q707" i="1"/>
  <c r="Q711" i="1"/>
  <c r="Q710" i="1"/>
  <c r="Q709" i="1" s="1"/>
  <c r="F87" i="5" l="1"/>
  <c r="E162" i="6"/>
  <c r="Q706" i="1"/>
  <c r="Q705" i="1"/>
  <c r="Q704" i="1"/>
  <c r="Q703" i="1"/>
  <c r="Q702" i="1"/>
  <c r="Q694" i="1" l="1"/>
  <c r="Q695" i="1"/>
  <c r="Q693" i="1"/>
  <c r="Q697" i="1"/>
  <c r="Q701" i="1"/>
  <c r="Q700" i="1" s="1"/>
  <c r="F86" i="5" l="1"/>
  <c r="E161" i="6"/>
  <c r="Q692" i="1"/>
  <c r="Q696" i="1"/>
  <c r="Q691" i="1" l="1"/>
  <c r="Q690" i="1" s="1"/>
  <c r="Q687" i="1"/>
  <c r="Q688" i="1"/>
  <c r="E158" i="6" l="1"/>
  <c r="F85" i="5"/>
  <c r="Q685" i="1"/>
  <c r="Q682" i="1"/>
  <c r="Q684" i="1"/>
  <c r="Q683" i="1"/>
  <c r="Q686" i="1"/>
  <c r="Q681" i="1" l="1"/>
  <c r="Q676" i="1"/>
  <c r="Q677" i="1"/>
  <c r="Q678" i="1"/>
  <c r="F84" i="5" l="1"/>
  <c r="E157" i="6"/>
  <c r="Q673" i="1"/>
  <c r="Q675" i="1"/>
  <c r="Q674" i="1"/>
  <c r="Q672" i="1" s="1"/>
  <c r="E154" i="6" l="1"/>
  <c r="F83" i="5"/>
  <c r="Q670" i="1"/>
  <c r="Q669" i="1"/>
  <c r="Q668" i="1"/>
  <c r="Q667" i="1"/>
  <c r="Q665" i="1" l="1"/>
  <c r="Q658" i="1"/>
  <c r="Q662" i="1"/>
  <c r="Q659" i="1"/>
  <c r="Q661" i="1"/>
  <c r="Q660" i="1"/>
  <c r="F82" i="5" l="1"/>
  <c r="E153" i="6"/>
  <c r="Q655" i="1"/>
  <c r="Q653" i="1"/>
  <c r="Q657" i="1"/>
  <c r="Q654" i="1"/>
  <c r="F81" i="5" l="1"/>
  <c r="E150" i="6"/>
  <c r="Q649" i="1"/>
  <c r="Q652" i="1"/>
  <c r="Q648" i="1"/>
  <c r="Q641" i="1"/>
  <c r="Q650" i="1"/>
  <c r="F80" i="5" l="1"/>
  <c r="E148" i="6"/>
  <c r="Q647" i="1"/>
  <c r="Q636" i="1"/>
  <c r="Q645" i="1"/>
  <c r="Q644" i="1"/>
  <c r="E147" i="6" l="1"/>
  <c r="F79" i="5"/>
  <c r="Q643" i="1"/>
  <c r="Q637" i="1"/>
  <c r="Q635" i="1" s="1"/>
  <c r="Q640" i="1"/>
  <c r="Q639" i="1" s="1"/>
  <c r="F76" i="5" l="1"/>
  <c r="E144" i="6"/>
  <c r="F77" i="5"/>
  <c r="E145" i="6"/>
  <c r="E146" i="6"/>
  <c r="F78" i="5"/>
  <c r="Q631" i="1"/>
  <c r="Q630" i="1"/>
  <c r="Q632" i="1"/>
  <c r="Q627" i="1" l="1"/>
  <c r="Q629" i="1"/>
  <c r="Q623" i="1"/>
  <c r="Q622" i="1" s="1"/>
  <c r="Q626" i="1"/>
  <c r="E140" i="6" l="1"/>
  <c r="F73" i="5"/>
  <c r="F75" i="5"/>
  <c r="E142" i="6"/>
  <c r="Q625" i="1"/>
  <c r="Q611" i="1"/>
  <c r="Q619" i="1"/>
  <c r="Q618" i="1"/>
  <c r="Q617" i="1"/>
  <c r="E141" i="6" l="1"/>
  <c r="F74" i="5"/>
  <c r="Q612" i="1"/>
  <c r="Q614" i="1"/>
  <c r="Q613" i="1"/>
  <c r="Q616" i="1"/>
  <c r="F72" i="5" l="1"/>
  <c r="E138" i="6"/>
  <c r="Q601" i="1"/>
  <c r="Q610" i="1"/>
  <c r="Q599" i="1"/>
  <c r="Q603" i="1"/>
  <c r="F71" i="5" l="1"/>
  <c r="E137" i="6"/>
  <c r="Q600" i="1"/>
  <c r="Q602" i="1"/>
  <c r="Q597" i="1" l="1"/>
  <c r="Q596" i="1"/>
  <c r="Q589" i="1"/>
  <c r="Q595" i="1"/>
  <c r="Q593" i="1" l="1"/>
  <c r="Q590" i="1"/>
  <c r="Q591" i="1"/>
  <c r="F70" i="5" l="1"/>
  <c r="E130" i="6"/>
  <c r="Q586" i="1"/>
  <c r="Q584" i="1"/>
  <c r="Q588" i="1"/>
  <c r="Q585" i="1"/>
  <c r="E128" i="6" l="1"/>
  <c r="F69" i="5"/>
  <c r="Q583" i="1"/>
  <c r="Q580" i="1"/>
  <c r="Q581" i="1"/>
  <c r="Q577" i="1"/>
  <c r="F68" i="5" l="1"/>
  <c r="E127" i="6"/>
  <c r="Q579" i="1"/>
  <c r="Q567" i="1"/>
  <c r="Q573" i="1"/>
  <c r="Q576" i="1"/>
  <c r="Q574" i="1"/>
  <c r="E126" i="6" l="1"/>
  <c r="F67" i="5"/>
  <c r="Q570" i="1"/>
  <c r="Q568" i="1"/>
  <c r="Q571" i="1"/>
  <c r="Q563" i="1" l="1"/>
  <c r="Q566" i="1"/>
  <c r="Q562" i="1"/>
  <c r="Q565" i="1"/>
  <c r="Q555" i="1" l="1"/>
  <c r="Q554" i="1"/>
  <c r="Q561" i="1"/>
  <c r="Q559" i="1" s="1"/>
  <c r="E125" i="6" s="1"/>
  <c r="Q553" i="1"/>
  <c r="Q548" i="1" l="1"/>
  <c r="Q552" i="1"/>
  <c r="Q556" i="1"/>
  <c r="Q551" i="1" l="1"/>
  <c r="E122" i="6" s="1"/>
  <c r="Q547" i="1"/>
  <c r="Q541" i="1"/>
  <c r="Q545" i="1"/>
  <c r="Q549" i="1"/>
  <c r="Q544" i="1" l="1"/>
  <c r="Q538" i="1"/>
  <c r="Q542" i="1"/>
  <c r="Q539" i="1" l="1"/>
  <c r="Q535" i="1"/>
  <c r="Q537" i="1"/>
  <c r="Q527" i="1" l="1"/>
  <c r="Q528" i="1"/>
  <c r="Q534" i="1"/>
  <c r="Q532" i="1" s="1"/>
  <c r="F66" i="5" l="1"/>
  <c r="E121" i="6"/>
  <c r="Q520" i="1"/>
  <c r="Q529" i="1"/>
  <c r="Q526" i="1" s="1"/>
  <c r="F65" i="5" l="1"/>
  <c r="E118" i="6"/>
  <c r="Q524" i="1"/>
  <c r="Q523" i="1"/>
  <c r="Q522" i="1"/>
  <c r="Q516" i="1" l="1"/>
  <c r="Q513" i="1"/>
  <c r="Q510" i="1"/>
  <c r="Q517" i="1"/>
  <c r="Q519" i="1"/>
  <c r="Q514" i="1" l="1"/>
  <c r="Q512" i="1"/>
  <c r="Q503" i="1" l="1"/>
  <c r="Q502" i="1"/>
  <c r="Q509" i="1"/>
  <c r="Q507" i="1" s="1"/>
  <c r="F64" i="5" l="1"/>
  <c r="E117" i="6"/>
  <c r="Q500" i="1"/>
  <c r="Q501" i="1"/>
  <c r="Q504" i="1"/>
  <c r="Q498" i="1" l="1"/>
  <c r="Q499" i="1"/>
  <c r="Q495" i="1"/>
  <c r="Q497" i="1" l="1"/>
  <c r="Q491" i="1"/>
  <c r="Q490" i="1"/>
  <c r="Q493" i="1"/>
  <c r="O478" i="1"/>
  <c r="O2" i="1" s="1"/>
  <c r="Q494" i="1"/>
  <c r="E114" i="6" l="1"/>
  <c r="F63" i="5"/>
  <c r="P478" i="1"/>
  <c r="Q484" i="1"/>
  <c r="Q485" i="1"/>
  <c r="Q487" i="1"/>
  <c r="Q488" i="1"/>
  <c r="Q480" i="1" l="1"/>
  <c r="Q483" i="1"/>
  <c r="Q481" i="1"/>
  <c r="Q478" i="1" l="1"/>
  <c r="Q473" i="1"/>
  <c r="Q471" i="1"/>
  <c r="Q474" i="1"/>
  <c r="Q475" i="1"/>
  <c r="E113" i="6" l="1"/>
  <c r="F62" i="5"/>
  <c r="Q466" i="1"/>
  <c r="Q472" i="1"/>
  <c r="Q470" i="1" s="1"/>
  <c r="Q468" i="1"/>
  <c r="F61" i="5" l="1"/>
  <c r="E110" i="6"/>
  <c r="Q467" i="1"/>
  <c r="Q463" i="1"/>
  <c r="Q464" i="1"/>
  <c r="Q461" i="1" l="1"/>
  <c r="Q458" i="1"/>
  <c r="Q460" i="1"/>
  <c r="Q457" i="1"/>
  <c r="Q454" i="1" l="1"/>
  <c r="Q453" i="1"/>
  <c r="Q456" i="1"/>
  <c r="Q448" i="1" l="1"/>
  <c r="Q451" i="1"/>
  <c r="Q446" i="1"/>
  <c r="Q447" i="1"/>
  <c r="F60" i="5" l="1"/>
  <c r="E109" i="6"/>
  <c r="Q435" i="1"/>
  <c r="Q441" i="1"/>
  <c r="Q442" i="1"/>
  <c r="Q445" i="1"/>
  <c r="Q443" i="1"/>
  <c r="F59" i="5" l="1"/>
  <c r="E106" i="6"/>
  <c r="Q438" i="1"/>
  <c r="Q436" i="1"/>
  <c r="Q439" i="1"/>
  <c r="Q431" i="1" l="1"/>
  <c r="Q432" i="1"/>
  <c r="Q429" i="1"/>
  <c r="Q433" i="1"/>
  <c r="Q422" i="1" l="1"/>
  <c r="Q419" i="1"/>
  <c r="Q428" i="1"/>
  <c r="Q426" i="1" s="1"/>
  <c r="Q421" i="1"/>
  <c r="Q420" i="1"/>
  <c r="E105" i="6" l="1"/>
  <c r="F58" i="5"/>
  <c r="Q414" i="1"/>
  <c r="Q423" i="1"/>
  <c r="Q418" i="1" s="1"/>
  <c r="E102" i="6" l="1"/>
  <c r="F57" i="5"/>
  <c r="Q412" i="1"/>
  <c r="Q415" i="1"/>
  <c r="Q408" i="1"/>
  <c r="Q416" i="1"/>
  <c r="Q409" i="1" l="1"/>
  <c r="Q405" i="1"/>
  <c r="Q411" i="1"/>
  <c r="Q402" i="1"/>
  <c r="Q406" i="1" l="1"/>
  <c r="Q404" i="1"/>
  <c r="Q394" i="1" l="1"/>
  <c r="Q392" i="1"/>
  <c r="Q401" i="1"/>
  <c r="Q399" i="1" s="1"/>
  <c r="F56" i="5" l="1"/>
  <c r="E101" i="6"/>
  <c r="Q393" i="1"/>
  <c r="Q396" i="1"/>
  <c r="Q395" i="1"/>
  <c r="Q391" i="1" l="1"/>
  <c r="Q381" i="1"/>
  <c r="Q389" i="1"/>
  <c r="Q387" i="1"/>
  <c r="Q385" i="1"/>
  <c r="Q388" i="1"/>
  <c r="F55" i="5" l="1"/>
  <c r="E98" i="6"/>
  <c r="Q384" i="1"/>
  <c r="Q382" i="1"/>
  <c r="Q375" i="1" l="1"/>
  <c r="Q379" i="1"/>
  <c r="Q377" i="1"/>
  <c r="Q378" i="1"/>
  <c r="Q374" i="1" l="1"/>
  <c r="Q372" i="1" s="1"/>
  <c r="Q368" i="1"/>
  <c r="F54" i="5" l="1"/>
  <c r="E97" i="6"/>
  <c r="Q363" i="1"/>
  <c r="Q367" i="1"/>
  <c r="Q369" i="1"/>
  <c r="Q366" i="1" l="1"/>
  <c r="Q364" i="1"/>
  <c r="Q356" i="1"/>
  <c r="Q362" i="1"/>
  <c r="F53" i="5" l="1"/>
  <c r="E94" i="6"/>
  <c r="Q351" i="1"/>
  <c r="Q355" i="1"/>
  <c r="Q358" i="1"/>
  <c r="Q361" i="1"/>
  <c r="Q357" i="1"/>
  <c r="Q359" i="1"/>
  <c r="F52" i="5" l="1"/>
  <c r="E93" i="6"/>
  <c r="Q354" i="1"/>
  <c r="Q352" i="1"/>
  <c r="Q350" i="1"/>
  <c r="Q349" i="1"/>
  <c r="E92" i="6" l="1"/>
  <c r="F51" i="5"/>
  <c r="Q345" i="1"/>
  <c r="Q343" i="1"/>
  <c r="Q346" i="1"/>
  <c r="Q347" i="1"/>
  <c r="Q342" i="1" l="1"/>
  <c r="Q338" i="1"/>
  <c r="Q341" i="1"/>
  <c r="Q340" i="1"/>
  <c r="Q336" i="1" l="1"/>
  <c r="Q333" i="1"/>
  <c r="Q335" i="1"/>
  <c r="Q337" i="1"/>
  <c r="Q332" i="1" l="1"/>
  <c r="Q323" i="1"/>
  <c r="Q325" i="1"/>
  <c r="Q331" i="1"/>
  <c r="Q328" i="1" l="1"/>
  <c r="Q326" i="1"/>
  <c r="Q324" i="1"/>
  <c r="Q317" i="1"/>
  <c r="E91" i="6" l="1"/>
  <c r="F50" i="5"/>
  <c r="Q312" i="1"/>
  <c r="Q320" i="1"/>
  <c r="Q321" i="1"/>
  <c r="Q319" i="1"/>
  <c r="Q315" i="1" l="1"/>
  <c r="Q314" i="1"/>
  <c r="Q316" i="1"/>
  <c r="Q307" i="1" l="1"/>
  <c r="Q309" i="1"/>
  <c r="Q310" i="1"/>
  <c r="Q311" i="1"/>
  <c r="Q306" i="1" l="1"/>
  <c r="Q299" i="1"/>
  <c r="Q298" i="1"/>
  <c r="Q305" i="1"/>
  <c r="Q302" i="1" s="1"/>
  <c r="F49" i="5" l="1"/>
  <c r="E90" i="6"/>
  <c r="Q295" i="1"/>
  <c r="Q296" i="1"/>
  <c r="Q297" i="1"/>
  <c r="Q292" i="1" l="1"/>
  <c r="Q294" i="1"/>
  <c r="Q291" i="1"/>
  <c r="Q290" i="1"/>
  <c r="F48" i="5" l="1"/>
  <c r="E87" i="6"/>
  <c r="Q285" i="1"/>
  <c r="Q287" i="1"/>
  <c r="Q284" i="1"/>
  <c r="Q281" i="1"/>
  <c r="Q288" i="1"/>
  <c r="Q282" i="1" l="1"/>
  <c r="Q278" i="1"/>
  <c r="Q280" i="1"/>
  <c r="Q277" i="1" l="1"/>
  <c r="Q275" i="1" s="1"/>
  <c r="Q271" i="1"/>
  <c r="F47" i="5" l="1"/>
  <c r="E86" i="6"/>
  <c r="Q272" i="1"/>
  <c r="Q270" i="1"/>
  <c r="Q269" i="1" l="1"/>
  <c r="Q263" i="1"/>
  <c r="Q265" i="1"/>
  <c r="Q266" i="1"/>
  <c r="Q267" i="1"/>
  <c r="F46" i="5" l="1"/>
  <c r="E83" i="6"/>
  <c r="Q256" i="1"/>
  <c r="Q262" i="1"/>
  <c r="Q260" i="1"/>
  <c r="Q259" i="1"/>
  <c r="Q253" i="1" l="1"/>
  <c r="Q257" i="1"/>
  <c r="Q255" i="1"/>
  <c r="Q252" i="1" l="1"/>
  <c r="Q250" i="1" l="1"/>
  <c r="Q242" i="1"/>
  <c r="Q246" i="1"/>
  <c r="Q245" i="1" s="1"/>
  <c r="Q243" i="1"/>
  <c r="F44" i="5" l="1"/>
  <c r="E74" i="6"/>
  <c r="F45" i="5"/>
  <c r="E82" i="6"/>
  <c r="Q241" i="1"/>
  <c r="Q240" i="1" s="1"/>
  <c r="Q237" i="1"/>
  <c r="Q238" i="1"/>
  <c r="E73" i="6" l="1"/>
  <c r="F43" i="5"/>
  <c r="Q233" i="1"/>
  <c r="Q236" i="1"/>
  <c r="Q235" i="1" s="1"/>
  <c r="E72" i="6" l="1"/>
  <c r="F42" i="5"/>
  <c r="Q232" i="1"/>
  <c r="Q229" i="1"/>
  <c r="Q226" i="1"/>
  <c r="Q228" i="1"/>
  <c r="Q227" i="1"/>
  <c r="F41" i="5" l="1"/>
  <c r="E71" i="6"/>
  <c r="Q223" i="1"/>
  <c r="Q222" i="1"/>
  <c r="Q225" i="1"/>
  <c r="F40" i="5" l="1"/>
  <c r="E69" i="6"/>
  <c r="Q221" i="1"/>
  <c r="Q219" i="1"/>
  <c r="Q217" i="1"/>
  <c r="Q210" i="1"/>
  <c r="Q218" i="1"/>
  <c r="F39" i="5" l="1"/>
  <c r="E68" i="6"/>
  <c r="Q205" i="1"/>
  <c r="Q212" i="1"/>
  <c r="Q213" i="1"/>
  <c r="Q216" i="1"/>
  <c r="Q211" i="1"/>
  <c r="Q209" i="1"/>
  <c r="F38" i="5" l="1"/>
  <c r="E67" i="6"/>
  <c r="Q208" i="1"/>
  <c r="Q202" i="1"/>
  <c r="Q201" i="1"/>
  <c r="Q204" i="1"/>
  <c r="Q203" i="1"/>
  <c r="F37" i="5" l="1"/>
  <c r="E64" i="6"/>
  <c r="Q195" i="1"/>
  <c r="Q196" i="1"/>
  <c r="Q200" i="1"/>
  <c r="Q194" i="1"/>
  <c r="Q197" i="1"/>
  <c r="F36" i="5" l="1"/>
  <c r="E61" i="6"/>
  <c r="Q193" i="1"/>
  <c r="Q189" i="1"/>
  <c r="Q182" i="1"/>
  <c r="Q181" i="1" s="1"/>
  <c r="Q188" i="1" l="1"/>
  <c r="F32" i="5"/>
  <c r="E51" i="6"/>
  <c r="F35" i="5"/>
  <c r="E58" i="6"/>
  <c r="Q185" i="1"/>
  <c r="Q184" i="1" s="1"/>
  <c r="F33" i="5" l="1"/>
  <c r="E52" i="6"/>
  <c r="E55" i="6"/>
  <c r="F34" i="5"/>
  <c r="Q175" i="1"/>
  <c r="Q174" i="1" s="1"/>
  <c r="Q178" i="1"/>
  <c r="Q177" i="1" s="1"/>
  <c r="E47" i="6" l="1"/>
  <c r="F30" i="5"/>
  <c r="F31" i="5"/>
  <c r="E48" i="6"/>
  <c r="Q171" i="1"/>
  <c r="Q170" i="1" s="1"/>
  <c r="Q168" i="1"/>
  <c r="Q167" i="1" s="1"/>
  <c r="F29" i="5" l="1"/>
  <c r="E44" i="6"/>
  <c r="F28" i="5"/>
  <c r="E43" i="6"/>
  <c r="Q161" i="1"/>
  <c r="Q157" i="1"/>
  <c r="Q165" i="1"/>
  <c r="Q164" i="1" l="1"/>
  <c r="Q156" i="1"/>
  <c r="Q158" i="1"/>
  <c r="Q160" i="1"/>
  <c r="F27" i="5" l="1"/>
  <c r="E42" i="6"/>
  <c r="Q154" i="1"/>
  <c r="Q151" i="1"/>
  <c r="Q155" i="1"/>
  <c r="Q153" i="1" l="1"/>
  <c r="Q147" i="1"/>
  <c r="Q148" i="1"/>
  <c r="Q150" i="1"/>
  <c r="Q144" i="1"/>
  <c r="Q146" i="1"/>
  <c r="F26" i="5" l="1"/>
  <c r="E39" i="6"/>
  <c r="Q145" i="1"/>
  <c r="Q143" i="1" s="1"/>
  <c r="Q138" i="1"/>
  <c r="Q141" i="1"/>
  <c r="F25" i="5" l="1"/>
  <c r="E38" i="6"/>
  <c r="Q137" i="1"/>
  <c r="Q136" i="1"/>
  <c r="Q140" i="1"/>
  <c r="Q135" i="1" l="1"/>
  <c r="Q127" i="1"/>
  <c r="Q126" i="1"/>
  <c r="Q134" i="1"/>
  <c r="Q133" i="1" l="1"/>
  <c r="Q124" i="1"/>
  <c r="Q128" i="1"/>
  <c r="Q125" i="1"/>
  <c r="F24" i="5" l="1"/>
  <c r="E37" i="6"/>
  <c r="Q115" i="1"/>
  <c r="Q122" i="1"/>
  <c r="Q123" i="1"/>
  <c r="Q116" i="1" l="1"/>
  <c r="Q121" i="1"/>
  <c r="Q117" i="1"/>
  <c r="Q118" i="1"/>
  <c r="Q114" i="1"/>
  <c r="F23" i="5" l="1"/>
  <c r="E33" i="6"/>
  <c r="Q112" i="1"/>
  <c r="Q105" i="1"/>
  <c r="Q113" i="1"/>
  <c r="Q106" i="1"/>
  <c r="Q107" i="1" l="1"/>
  <c r="Q108" i="1"/>
  <c r="Q111" i="1"/>
  <c r="F22" i="5" l="1"/>
  <c r="E30" i="6"/>
  <c r="Q103" i="1"/>
  <c r="Q99" i="1"/>
  <c r="Q100" i="1"/>
  <c r="Q101" i="1"/>
  <c r="Q98" i="1"/>
  <c r="Q97" i="1"/>
  <c r="F21" i="5" l="1"/>
  <c r="E27" i="6"/>
  <c r="Q92" i="1"/>
  <c r="Q93" i="1"/>
  <c r="Q96" i="1"/>
  <c r="Q95" i="1" l="1"/>
  <c r="Q88" i="1"/>
  <c r="Q89" i="1"/>
  <c r="Q91" i="1"/>
  <c r="Q87" i="1"/>
  <c r="F20" i="5" l="1"/>
  <c r="E26" i="6"/>
  <c r="Q86" i="1"/>
  <c r="Q84" i="1" l="1"/>
  <c r="Q80" i="1"/>
  <c r="Q78" i="1"/>
  <c r="Q79" i="1"/>
  <c r="Q81" i="1"/>
  <c r="F19" i="5" l="1"/>
  <c r="E25" i="6"/>
  <c r="Q76" i="1"/>
  <c r="Q73" i="1"/>
  <c r="Q74" i="1"/>
  <c r="Q70" i="1"/>
  <c r="F18" i="5" l="1"/>
  <c r="E22" i="6"/>
  <c r="Q72" i="1"/>
  <c r="Q68" i="1"/>
  <c r="Q69" i="1"/>
  <c r="Q65" i="1"/>
  <c r="F17" i="5" l="1"/>
  <c r="E20" i="6"/>
  <c r="Q56" i="1"/>
  <c r="Q64" i="1"/>
  <c r="Q60" i="1"/>
  <c r="Q67" i="1"/>
  <c r="Q63" i="1"/>
  <c r="F16" i="5" l="1"/>
  <c r="E19" i="6"/>
  <c r="Q62" i="1"/>
  <c r="Q59" i="1"/>
  <c r="Q58" i="1" s="1"/>
  <c r="Q55" i="1"/>
  <c r="Q54" i="1" s="1"/>
  <c r="E17" i="6" l="1"/>
  <c r="F14" i="5"/>
  <c r="F13" i="5"/>
  <c r="E16" i="6"/>
  <c r="F15" i="5"/>
  <c r="E18" i="6"/>
  <c r="Q51" i="1"/>
  <c r="Q52" i="1"/>
  <c r="Q48" i="1" l="1"/>
  <c r="Q50" i="1"/>
  <c r="Q47" i="1"/>
  <c r="F12" i="5" l="1"/>
  <c r="E15" i="6"/>
  <c r="Q46" i="1"/>
  <c r="Q43" i="1"/>
  <c r="Q39" i="1"/>
  <c r="Q42" i="1"/>
  <c r="F11" i="5" l="1"/>
  <c r="E14" i="6"/>
  <c r="Q31" i="1"/>
  <c r="Q35" i="1"/>
  <c r="Q41" i="1"/>
  <c r="Q38" i="1"/>
  <c r="Q37" i="1" s="1"/>
  <c r="Q34" i="1" l="1"/>
  <c r="F9" i="5"/>
  <c r="E11" i="6"/>
  <c r="F10" i="5"/>
  <c r="E12" i="6"/>
  <c r="Q30" i="1"/>
  <c r="Q29" i="1"/>
  <c r="Q23" i="1"/>
  <c r="F8" i="5" l="1"/>
  <c r="E10" i="6"/>
  <c r="Q28" i="1"/>
  <c r="Q18" i="1"/>
  <c r="Q26" i="1"/>
  <c r="Q24" i="1"/>
  <c r="Q25" i="1"/>
  <c r="Q22" i="1" s="1"/>
  <c r="F6" i="5" l="1"/>
  <c r="E7" i="6"/>
  <c r="F7" i="5"/>
  <c r="E8" i="6"/>
  <c r="Q19" i="1"/>
  <c r="Q16" i="1"/>
  <c r="Q20" i="1"/>
  <c r="Q13" i="1" l="1"/>
  <c r="Q11" i="1"/>
  <c r="Q12" i="1"/>
  <c r="Q15" i="1"/>
  <c r="Q14" i="1"/>
  <c r="Q9" i="1" l="1"/>
  <c r="Q8" i="1"/>
  <c r="Q10" i="1"/>
  <c r="P2" i="1"/>
  <c r="Q7" i="1"/>
  <c r="Q2" i="1" l="1"/>
  <c r="Q6" i="1"/>
  <c r="F5" i="5" l="1"/>
  <c r="E6" i="6"/>
  <c r="E298" i="6" s="1"/>
</calcChain>
</file>

<file path=xl/sharedStrings.xml><?xml version="1.0" encoding="utf-8"?>
<sst xmlns="http://schemas.openxmlformats.org/spreadsheetml/2006/main" count="10596" uniqueCount="1363">
  <si>
    <t>Line No.</t>
  </si>
  <si>
    <t>Comment</t>
  </si>
  <si>
    <t>Resource Name</t>
  </si>
  <si>
    <t>Unit</t>
  </si>
  <si>
    <t>No</t>
  </si>
  <si>
    <t>Production</t>
  </si>
  <si>
    <t>Quantity</t>
  </si>
  <si>
    <t>Rate</t>
  </si>
  <si>
    <t>Labour</t>
  </si>
  <si>
    <t>Material</t>
  </si>
  <si>
    <t>Plant</t>
  </si>
  <si>
    <t>Subcontract</t>
  </si>
  <si>
    <t>Total</t>
  </si>
  <si>
    <t xml:space="preserve">Line No 1
Item No </t>
  </si>
  <si>
    <t>Schedule A - Roadworks Dysart Bypass Road Widening</t>
  </si>
  <si>
    <t>Line No 2
Item No 1</t>
  </si>
  <si>
    <t>Preliminaries</t>
  </si>
  <si>
    <t>Line No 3
Item No (a)</t>
  </si>
  <si>
    <t xml:space="preserve">Item </t>
  </si>
  <si>
    <t>Project Supervisor</t>
  </si>
  <si>
    <t xml:space="preserve">week </t>
  </si>
  <si>
    <t>Project Engineer</t>
  </si>
  <si>
    <t>Float</t>
  </si>
  <si>
    <t xml:space="preserve">LS   </t>
  </si>
  <si>
    <t>Accommodation</t>
  </si>
  <si>
    <t xml:space="preserve">day  </t>
  </si>
  <si>
    <t xml:space="preserve">hr   </t>
  </si>
  <si>
    <t>Tipper</t>
  </si>
  <si>
    <t>Water Cart - Hire</t>
  </si>
  <si>
    <t>Line No 4
Item No (b)</t>
  </si>
  <si>
    <t>Provision for Traffic and Safety including an approved Traffic Management Plan required by Council prior to commencement of site works.</t>
  </si>
  <si>
    <t xml:space="preserve">each </t>
  </si>
  <si>
    <t xml:space="preserve">m    </t>
  </si>
  <si>
    <t>Line No 5
Item No (c )</t>
  </si>
  <si>
    <t>Construction Setout by Contractor</t>
  </si>
  <si>
    <t>Surveyor</t>
  </si>
  <si>
    <t xml:space="preserve">Line No 6
Item No </t>
  </si>
  <si>
    <t>[Note: Council to provide an initial control line, TBM's, prior to commencement of works; Contractor shall be responsible for all other setout to construct the works</t>
  </si>
  <si>
    <t>Line No 7
Item No (d )</t>
  </si>
  <si>
    <t>Provision of evidence of Public Liability Insurance ($10 million), and Workers Compensation Insurance for the works.</t>
  </si>
  <si>
    <t>CAR</t>
  </si>
  <si>
    <t>Line No 8
Item No (e)</t>
  </si>
  <si>
    <t>Locate Existing Services (Dial-Before-You-Dig, CapVac Truck etc) as required in existing road reserves</t>
  </si>
  <si>
    <t>WHSO</t>
  </si>
  <si>
    <t>Service Locator</t>
  </si>
  <si>
    <t>Line No 9
Item No (f)</t>
  </si>
  <si>
    <t>As Constructed Survey Data to Council Requirements.</t>
  </si>
  <si>
    <t>Line No 10
Item No (g)</t>
  </si>
  <si>
    <t>Geotechnical Testing by NATA Registered laboratory</t>
  </si>
  <si>
    <t>Line No 11
Item No (i)</t>
  </si>
  <si>
    <t xml:space="preserve"> No  </t>
  </si>
  <si>
    <t>Geotech Travel</t>
  </si>
  <si>
    <t xml:space="preserve">km   </t>
  </si>
  <si>
    <t>CBR Test</t>
  </si>
  <si>
    <t>Line No 12
Item No (ii)</t>
  </si>
  <si>
    <t>Subgrade Compaction testing as specified</t>
  </si>
  <si>
    <t>Field Density</t>
  </si>
  <si>
    <t>Line No 13
Item No (iii)</t>
  </si>
  <si>
    <t>Sub-Base Compaction testing as specified - assume 1 layer</t>
  </si>
  <si>
    <t>Line No 14
Item No (iv)</t>
  </si>
  <si>
    <t>Base Compaction testing as specified</t>
  </si>
  <si>
    <t>Line No 15
Item No (v)</t>
  </si>
  <si>
    <t>Sub-Base Quality Testing as specified; Full Atterbergs and grading plus full Quarry Stockpile results  - assume 1 layer</t>
  </si>
  <si>
    <t>Gravel Properties Testing</t>
  </si>
  <si>
    <t>Line No 16
Item No (vi)</t>
  </si>
  <si>
    <t>Base Quality Testing as specified; Full Atterbergs and grading plus full Quarry Stockpile results.</t>
  </si>
  <si>
    <t>Line No 17
Item No (vii)</t>
  </si>
  <si>
    <t>Culvert Trench Backfilling - Compaction Tests as ordered</t>
  </si>
  <si>
    <t>Line No 19
Item No 2</t>
  </si>
  <si>
    <t>Clearing &amp; Grubbing and complete offsite disposal of Spoil inclusive of Dump Fees as required.</t>
  </si>
  <si>
    <t>Excavator - 25T</t>
  </si>
  <si>
    <t>Line No 21
Item No 3</t>
  </si>
  <si>
    <t xml:space="preserve"> Earthworks - excavate and place as embankment as directed</t>
  </si>
  <si>
    <t>Line No 22
Item No (a)</t>
  </si>
  <si>
    <t xml:space="preserve">m3   </t>
  </si>
  <si>
    <t>Cut Embankment</t>
  </si>
  <si>
    <t>Fill Where Required</t>
  </si>
  <si>
    <t>PF Roller</t>
  </si>
  <si>
    <t>Grader</t>
  </si>
  <si>
    <t>Line No 23
Item No (c)</t>
  </si>
  <si>
    <t>Remove isolated soft spots in subgrade as ordered and replace with Selected Spoil material - Provisional Item</t>
  </si>
  <si>
    <t>PF Roller Wet - No OP</t>
  </si>
  <si>
    <t>Bobcat</t>
  </si>
  <si>
    <t>Line No 24
Item No (d)</t>
  </si>
  <si>
    <t>Provisional Item Allowance to excavate an additional 150mm depth to the pavement box if required over 25% of length (material to spoil at IRC Tip) - Only if ordered by the Superintendent</t>
  </si>
  <si>
    <t>Line No 26
Item No 4</t>
  </si>
  <si>
    <t>Prepare Subgrade Surface for Gravel Pavement &amp; for Council Inspection, (incl. provision of subgrade levels and compaction test results by Contractor)</t>
  </si>
  <si>
    <t>Line No 27
Item No (a)</t>
  </si>
  <si>
    <t xml:space="preserve">m2   </t>
  </si>
  <si>
    <t>SD Roller - Wet (No Op)</t>
  </si>
  <si>
    <t>Line No 29
Item No 5</t>
  </si>
  <si>
    <t>Prepare Base Gravel Surface for Primerseal &amp; for Council Inspection, incl provision of compaction test results</t>
  </si>
  <si>
    <t>Line No 30
Item No (a)</t>
  </si>
  <si>
    <t>Line No 31
Item No 6</t>
  </si>
  <si>
    <t>Gravel Pavement</t>
  </si>
  <si>
    <t xml:space="preserve">Line No 32
Item No </t>
  </si>
  <si>
    <t>In Place complete, including supply, spreading, watering, rolling and trimming:-</t>
  </si>
  <si>
    <t xml:space="preserve">Line No 33
Item No </t>
  </si>
  <si>
    <t>(a) Bypass Road Widening Ch 18 to Ch 2801</t>
  </si>
  <si>
    <t>Line No 34
Item No (i)</t>
  </si>
  <si>
    <t>tonne</t>
  </si>
  <si>
    <t>Gravel will be transported to stockpile. Allow for double handling</t>
  </si>
  <si>
    <t>Line No 35
Item No (ii)</t>
  </si>
  <si>
    <t>CBR45</t>
  </si>
  <si>
    <t>Line No 36
Item No (iii)</t>
  </si>
  <si>
    <t>Line No 38
Item No 7</t>
  </si>
  <si>
    <t>Primerseal complete in place (10mm stone ); spray rates nominally to be 1.1 l/sqm C170 -  SEAL DESIGN TO BE CONFIRMED</t>
  </si>
  <si>
    <t>Line No 39
Item No (a)</t>
  </si>
  <si>
    <t>Primer Seal - 10mm</t>
  </si>
  <si>
    <t xml:space="preserve">m²   </t>
  </si>
  <si>
    <t>Line No 40
Item No (b)</t>
  </si>
  <si>
    <t>Line No 41
Item No (c)</t>
  </si>
  <si>
    <t>Bypass Road 7 metre section over where New RCBC culvert placement approx Ch 600</t>
  </si>
  <si>
    <t>Line No 43
Item No 8</t>
  </si>
  <si>
    <t>Bitumen Seal - First Coat complete in place (16mm primerseal ) ; spray rates nominally to be 1.6 l/sqm C170 - SHOULDER WIDENING, SEAL DESIGN TO BE CONFIRMED</t>
  </si>
  <si>
    <t>Line No 44
Item No (a)</t>
  </si>
  <si>
    <t>Primer Seal - 16mm</t>
  </si>
  <si>
    <t>Line No 45
Item No (b)</t>
  </si>
  <si>
    <t>Line No 47
Item No 9</t>
  </si>
  <si>
    <t>Bitumen Seal - Second Coat complete in place (10mm second coat); spray rates nominally to be 1.2 l/sqm C170 - 7 METRE WIDE SEAL,  SEAL DESIGN TO BE CONFIRMED</t>
  </si>
  <si>
    <t>Line No 48
Item No (a)</t>
  </si>
  <si>
    <t>Seal Visit One</t>
  </si>
  <si>
    <t>Line No 49
Item No (b)</t>
  </si>
  <si>
    <t>Line No 51
Item No 10</t>
  </si>
  <si>
    <t>DG10 Asphaltic Concrete Pavement 35mm minimum thickness - complete in place including sawcut edges and neat smooth joins</t>
  </si>
  <si>
    <t>Line No 52
Item No (a)</t>
  </si>
  <si>
    <t>35mm AC</t>
  </si>
  <si>
    <t xml:space="preserve">Line No 53
Item No </t>
  </si>
  <si>
    <t>Line No 54
Item No 11</t>
  </si>
  <si>
    <t>Access Ch 826 RHS (Dysart Horse Performance Association)</t>
  </si>
  <si>
    <t>Line No 55
Item No (a)</t>
  </si>
  <si>
    <t>Line No 57
Item No 12</t>
  </si>
  <si>
    <t>Access Ch 1642 RHS (Cemetery Carpark Access)</t>
  </si>
  <si>
    <t>Line No 58
Item No (a)</t>
  </si>
  <si>
    <t>Line No 60
Item No 13</t>
  </si>
  <si>
    <t>Access Ch 1660 RHS (Cemetery Access)</t>
  </si>
  <si>
    <t>Line No 61
Item No (a)</t>
  </si>
  <si>
    <t>Line No 63
Item No 14</t>
  </si>
  <si>
    <t>Soil Management Measures inclusive of:</t>
  </si>
  <si>
    <t>Line No 64
Item No (a)</t>
  </si>
  <si>
    <t>Line No 65
Item No (b)</t>
  </si>
  <si>
    <t>Hydromulch to all disturbed areas as directed (batters &amp; drains)</t>
  </si>
  <si>
    <t>Hydromulch Subbie</t>
  </si>
  <si>
    <t>Line No 66
Item No (c)</t>
  </si>
  <si>
    <t>Rock check dams as directed</t>
  </si>
  <si>
    <t xml:space="preserve">No   </t>
  </si>
  <si>
    <t>Gabion Rock</t>
  </si>
  <si>
    <t>Line No 67
Item No 15</t>
  </si>
  <si>
    <t>Road Furniture</t>
  </si>
  <si>
    <t>Line No 68
Item No (a)</t>
  </si>
  <si>
    <t>Supply and Install New Guide Posts - allow new on widened side only and adjacent to end wall extensions</t>
  </si>
  <si>
    <t>Guide Post</t>
  </si>
  <si>
    <t>Line No 69
Item No (b)</t>
  </si>
  <si>
    <t>Supply and Install Floodway Depth markers (G9-22-1A)</t>
  </si>
  <si>
    <t>Signs Complete</t>
  </si>
  <si>
    <t>Line No 70
Item No (c)</t>
  </si>
  <si>
    <t>Remove Signs for widening and reinstate</t>
  </si>
  <si>
    <t>Line No 71
Item No (d)</t>
  </si>
  <si>
    <t>Provisional Item Guardrail as per Note 5 on plan 842-R02 allow (3 lengths of Armoc ® 'W' Beam type XR &amp; standard posts rammed into the ground with bull nose terminal ends) Only if ordered by Superintendent</t>
  </si>
  <si>
    <t>Guard Rail</t>
  </si>
  <si>
    <t xml:space="preserve">Line No 77
Item No </t>
  </si>
  <si>
    <t>Schedule B - Drainage Dysart Bypass Rd</t>
  </si>
  <si>
    <t>Line No 78
Item No 1</t>
  </si>
  <si>
    <t>Ch 49.400 Extend 375 dia SRC Pipe Class 2, Installation to Main Roads Std Dwg 1359</t>
  </si>
  <si>
    <t>Line No 79
Item No (a)</t>
  </si>
  <si>
    <t>Purchase Materials</t>
  </si>
  <si>
    <t>375 RCP</t>
  </si>
  <si>
    <t>Crusher Dust - Delivered</t>
  </si>
  <si>
    <t>Remove Existing Headwall</t>
  </si>
  <si>
    <t>Place Bedding Sand</t>
  </si>
  <si>
    <t>Install Pipe</t>
  </si>
  <si>
    <t>Backfill &amp; Compact</t>
  </si>
  <si>
    <t>Line No 80
Item No (b)</t>
  </si>
  <si>
    <t>1 x 375 dia Endwall , Precast Type with wings Complete in place, incl. Excavate, sand, supply and install.</t>
  </si>
  <si>
    <t>HW - 375</t>
  </si>
  <si>
    <t>Line No 82
Item No 2</t>
  </si>
  <si>
    <t>Ch 300 Extend 4/450 dia SRC Pipe Class 2, Installation to Main Roads Std Dwg 1359</t>
  </si>
  <si>
    <t>Line No 83
Item No (a)</t>
  </si>
  <si>
    <t>Line No 84
Item No (b)</t>
  </si>
  <si>
    <t>4 x 450 Cast Insitu Endwall to Main Roads Std Dwg 1306 Complete in place, incl. Excavate, supply and construct</t>
  </si>
  <si>
    <t xml:space="preserve">m³   </t>
  </si>
  <si>
    <t>Form Ply</t>
  </si>
  <si>
    <t>Form Boards</t>
  </si>
  <si>
    <t>Line No 86
Item No 3</t>
  </si>
  <si>
    <t>Ch 600 Extend 2/1800 x 600 RCBC and Add 3 New Cells 1800 x 600, Installation to Main Roads Std Dwg 1359</t>
  </si>
  <si>
    <t>Line No 87
Item No (a)</t>
  </si>
  <si>
    <t>Culvert to be installed in halves. Traffic control with loghts outside working hours.</t>
  </si>
  <si>
    <t>Excavate Culvert</t>
  </si>
  <si>
    <t>Bedding</t>
  </si>
  <si>
    <t>Sand</t>
  </si>
  <si>
    <t>Pour Base</t>
  </si>
  <si>
    <t>Steel</t>
  </si>
  <si>
    <t>Steel Fixing</t>
  </si>
  <si>
    <t>Concrete Subbie</t>
  </si>
  <si>
    <t>N40</t>
  </si>
  <si>
    <t>Place Culverts</t>
  </si>
  <si>
    <t>RCBC - 1800 x 600</t>
  </si>
  <si>
    <t>Backfill</t>
  </si>
  <si>
    <t>CBR80</t>
  </si>
  <si>
    <t>Line No 88
Item No (b)</t>
  </si>
  <si>
    <t>Install NEW 3/1800 x 600 RCBC adjacent to existing lengthened Culvert Complete in place, incl. excavate, sand, supply, lay and backfill.</t>
  </si>
  <si>
    <t>Line No 89
Item No (c)</t>
  </si>
  <si>
    <t>NEW 5/1800 x 600 Cast Insitu Endwalls and Aprons to Main Roads Std Dwgs 1304 and 1371 Complete in place, incl. Excavate, supply and construct (existing to be removed)</t>
  </si>
  <si>
    <t>Concrete Pump</t>
  </si>
  <si>
    <t>Line No 90
Item No (d)</t>
  </si>
  <si>
    <t>Excavate inlet and outlet at 0.5% grade with 10m base width to connect to existing drains neatly and smoothly.</t>
  </si>
  <si>
    <t>Line No 91
Item No (e)</t>
  </si>
  <si>
    <t>Rip Rap Rock Protection in 250mm dia rock (layer 0.5m thick) to Outlet to extend 10m past culvert end and up batters a minimum of 1m - leave neat, tidy and even surface to rock.</t>
  </si>
  <si>
    <t>Line No 93
Item No 4</t>
  </si>
  <si>
    <t>Ch 800 Extend 4/450 dia SRC Pipe Class 2, Installation to Main Roads Std Dwg 1359</t>
  </si>
  <si>
    <t>Line No 94
Item No (a)</t>
  </si>
  <si>
    <t>Line No 95
Item No (b)</t>
  </si>
  <si>
    <t>4 x 450 Cast Insitu Endwall ,Main Roads Std Dwg 1306 Complete in place, incl. Excavate, supply and construct</t>
  </si>
  <si>
    <t>Line No 97
Item No 5</t>
  </si>
  <si>
    <t>Ch 1300 Extend 4/450 dia SRC Pipe Class 2 SRC, Installation to Main Roads STD DWG 1359</t>
  </si>
  <si>
    <t>Line No 98
Item No (a)</t>
  </si>
  <si>
    <t>Line No 99
Item No (b)</t>
  </si>
  <si>
    <t>Line No 101
Item No 6</t>
  </si>
  <si>
    <t>Ch 1500 Extend 375 dia SRC Pipe Class 2, Installation to Main Roads Std Dwg 1359</t>
  </si>
  <si>
    <t>Line No 102
Item No (a)</t>
  </si>
  <si>
    <t>Line No 103
Item No (b)</t>
  </si>
  <si>
    <t>1 x 375 Endwall with wings , Precast Type Complete in place, incl. Excavate, sand, supply and install.</t>
  </si>
  <si>
    <t>Line No 105
Item No 7</t>
  </si>
  <si>
    <t>Ch 1749.800 Extend 2/450 dia SRC Pipe Class 2, Installation to Main Roads Std Dwg 1359</t>
  </si>
  <si>
    <t>Line No 106
Item No (a)</t>
  </si>
  <si>
    <t>Line No 107
Item No (b)</t>
  </si>
  <si>
    <t>2 x 450 Cast Insitu Endwall to Main Roads Std Dwg 1306 Complete in place, incl. Excavate, supply and construct</t>
  </si>
  <si>
    <t>Line No 109
Item No 8</t>
  </si>
  <si>
    <t>Ch 1949.800 Extend 2/750 dia SRC Pipe Class 2, Installation to Main Roads Std Dwg 1359</t>
  </si>
  <si>
    <t>Line No 110
Item No (a)</t>
  </si>
  <si>
    <t>Line No 111
Item No (b)</t>
  </si>
  <si>
    <t>2 x 750 Cast Insitu Endwall ,Main Roads Std Dwg 1304 Complete in place, incl. Excavate, supply and construct</t>
  </si>
  <si>
    <t>Line No 113
Item No 9</t>
  </si>
  <si>
    <t>Ch 2200 Extend 1/375 dia SRC Pipe Class 2, Installation to Main Roads Std Dwg 1359</t>
  </si>
  <si>
    <t>Line No 114
Item No (a)</t>
  </si>
  <si>
    <t>Line No 115
Item No (b)</t>
  </si>
  <si>
    <t>1 x 375 Endwall , Precast Type with wings, Complete in place, incl. Excavate, sand, supply and install.</t>
  </si>
  <si>
    <t>Line No 117
Item No 10</t>
  </si>
  <si>
    <t>Ch 2720 Extend 2/375 dia SRC Pipe Class 2, Installation to Main Roads Std Dwg 1359</t>
  </si>
  <si>
    <t>Line No 118
Item No (a)</t>
  </si>
  <si>
    <t>Line No 119
Item No (b)</t>
  </si>
  <si>
    <t>2 x 375 Cast Insitu Endwall to Main Roads Std Dwg 1306 Complete in place, incl. Excavate, supply and construct</t>
  </si>
  <si>
    <t>Line No 121
Item No 11</t>
  </si>
  <si>
    <t>Ch 2780 New 1/600 x 300 RCBC,Installation to Main Roads Std Dwg 1359</t>
  </si>
  <si>
    <t>Line No 122
Item No (a)</t>
  </si>
  <si>
    <t>Buy Materials</t>
  </si>
  <si>
    <t>RCBC - 600 x 300</t>
  </si>
  <si>
    <t>Excavate</t>
  </si>
  <si>
    <t>Base</t>
  </si>
  <si>
    <t>Stand</t>
  </si>
  <si>
    <t>Line No 123
Item No (b)</t>
  </si>
  <si>
    <t>1/600 x 300 Cast Insitu Endwall and Apron to Main Roads Std Dwgs 1304 and 1371 Complete in place, incl. Excavate, supply and construct</t>
  </si>
  <si>
    <t>Line No 124
Item No (c)</t>
  </si>
  <si>
    <t>Excavate inlet and outlet at 0.5% grade with 1.0m base width to connect to existing drains neatly and smoothly.</t>
  </si>
  <si>
    <t>Line No 125
Item No (d)</t>
  </si>
  <si>
    <t>Rip Rap Rock Protection in 250mm dia rock (layer 0.5m thick) to Outlet to extend 10m past culvert end and up batters a minimum of 1m - leave neat, tidy and even surface to rock</t>
  </si>
  <si>
    <t>Line No 127
Item No 12</t>
  </si>
  <si>
    <t>Ch 2800 Take up and stack existing 1/600 x 300 RCBC and backfill to reinstate roadway.</t>
  </si>
  <si>
    <t>Excavate &amp; Stack</t>
  </si>
  <si>
    <t xml:space="preserve">Line No 131
Item No </t>
  </si>
  <si>
    <t>Schedule C - Dysart Middlemount / Dysart Bypass Intersection</t>
  </si>
  <si>
    <t>Line No 132
Item No 1</t>
  </si>
  <si>
    <t>Line No 133
Item No (a)</t>
  </si>
  <si>
    <t>There is no cost estimate for this item</t>
  </si>
  <si>
    <t>Line No 134
Item No (b)</t>
  </si>
  <si>
    <t>Traffic Controller</t>
  </si>
  <si>
    <t>Traffic Control Crew</t>
  </si>
  <si>
    <t>Line No 135
Item No (c )</t>
  </si>
  <si>
    <t xml:space="preserve">Line No 136
Item No </t>
  </si>
  <si>
    <t>Line No 137
Item No (d )</t>
  </si>
  <si>
    <t>Line No 138
Item No (e)</t>
  </si>
  <si>
    <t>Line No 139
Item No (f)</t>
  </si>
  <si>
    <t>Line No 140
Item No (g)</t>
  </si>
  <si>
    <t>Line No 141
Item No (i)</t>
  </si>
  <si>
    <t>Line No 142
Item No (ii)</t>
  </si>
  <si>
    <t>Sub-Base Compaction testing as specified - assume 2 layers</t>
  </si>
  <si>
    <t>Line No 143
Item No (iii)</t>
  </si>
  <si>
    <t>Line No 144
Item No (iv)</t>
  </si>
  <si>
    <t>Sub-Base Quality Testing as specified; Full Atterbergs plus grading plus full Quarry Stockpile results - assume 2 layers</t>
  </si>
  <si>
    <t>Line No 145
Item No (v)</t>
  </si>
  <si>
    <t>Base Quality Testing as specified; Full Atterbergs plus grading plus full Quarry Stockpile results</t>
  </si>
  <si>
    <t>Line No 147
Item No 2</t>
  </si>
  <si>
    <t>Clearing &amp; Grubbing, removal of existing kerb and complete offsite disposal of Spoil inclusive of Dump Fees as required.</t>
  </si>
  <si>
    <t>Tip Fees</t>
  </si>
  <si>
    <t>Line No 149
Item No 3</t>
  </si>
  <si>
    <t>Line No 150
Item No (a)</t>
  </si>
  <si>
    <t>Line No 151
Item No (b)</t>
  </si>
  <si>
    <t>Line No 153
Item No 4</t>
  </si>
  <si>
    <t>Prepare Dysart Bypass Rd - Middlemount Rd Intersection Subgrade Surface for Gravel Pavement &amp; for Council / MRD Inspection, (incl. provision of subgrade levels and compaction test results by Contractor)</t>
  </si>
  <si>
    <t>Line No 154
Item No (a)</t>
  </si>
  <si>
    <t>Line No 155
Item No (b)</t>
  </si>
  <si>
    <t>Line No 157
Item No 5</t>
  </si>
  <si>
    <t>Prepare Base Gravel Surface for Primerseal &amp; for Council / MRD Inspection, incl provision of compaction test results</t>
  </si>
  <si>
    <t>Line No 158
Item No (a)</t>
  </si>
  <si>
    <t>Line No 159
Item No (b)</t>
  </si>
  <si>
    <t>Line No 161
Item No 6</t>
  </si>
  <si>
    <t xml:space="preserve">Line No 162
Item No </t>
  </si>
  <si>
    <t xml:space="preserve">Line No 163
Item No </t>
  </si>
  <si>
    <t>(a) Dysart Bypass Rd - Middlemount Rd Intersection LHS</t>
  </si>
  <si>
    <t>Line No 164
Item No (i)</t>
  </si>
  <si>
    <t>Line No 165
Item No (ii)</t>
  </si>
  <si>
    <t>Line No 166
Item No (iii)</t>
  </si>
  <si>
    <t xml:space="preserve">Line No 167
Item No </t>
  </si>
  <si>
    <t>(b) Dysart Bypass Rd - Middlemount Rd Intersection RHS</t>
  </si>
  <si>
    <t>Line No 168
Item No (i)</t>
  </si>
  <si>
    <t>Line No 169
Item No (ii)</t>
  </si>
  <si>
    <t>Line No 170
Item No (iii)</t>
  </si>
  <si>
    <t>Line No 173
Item No 7</t>
  </si>
  <si>
    <t>Provisional Item Pavement Repairs</t>
  </si>
  <si>
    <t>Line No 174
Item No (a)</t>
  </si>
  <si>
    <t>Line No 176
Item No 8</t>
  </si>
  <si>
    <t>Bitumen Seal - complete in place (10mm primerseal ) ; spray rates nominally to be 1.1 l/sqm C170 - SEAL DESIGN TO BE CONFIRMED</t>
  </si>
  <si>
    <t>Line No 177
Item No (a)</t>
  </si>
  <si>
    <t>Line No 178
Item No (b)</t>
  </si>
  <si>
    <t>Line No 180
Item No 9</t>
  </si>
  <si>
    <t>Asphaltic Concrete Pavement MRD Type DG14 and 60 mm minimum thickness - complete in place.</t>
  </si>
  <si>
    <t>Line No 181
Item No (a)</t>
  </si>
  <si>
    <t>60mm AC</t>
  </si>
  <si>
    <t>Line No 183
Item No 10</t>
  </si>
  <si>
    <t>Medians Kerb at Intersections</t>
  </si>
  <si>
    <t>Line No 184
Item No (a)</t>
  </si>
  <si>
    <t>S32 - Kerb Mix</t>
  </si>
  <si>
    <t>Kerb Subbie</t>
  </si>
  <si>
    <t xml:space="preserve">Line No 185
Item No </t>
  </si>
  <si>
    <t>Line No 186
Item No 11</t>
  </si>
  <si>
    <t>Street Lighting - Conduits and Bases</t>
  </si>
  <si>
    <t>Line No 187
Item No (a)</t>
  </si>
  <si>
    <t>125 LD uPVC Electrical</t>
  </si>
  <si>
    <t>Draw Rope - Conduits</t>
  </si>
  <si>
    <t>Hard Cover - Electrical</t>
  </si>
  <si>
    <t>Line No 188
Item No (b)</t>
  </si>
  <si>
    <t>Electrical Under Road Bore complete including conduit bends and draw-wire: 1 x 100 dia LV (HD) (Provisional Item)</t>
  </si>
  <si>
    <t>Line No 189
Item No (c)</t>
  </si>
  <si>
    <t>Electrical Mains Cable Pit (Provisional Item)</t>
  </si>
  <si>
    <t>Line No 190
Item No (d)</t>
  </si>
  <si>
    <t>Street Light Bases Complete in Place, including supply of rag bolts and excluding  Conduiting Major Pole Base (NB - ALL 10.5m POLES NEED THE LARGER BASES)</t>
  </si>
  <si>
    <t>Supply of Materials</t>
  </si>
  <si>
    <t>Rag Bolt</t>
  </si>
  <si>
    <t>N32</t>
  </si>
  <si>
    <t>50 HD uPVC Electrical</t>
  </si>
  <si>
    <t>Installation</t>
  </si>
  <si>
    <t>Allow 2 hours per footing to set up and pour.</t>
  </si>
  <si>
    <t>Line No 192
Item No 12</t>
  </si>
  <si>
    <t>Line No 193
Item No (a)</t>
  </si>
  <si>
    <t>Line No 194
Item No (b)</t>
  </si>
  <si>
    <t>Line No 195
Item No (c)</t>
  </si>
  <si>
    <t>Line No 197
Item No 13</t>
  </si>
  <si>
    <t>Line No 198
Item No (a)</t>
  </si>
  <si>
    <t>Supply and Install New Guide Posts</t>
  </si>
  <si>
    <t>Line No 199
Item No (b)</t>
  </si>
  <si>
    <t>Supply and Install New Give Way Sign R1-2</t>
  </si>
  <si>
    <t>Line No 200
Item No (c)</t>
  </si>
  <si>
    <t>Linemarking Complete,Dysart Bypass Rd - Middlemount Rd Intersection - Reinstate existing and new lines as per drawing No 842 - R19</t>
  </si>
  <si>
    <t>Line Marking</t>
  </si>
  <si>
    <t>Line No 202
Item No 14</t>
  </si>
  <si>
    <t>Drainage - Ch 140 Middlemount Road</t>
  </si>
  <si>
    <t>Line No 203
Item No (a)</t>
  </si>
  <si>
    <t>Line No 204
Item No (b)</t>
  </si>
  <si>
    <t xml:space="preserve">Line No 210
Item No </t>
  </si>
  <si>
    <t>Schedule D  -  Golden Mile Road &amp; Dysart Bypass Road Intersection Upgrade Works</t>
  </si>
  <si>
    <t>Line No 211
Item No 1</t>
  </si>
  <si>
    <t>Line No 212
Item No (a)</t>
  </si>
  <si>
    <t>Line No 213
Item No (b)</t>
  </si>
  <si>
    <t>Line No 214
Item No (c )</t>
  </si>
  <si>
    <t xml:space="preserve">Line No 215
Item No </t>
  </si>
  <si>
    <t>Line No 216
Item No (d )</t>
  </si>
  <si>
    <t>Line No 217
Item No (e)</t>
  </si>
  <si>
    <t>Line No 218
Item No (f)</t>
  </si>
  <si>
    <t>Line No 219
Item No (g)</t>
  </si>
  <si>
    <t>Line No 220
Item No (i)</t>
  </si>
  <si>
    <t>Line No 221
Item No (ii)</t>
  </si>
  <si>
    <t>Line No 222
Item No (iii)</t>
  </si>
  <si>
    <t>Line No 223
Item No (iv)</t>
  </si>
  <si>
    <t>Line No 224
Item No (v)</t>
  </si>
  <si>
    <t xml:space="preserve">Line No 225
Item No </t>
  </si>
  <si>
    <t>Line No 226
Item No 2</t>
  </si>
  <si>
    <t xml:space="preserve">Line No 227
Item No </t>
  </si>
  <si>
    <t>Line No 228
Item No 3</t>
  </si>
  <si>
    <t>Earthworks - excavate and place as embankment as directed</t>
  </si>
  <si>
    <t>Line No 229
Item No (a)</t>
  </si>
  <si>
    <t>Line No 230
Item No (b)</t>
  </si>
  <si>
    <t xml:space="preserve">Line No 231
Item No </t>
  </si>
  <si>
    <t>Line No 232
Item No 4</t>
  </si>
  <si>
    <t>Prepare Dysart Bypass Rd - Golden Mile Rd Intersection Subgrade Surface for Gravel Pavement &amp; for Council Inspection, (incl. provision of subgrade levels and compaction test results by Contractor)</t>
  </si>
  <si>
    <t>Line No 233
Item No (a)</t>
  </si>
  <si>
    <t>Dysart Bypass Rd - Golden Mile Rd Intersection LHS</t>
  </si>
  <si>
    <t>Line No 234
Item No (b)</t>
  </si>
  <si>
    <t>Dysart Bypass Rd - Golden Mile Rd Intersection RHS</t>
  </si>
  <si>
    <t xml:space="preserve">Line No 235
Item No </t>
  </si>
  <si>
    <t>Line No 236
Item No 5</t>
  </si>
  <si>
    <t>Line No 237
Item No (a)</t>
  </si>
  <si>
    <t>Line No 238
Item No (b)</t>
  </si>
  <si>
    <t xml:space="preserve">Line No 239
Item No </t>
  </si>
  <si>
    <t>Line No 240
Item No 6</t>
  </si>
  <si>
    <t xml:space="preserve">Line No 241
Item No </t>
  </si>
  <si>
    <t>Line No 242
Item No (a)</t>
  </si>
  <si>
    <t>Line No 243
Item No (i)</t>
  </si>
  <si>
    <t>Line No 244
Item No (ii)</t>
  </si>
  <si>
    <t>Line No 245
Item No (iii)</t>
  </si>
  <si>
    <t>Line No 246
Item No (b)</t>
  </si>
  <si>
    <t>Line No 247
Item No (i)</t>
  </si>
  <si>
    <t>Line No 248
Item No (ii)</t>
  </si>
  <si>
    <t>Line No 249
Item No (iii)</t>
  </si>
  <si>
    <t xml:space="preserve">Line No 250
Item No </t>
  </si>
  <si>
    <t>Line No 251
Item No 7</t>
  </si>
  <si>
    <t>Line No 252
Item No (a)</t>
  </si>
  <si>
    <t xml:space="preserve">Line No 253
Item No </t>
  </si>
  <si>
    <t>Line No 254
Item No 8</t>
  </si>
  <si>
    <t>Line No 255
Item No (a)</t>
  </si>
  <si>
    <t>Line No 256
Item No (b)</t>
  </si>
  <si>
    <t xml:space="preserve">Line No 257
Item No </t>
  </si>
  <si>
    <t>Line No 258
Item No 9</t>
  </si>
  <si>
    <t>Line No 259
Item No (a)</t>
  </si>
  <si>
    <t xml:space="preserve">Line No 260
Item No </t>
  </si>
  <si>
    <t>Line No 261
Item No 10</t>
  </si>
  <si>
    <t>Line No 262
Item No (a)</t>
  </si>
  <si>
    <t xml:space="preserve">Line No 263
Item No </t>
  </si>
  <si>
    <t>Line No 264
Item No 11</t>
  </si>
  <si>
    <t>Line No 265
Item No (a)</t>
  </si>
  <si>
    <t>Line No 266
Item No (b)</t>
  </si>
  <si>
    <t>Line No 267
Item No (c)</t>
  </si>
  <si>
    <t>Line No 268
Item No (d)</t>
  </si>
  <si>
    <t xml:space="preserve">Line No 269
Item No </t>
  </si>
  <si>
    <t>Line No 270
Item No 12</t>
  </si>
  <si>
    <t>Line No 271
Item No (a)</t>
  </si>
  <si>
    <t>Line No 272
Item No (b)</t>
  </si>
  <si>
    <t>Line No 273
Item No (c)</t>
  </si>
  <si>
    <t>Line No 275
Item No 13</t>
  </si>
  <si>
    <t>Line No 276
Item No (a)</t>
  </si>
  <si>
    <t>Line No 277
Item No (b)</t>
  </si>
  <si>
    <t>Line No 278
Item No (c)</t>
  </si>
  <si>
    <t xml:space="preserve"> Linemarking Complete,Dysart Bypass Rd - Golden Mile Rd Intersection - Reinstate existing and new lines as per drawing No 842 - R19</t>
  </si>
  <si>
    <t>Description</t>
  </si>
  <si>
    <t>Currency</t>
  </si>
  <si>
    <t>Stabilising In House</t>
  </si>
  <si>
    <t>AUD</t>
  </si>
  <si>
    <t>Project Engineer - Weekly Rate</t>
  </si>
  <si>
    <t>Survey Team</t>
  </si>
  <si>
    <t>Traffic Controller with Vehicle</t>
  </si>
  <si>
    <t>Work Place Health &amp; Safety Officer</t>
  </si>
  <si>
    <t>CBR15 Road Base</t>
  </si>
  <si>
    <t>CBR45 Road Base</t>
  </si>
  <si>
    <t>CBR80 Road Base - Delivered</t>
  </si>
  <si>
    <t>Bulk GP / GB Cement</t>
  </si>
  <si>
    <t>20 KG cement bags</t>
  </si>
  <si>
    <t>Gabion Rock (150 - 300)</t>
  </si>
  <si>
    <t>Head Wall 375 RCP</t>
  </si>
  <si>
    <t>N32 Concrete</t>
  </si>
  <si>
    <t>Bedding Sand</t>
  </si>
  <si>
    <t>Bobcat - Wet Hire</t>
  </si>
  <si>
    <t>CAT297C MTL - No Operator</t>
  </si>
  <si>
    <t>CAT297 Stabiliser - No operator</t>
  </si>
  <si>
    <t>Site Office &amp; Tiolet, 1 Pump out during project.</t>
  </si>
  <si>
    <t>25T Excavator - Wet Hire</t>
  </si>
  <si>
    <t>Grader - Wet Hire</t>
  </si>
  <si>
    <t>MW Roller Hourly Rate (No Op)</t>
  </si>
  <si>
    <t>Pad Foot Roller - Dry</t>
  </si>
  <si>
    <t>SD Roller Wet Hire - No Operator</t>
  </si>
  <si>
    <t>T - Top Bollards with 6kg base &amp; reflective collar</t>
  </si>
  <si>
    <t>Tipper (Wet Hire)</t>
  </si>
  <si>
    <t>UD Spreader Truck - No Driver</t>
  </si>
  <si>
    <t>Water Cart Hire</t>
  </si>
  <si>
    <t>Accommodation &amp; 3 meals Rate</t>
  </si>
  <si>
    <t>CAR Insurance</t>
  </si>
  <si>
    <t>Slab on Ground</t>
  </si>
  <si>
    <t>Travel rate per km.</t>
  </si>
  <si>
    <t>Guard Rail Subbie, including bull nose</t>
  </si>
  <si>
    <t>Tip fees per ton of waste</t>
  </si>
  <si>
    <t>2 x TC's + Ute, Signs &amp; Comms</t>
  </si>
  <si>
    <t>Includes 1 x 100 HD Orange</t>
  </si>
  <si>
    <t>Type</t>
  </si>
  <si>
    <t>Cost</t>
  </si>
  <si>
    <t>Usage</t>
  </si>
  <si>
    <t>Duration</t>
  </si>
  <si>
    <t>Portfolio WBS</t>
  </si>
  <si>
    <t>Area to be stripped</t>
  </si>
  <si>
    <t>Base Rate</t>
  </si>
  <si>
    <t>Stabilising</t>
  </si>
  <si>
    <t>450 RCP FJ CL2</t>
  </si>
  <si>
    <t>750 RCP</t>
  </si>
  <si>
    <t>CBR15</t>
  </si>
  <si>
    <t>Cement</t>
  </si>
  <si>
    <t>Cement - 20 kg Bags</t>
  </si>
  <si>
    <t>Nightline</t>
  </si>
  <si>
    <t>Small Tools</t>
  </si>
  <si>
    <t>Type 7 Elec Pit</t>
  </si>
  <si>
    <t>CAT297</t>
  </si>
  <si>
    <t>CAT297 Stabiliser</t>
  </si>
  <si>
    <t>Crib Facilities</t>
  </si>
  <si>
    <t>Dual Grade Laser</t>
  </si>
  <si>
    <t>MW Roller</t>
  </si>
  <si>
    <t>T-Top Bollards</t>
  </si>
  <si>
    <t>UD Spreader</t>
  </si>
  <si>
    <t>Retention Costs</t>
  </si>
  <si>
    <t>Underbore</t>
  </si>
  <si>
    <t>Underbore Estab</t>
  </si>
  <si>
    <t>Clean Up</t>
  </si>
  <si>
    <t>G</t>
  </si>
  <si>
    <t>L</t>
  </si>
  <si>
    <t>M</t>
  </si>
  <si>
    <t>P</t>
  </si>
  <si>
    <t>S</t>
  </si>
  <si>
    <t>Q</t>
  </si>
  <si>
    <t>WBS</t>
  </si>
  <si>
    <t xml:space="preserve">Line No OH  1
Item No </t>
  </si>
  <si>
    <t>Project Supervision</t>
  </si>
  <si>
    <t xml:space="preserve">Line No OH  2
Item No </t>
  </si>
  <si>
    <t>Project Engineering</t>
  </si>
  <si>
    <t xml:space="preserve">Line No OH  3
Item No </t>
  </si>
  <si>
    <t>Site Facilities</t>
  </si>
  <si>
    <t xml:space="preserve">Line No OH  5
Item No </t>
  </si>
  <si>
    <t xml:space="preserve">Line No OH  6
Item No </t>
  </si>
  <si>
    <t xml:space="preserve">Line No OH  7
Item No </t>
  </si>
  <si>
    <t>Small Tools Allowance</t>
  </si>
  <si>
    <t xml:space="preserve">Line No OH  8
Item No </t>
  </si>
  <si>
    <t>Accommodation (Engineers &amp; Directors)</t>
  </si>
  <si>
    <t xml:space="preserve">Line No OH  9
Item No </t>
  </si>
  <si>
    <t>Accommodation Supervisors</t>
  </si>
  <si>
    <t>PROJECT OVERHEADS</t>
  </si>
  <si>
    <t>LABOUR RESOURCES</t>
  </si>
  <si>
    <t>MATERIAL RESOURCES</t>
  </si>
  <si>
    <t>PLANT RESOURCES</t>
  </si>
  <si>
    <t>SUBCONTRACT RESOURCES</t>
  </si>
  <si>
    <t>GROUP RESOURCES</t>
  </si>
  <si>
    <t>DESCRIPTION</t>
  </si>
  <si>
    <t>MODEL INPUT</t>
  </si>
  <si>
    <t>TYPE</t>
  </si>
  <si>
    <t>UOM</t>
  </si>
  <si>
    <t>Non-Working Calendar 2011 - 2015 (Queensland - Australia)</t>
  </si>
  <si>
    <t>Christmas Day</t>
  </si>
  <si>
    <t>Boxing Day</t>
  </si>
  <si>
    <t>New Years Day</t>
  </si>
  <si>
    <t>Australia Day</t>
  </si>
  <si>
    <t>Good Friday</t>
  </si>
  <si>
    <t>Easter Monday</t>
  </si>
  <si>
    <t>ANZAC Day</t>
  </si>
  <si>
    <t>Labour Day</t>
  </si>
  <si>
    <t>Queen's Birthday</t>
  </si>
  <si>
    <t>Xmas S/D</t>
  </si>
  <si>
    <t>QM2.3</t>
  </si>
  <si>
    <t>QMR</t>
  </si>
  <si>
    <t>SWP</t>
  </si>
  <si>
    <t>QMS</t>
  </si>
  <si>
    <t>C40</t>
  </si>
  <si>
    <t>RSM</t>
  </si>
  <si>
    <t>SWC</t>
  </si>
  <si>
    <t>CSA</t>
  </si>
  <si>
    <t>CKM</t>
  </si>
  <si>
    <t>ETC</t>
  </si>
  <si>
    <t>ETP</t>
  </si>
  <si>
    <t>C32</t>
  </si>
  <si>
    <t>Workhrs</t>
  </si>
  <si>
    <t>CONTRACT AWARD</t>
  </si>
  <si>
    <t>PRACTICAL COMPLETION</t>
  </si>
  <si>
    <t>Schedule A - Roadworks Dysart Bypass Road Widening Preliminaries - Site establishment, Provision for Workplace Health &amp; Safety, Site Cleanup and Dis-establishment</t>
  </si>
  <si>
    <t>Geotechnical Testing by NATA Registered laboratory - Subgrade CBR tests ("soaked" 4 day, 4 point) (allow 3 confirmation tests on final subgrade for pavement design)</t>
  </si>
  <si>
    <t>Earthworks - excavate and place as embankment as directed - Cut to fill - Ch 18 to Ch 2801 to achieve boxed out widening of existing road x 350mm deep - refer type cross section (total of  2804 m3 of Cut and 225 m3 of Fill)  balance of cut material will be spoiled at IRC Tip</t>
  </si>
  <si>
    <t>Prepare Subgrade Surface for Gravel Pavement &amp; for Council Inspection, (incl. provision of subgrade levels and compaction test results by Contractor) Bypass Road Widening from Ch 18 to Ch 2801</t>
  </si>
  <si>
    <t>Prepare Base Gravel Surface for Primerseal &amp; for Council Inspection, incl provision of compaction test results - Bypass Road Widening Ch 18 to 2801</t>
  </si>
  <si>
    <t>Gravel Pavement Base In Place complete, including supply, spreading, watering, rolling and trimming:- (a) Bypass Road Widening Ch 18 to Ch 2801 - QT Type 2.1 @ 150mm deep x widening area</t>
  </si>
  <si>
    <t>Gravel Pavement Base In Place complete, including supply, spreading, watering, rolling and trimming:- (a) Bypass Road Widening Ch 18 to Ch 2801 -Upper Sub-Base QT Type 2.3 @ 200mm deep x widening area</t>
  </si>
  <si>
    <t>Gravel Pavement Base In Place complete, including supply, spreading, watering, rolling and trimming:- (a) Bypass Road Widening Ch 18 to Ch 2801 - Provisional Item Allowance for Lower Sub-Base QT Type 2.5 @ 150mm deep x widening area over selected 25% of length - Only if ordered by the Superintendent</t>
  </si>
  <si>
    <t>Primerseal complete in place (10mm stone ); spray rates nominally to be 1.1 l/sqm C170 -  SEAL DESIGN TO BE CONFIRMED Bypass Road LHS Shoulder 1 metre wide Ch 510 to Ch 650</t>
  </si>
  <si>
    <t>Primerseal complete in place (10mm stone ); spray rates nominally to be 1.1 l/sqm C170 -  SEAL DESIGN TO BE CONFIRMED Bypass Road Widening plus 1 metre wide shoulder RHS Ch 510 to Ch 650</t>
  </si>
  <si>
    <t>Bitumen Seal - First Coat complete in place (16mm primerseal ) ; spray rates nominally to be 1.6 l/sqm C170 - SHOULDER WIDENING, SEAL DESIGN TO BE CONFIRMED Bypass Road Widening Ch 18 to Ch 510</t>
  </si>
  <si>
    <t>Bitumen Seal - First Coat complete in place (16mm primerseal ) ; spray rates nominally to be 1.6 l/sqm C170 - SHOULDER WIDENING, SEAL DESIGN TO BE CONFIRMED - Bypass Road Widening Ch 650 to Ch 2801</t>
  </si>
  <si>
    <t>DG10 Asphaltic Concrete Pavement 35mm minimum thickness - complete in place including sawcut edges and neat smooth joins - Bypass Road Floodway - Ch 510 to Ch 650 (x 9 metres wide)</t>
  </si>
  <si>
    <t>Access Ch 826 RHS (Dysart Horse Performance Association) - Provide smooth transition between existing access and new shoulder (no pipe required; reinstate to similar)</t>
  </si>
  <si>
    <t>Access Ch 1642 RHS (Cemetery Carpark Access) - Reinstate sealed driveway between New shoulder and Carpark Access (no works on culvert required); neat smooth join.</t>
  </si>
  <si>
    <t>Access Ch 1660 RHS (Cemetery Access) - Reinstate sealed driveway between New shoulder and Cemetery Access (no works on culvert required); neat smooth join.</t>
  </si>
  <si>
    <t>Soil Management Measures inclusive of: Prepare batters and drains for hydromulch placement</t>
  </si>
  <si>
    <t>Soil Management Measures inclusive of: Hydromulch to all disturbed areas as directed (batters &amp; drains)</t>
  </si>
  <si>
    <t>Soil Management Measures inclusive of: Rock check dams as directed</t>
  </si>
  <si>
    <t>Schedule B - Drainage Dysart Bypass Rd: Ch 49.400 Extend 375 dia SRC Pipe Class 2, Installation to Main Roads Std Dwg 1359 - 1 x 375 dia SRC Pipe Cl 2 Complete in place, incl.  removal of existing headwall with care, excavate, sand, supply, lay and backfill.</t>
  </si>
  <si>
    <t>Ch 300 Extend 4/450 dia SRC Pipe Class 2, Installation to Main Roads Std Dwg 1359 - 4 x 450 SRC Pipe Cl 2 Complete in place, incl.  removal of existing Endwall with care, excavate, sand, supply, lay &amp; backfill.</t>
  </si>
  <si>
    <t>Ch 600 Extend 2/1800 x 600 RCBC and Add 3 New Cells 1800 x 600, Installation to Main Roads Std Dwg 1359 - Extend existing 2/1800 x 600 RCBC Complete in place, incl.  removal of existing Endwalls with care, excavate, sand, supply, lay &amp; backfill.</t>
  </si>
  <si>
    <t>Ch 800 Extend 4/450 dia SRC Pipe Class 2, Installation to Main Roads Std Dwg 1359 - 4 x 450 SRC Pipe Cl 2 Complete in place, incl. removal of existing Endwall with care, excavate, sand, supply, lay &amp; backfill.</t>
  </si>
  <si>
    <t>Ch 1300 Extend 4/450 dia SRC Pipe Class 2 SRC, Installation to Main Roads STD DWG 1359 - 4 x 450 SRC Pipe Cl 2 Complete in place, incl.  removal of existing headwall with care, excavate, sand, supply, lay &amp; backfill.</t>
  </si>
  <si>
    <t>Ch 1500 Extend 375 dia SRC Pipe Class 2, Installation to Main Roads Std Dwg 1359 - 1 x 375 SRC Pipe Cl 2 Complete in place, incl.  removal of existing Endwall with care, excavate, sand, supply, lay &amp; backfill.</t>
  </si>
  <si>
    <t>Ch 1749.800 Extend 2/450 dia SRC Pipe Class 2, Installation to Main Roads Std Dwg 1359 - 2 x 450 SRC Pipe Cl 2 Complete in place, incl. removal of existing Endwall with care, excavate, sand, supply, lay &amp; backfill.</t>
  </si>
  <si>
    <t>Ch 1949.800 Extend 2/750 dia SRC Pipe Class 2, Installation to Main Roads Std Dwg 1359 - 2 x 750 SRC Pipe Cl 2 Complete in place, incl. removal of existing Endwall with care, excavate, sand, supply, lay &amp; backfill.</t>
  </si>
  <si>
    <t>Ch 2200 Extend 1/375 dia SRC Pipe Class 2, Installation to Main Roads Std Dwg 1359 - 1 x 375 SRC Pipe Cl 2 Complete in place, incl.  removal of existing Endwall with care, excavate, sand, supply, lay &amp; backfill.</t>
  </si>
  <si>
    <t>Ch 2720 Extend 2/375 dia SRC Pipe Class 2, Installation to Main Roads Std Dwg 1359 - 2 x 375 SRC Pipe Cl 2 Complete in place, incl. removal of existing Endwall with care, excavate, sand, supply, lay &amp; backfill.</t>
  </si>
  <si>
    <t>Ch 2780 New 1/600 x 300 RCBC,Installation to Main Roads Std Dwg 1359 - Ch 2780 New 1/600 x 300 RCBC,Installation to Main Roads Std Dwg 1359 - 1/600 x 300 RCBC Complete in place, including excavate, sand, supply, lay and backfill.</t>
  </si>
  <si>
    <t>Schedule C - Dysart Middlemount / Dysart Bypass Intersection - Preliminaries - Site establishment, Provision for Workplace Health &amp; Safety, Site Cleanup and Dis-establishment</t>
  </si>
  <si>
    <t>Geotechnical Testing by NATA Registered laboratory - Subgrade Compaction testing as specified</t>
  </si>
  <si>
    <t xml:space="preserve"> Earthworks - excavate and place as embankment as directed - Cut to Spoil - to achieve boxed out deep to 500mm - material will be spoiled at IRC Tip.</t>
  </si>
  <si>
    <t>Prepare Dysart Bypass Rd - Middlemount Rd Intersection Subgrade Surface for Gravel Pavement &amp; for Council / MRD Inspection, (incl. provision of subgrade levels and compaction test results by Contractor) - Dysart Bypass Rd - Middlemount Rd Intersection LHS</t>
  </si>
  <si>
    <t>Prepare Base Gravel Surface for Primerseal &amp; for Council / MRD Inspection, incl provision of compaction test results - Dysart Bypass Rd - Middlemount Rd Intersection LHS</t>
  </si>
  <si>
    <t>Gravel Pavement In Place complete, including supply, spreading, watering, rolling and trimming:- (a) Dysart Bypass Rd - Middlemount Rd Intersection LHS - Base QT Type 2.1 @ 150mm deep</t>
  </si>
  <si>
    <t>Gravel Pavement In Place complete, including supply, spreading, watering, rolling and trimming:- (a) Dysart Bypass Rd - Middlemount Rd Intersection LHS Upper Sub-Base QT Type 2.3 @ 200mm deep</t>
  </si>
  <si>
    <t>Gravel Pavement In Place complete, including supply, spreading, watering, rolling and trimming:- (a) Dysart Bypass Rd - Middlemount Rd Intersection LHS - Lower Sub-Base QT Type 2.5 @ 150mm deep</t>
  </si>
  <si>
    <t>Gravel Pavement In Place complete, including supply, spreading, watering, rolling and trimming:- (B) Dysart Bypass Rd - Middlemount Rd Intersection RHS - Base QT Type 2.1 @ 150mm deep</t>
  </si>
  <si>
    <t>Gravel Pavement In Place complete, including supply, spreading, watering, rolling and trimming:- (B) Dysart Bypass Rd - Middlemount Rd Intersection RHS -Upper Sub-Base QT Type 2.3 @ 200mm deep</t>
  </si>
  <si>
    <t>Gravel Pavement In Place complete, including supply, spreading, watering, rolling and trimming:- (B) Dysart Bypass Rd - Middlemount Rd Intersection RHS -Lower Sub-Base QT Type 2.5 @ 150mm deep</t>
  </si>
  <si>
    <t>Provisional Item Pavement Repairs - Cement Stabilise 4% by weight 200mm deep any failed areas identified by the Superintendent as ordered.</t>
  </si>
  <si>
    <t>Asphaltic Concrete Pavement MRD Type DG14 and 60 mm minimum thickness - complete in place. - Dysart Bypass Rd - Middlemount Rd Intersection Complete (overlaying existing seal area)</t>
  </si>
  <si>
    <t>Bitumen Seal - complete in place (10mm primerseal ) ; spray rates nominally to be 1.1 l/sqm C170 - SEAL DESIGN TO BE CONFIRMED - Dysart Bypass Rd - Middlemount Rd Intersection LHS</t>
  </si>
  <si>
    <t>Medians Kerb at Intersections - Type 5 Concrete Kerb in minimum 25 MPa concrete</t>
  </si>
  <si>
    <t>Street Lighting - Conduits and Bases - Electrical Mains Trenching and Conduiting including bends, draw-wire, sand, bed, backfill, warning tape: 1 x 100 dia LV (HD) + HARD COVER (Provisional Item)</t>
  </si>
  <si>
    <t>Soil Management Measures inclusive of: Hydromulch to all disturbed areas as directed (batters and drains)</t>
  </si>
  <si>
    <t>Drainage - Ch 140 Middlemount Road Culvert 1A - Extend existing 600 x 300 RCBC RHS, complete in place incl. excavate, sand, supply, lay and backfill</t>
  </si>
  <si>
    <t>Drainage - Ch 140 Middlemount Road - 1/600 x 300 Cast Insitu Endwall and Apron to Main Roads Std Dwgs complete in place</t>
  </si>
  <si>
    <t>Schedule D  -  Golden Mile Road &amp; Dysart Bypass Road Intersection Upgrade Works - Preliminaries - Site establishment, Provision for Workplace Health &amp; Safety, Site Cleanup and Dis-establishment</t>
  </si>
  <si>
    <t>Earthworks - excavate and place as embankment as directed - Cut to Spoil - to achieve boxed out deep to 500mm - material will be spoiled at IRC Tip.</t>
  </si>
  <si>
    <t>Prepare Dysart Bypass Rd - Golden Mile Rd Intersection Subgrade Surface for Gravel Pavement &amp; for Council Inspection, (incl. provision of subgrade levels and compaction test results by Contractor) - Dysart Bypass Rd - Golden Mile Rd Intersection LHS</t>
  </si>
  <si>
    <t>Prepare Base Gravel Surface for Primerseal &amp; for Council Inspection, incl provision of compaction test results - Dysart Bypass Rd - Golden Mile Rd Intersection LHS</t>
  </si>
  <si>
    <t>Gravel Pavement - In Place complete, including supply, spreading, watering, rolling and trimming:- Dysart Bypass Rd - Golden Mile Rd Intersection LHS - Base QT Type 2.1 @ 150mm deep</t>
  </si>
  <si>
    <t>Gravel Pavement - In Place complete, including supply, spreading, watering, rolling and trimming:- Dysart Bypass Rd - Golden Mile Rd Intersection LHS - Upper Sub-Base QT Type 2.3 @ 200mm deep</t>
  </si>
  <si>
    <t>Gravel Pavement - In Place complete, including supply, spreading, watering, rolling and trimming:- Dysart Bypass Rd - Golden Mile Rd Intersection LHS - Lower Sub-Base QT Type 2.5 @ 150mm deep</t>
  </si>
  <si>
    <t>Gravel Pavement - In Place complete, including supply, spreading, watering, rolling and trimming:- Dysart Bypass Rd - Golden Mile Rd Intersection RHS - Base QT Type 2.1 @ 150mm deep</t>
  </si>
  <si>
    <t>Gravel Pavement - In Place complete, including supply, spreading, watering, rolling and trimming:- Dysart Bypass Rd - Golden Mile Rd Intersection RHS - Upper Sub-Base QT Type 2.3 @ 200mm deep</t>
  </si>
  <si>
    <t>Gravel Pavement - In Place complete, including supply, spreading, watering, rolling and trimming:- Dysart Bypass Rd - Golden Mile Rd Intersection RHS - Lower Sub-Base QT Type 2.5 @ 150mm deep</t>
  </si>
  <si>
    <t>Bitumen Seal - complete in place (10mm primerseal ) ; spray rates nominally to be 1.1 l/sqm C170 - SEAL DESIGN TO BE CONFIRMED - Dysart Bypass Rd - Golden Mile Rd Intersection LHS</t>
  </si>
  <si>
    <t>Bitumen Seal - complete in place (10mm primerseal ) ; spray rates nominally to be 1.1 l/sqm C170 - SEAL DESIGN TO BE CONFIRMED - Dysart Bypass Rd - Golden Mile Rd Intersection RHS</t>
  </si>
  <si>
    <t>Asphaltic Concrete Pavement MRD Type DG14 and 60 mm minimum thickness - complete in place. - Dysart Bypass Rd - Golden Mile Rd Intersection Complete (overlaying existing seal area)</t>
  </si>
  <si>
    <t>Soil Management Measures inclusive of: - Prepare batters and drains for hydromulch placement</t>
  </si>
  <si>
    <t>Prepare Base Gravel Surface for Primerseal &amp; for Council / MRD Inspection, incl provision of compaction test results - Dysart Bypass Rd - Middlemount Rd Intersection RHS</t>
  </si>
  <si>
    <t>Bitumen Seal - complete in place (10mm primerseal ) ; spray rates nominally to be 1.1 l/sqm C170 - SEAL DESIGN TO BE CONFIRMED - Dysart Bypass Rd - Middlemount Rd Intersection RHS</t>
  </si>
  <si>
    <t>Prepare Dysart Bypass Rd - Middlemount Rd Intersection Subgrade Surface for Gravel Pavement &amp; for Council / MRD Inspection, (incl. provision of subgrade levels and compaction test results by Contractor) -  Dysart Bypass Rd - Middlemount Rd Intersection RHS</t>
  </si>
  <si>
    <t>Schedule C - Dysart Middlemount / Dysart Bypass Intersection - Provision for Traffic and Safety including an approved Traffic Management Plan required by Council prior to commencement of site works.</t>
  </si>
  <si>
    <t>Bitumen Seal - Second Coat complete in place (10mm second coat); spray rates nominally to be 1.2 l/sqm C170 - 7 METRE WIDE SEAL,  SEAL DESIGN TO BE CONFIRMED Bypass Road Widening Ch 18 to Ch 510</t>
  </si>
  <si>
    <t>Bitumen Seal - Second Coat complete in place (10mm second coat); spray rates nominally to be 1.2 l/sqm C170 - 7 METRE WIDE SEAL,  SEAL DESIGN TO BE CONFIRMED -Bypass Road Widening Ch 650 to Ch 2801</t>
  </si>
  <si>
    <t>5,8,73,75,113</t>
  </si>
  <si>
    <t>3,8</t>
  </si>
  <si>
    <t>6,7,9,45,74,73,76,11,15,16,71,79,80,119,120</t>
  </si>
  <si>
    <t>5,7</t>
  </si>
  <si>
    <t>145,9</t>
  </si>
  <si>
    <t>25,16,13</t>
  </si>
  <si>
    <t>24,13</t>
  </si>
  <si>
    <t>67,15</t>
  </si>
  <si>
    <t>34,35FF</t>
  </si>
  <si>
    <t>33,37</t>
  </si>
  <si>
    <t>38,41</t>
  </si>
  <si>
    <t>33FF</t>
  </si>
  <si>
    <t>36FF</t>
  </si>
  <si>
    <t>35FF</t>
  </si>
  <si>
    <t>37FF</t>
  </si>
  <si>
    <t>5,18,22</t>
  </si>
  <si>
    <t>52,54</t>
  </si>
  <si>
    <t>68,26</t>
  </si>
  <si>
    <t>71,73</t>
  </si>
  <si>
    <t>3,5</t>
  </si>
  <si>
    <t>5,72</t>
  </si>
  <si>
    <t>5,85</t>
  </si>
  <si>
    <t>87,85</t>
  </si>
  <si>
    <t>84,99</t>
  </si>
  <si>
    <t>83,99,110,109</t>
  </si>
  <si>
    <t>111,76,90,78</t>
  </si>
  <si>
    <t>98,77,80</t>
  </si>
  <si>
    <t>85,76,79</t>
  </si>
  <si>
    <t>86,94</t>
  </si>
  <si>
    <t>98,77</t>
  </si>
  <si>
    <t>100,95</t>
  </si>
  <si>
    <t>78,94</t>
  </si>
  <si>
    <t>96FF</t>
  </si>
  <si>
    <t>95FF</t>
  </si>
  <si>
    <t>100,84,109</t>
  </si>
  <si>
    <t>94,99</t>
  </si>
  <si>
    <t>110,84</t>
  </si>
  <si>
    <t>136FF</t>
  </si>
  <si>
    <t>135FF</t>
  </si>
  <si>
    <t>4,18</t>
  </si>
  <si>
    <t>10,108,115,145,6,70,105,75</t>
  </si>
  <si>
    <t>67,53</t>
  </si>
  <si>
    <t>4,75</t>
  </si>
  <si>
    <t>Task</t>
  </si>
  <si>
    <t>Budget</t>
  </si>
  <si>
    <t>%C Claim 01</t>
  </si>
  <si>
    <t>%C Claim 02</t>
  </si>
  <si>
    <t>%C Claim 03</t>
  </si>
  <si>
    <t>%C Claim 04</t>
  </si>
  <si>
    <t>%C Claim 05</t>
  </si>
  <si>
    <t>%C Claim 06</t>
  </si>
  <si>
    <t>PV01</t>
  </si>
  <si>
    <t>PV01 - Revised Tender Rates - Seal &amp; Asphalt</t>
  </si>
  <si>
    <t>item</t>
  </si>
  <si>
    <t>E/0 Primer Seal - 10mm</t>
  </si>
  <si>
    <t>E/O First Seal</t>
  </si>
  <si>
    <t>E/O Second Seal</t>
  </si>
  <si>
    <t>E/O DG10 AC</t>
  </si>
  <si>
    <t>E/O DG14 AC</t>
  </si>
  <si>
    <t xml:space="preserve"> </t>
  </si>
  <si>
    <t>PV02</t>
  </si>
  <si>
    <t>PV02 - Revised pavement design</t>
  </si>
  <si>
    <t>Item</t>
  </si>
  <si>
    <t xml:space="preserve">This Variation is to Revise the pavement design to a 200mm full width overlay, mixed to a depth of 300mm incorporating the top 100mm of existing poavement using Principal supplied material. Contractor to load and cart material from Principal's quarry. </t>
  </si>
  <si>
    <t>t</t>
  </si>
  <si>
    <t>Items to be removed from Schedule:</t>
  </si>
  <si>
    <t>Item No</t>
  </si>
  <si>
    <t>Bypass Road Widening Ch 18 to 2801</t>
  </si>
  <si>
    <t>Bypass Road Widening from Ch 18 to Ch 2801</t>
  </si>
  <si>
    <t>Base QT Type 2.1 @ 150mm deep x widening area</t>
  </si>
  <si>
    <t>Upper Sub-Base QT Type 2.3 @ 200mm deep x widening area</t>
  </si>
  <si>
    <t>Provisional Item Allowance for Lower Sub-Base QT Type 2.5 @ 150mm deep x widening area over selected 25% of length - Only if ordered by the Superintendent</t>
  </si>
  <si>
    <t>PV03</t>
  </si>
  <si>
    <t>PV04</t>
  </si>
  <si>
    <t>Addiitonal drainage items</t>
  </si>
  <si>
    <t>PV05</t>
  </si>
  <si>
    <t>Asphalt redesign at floodway ch510-651</t>
  </si>
  <si>
    <t>PV06</t>
  </si>
  <si>
    <t>Corrector course asphalt dysart-middlemount intersection</t>
  </si>
  <si>
    <t>PV07</t>
  </si>
  <si>
    <t>Corrector course asphalt dysart-middlemount road (DMR section)</t>
  </si>
  <si>
    <t xml:space="preserve">            </t>
  </si>
  <si>
    <t>Stabilisation of Edges - Bypass Road</t>
  </si>
  <si>
    <t>Items to be removed from Schedule A: - Principal will supply all gravel - these rates are supply component of gravel only:</t>
  </si>
  <si>
    <t>REMOVE THIS ITEM: -  Earthworks - excavate and place as embankment as directed</t>
  </si>
  <si>
    <t>REMOVE THIS ITEM: - Remove isolated soft spots in subgrade as ordered and replace with Selected Spoil material - Provisional Item</t>
  </si>
  <si>
    <t>REMOVE THIS ITEM: - Provisional Item Allowance to excavate an additional 150mm depth to the pavement box if required over 25% of length (material to spoil at IRC Tip) - Only if ordered by the Superintendent</t>
  </si>
  <si>
    <t>REMOVE THIS ITEM: - Prepare Subgrade Surface for Gravel Pavement &amp; for Council Inspection, (incl. provision of subgrade levels and compaction test results by Contractor)</t>
  </si>
  <si>
    <t>REMOVE THIS ITEM: - Gravel Pavement</t>
  </si>
  <si>
    <t>REMOVE THIS ITEM: - Gravel Pavement Base In Place complete, including supply, spreading, watering, rolling and trimming:- (a) Bypass Road Widening Ch 18 to Ch 2801 -Upper Sub-Base QT Type 2.3 @ 200mm deep x widening area</t>
  </si>
  <si>
    <t>REMOVE THIS ITEM: - Gravel Pavement Base In Place complete, including supply, spreading, watering, rolling and trimming:- (a) Bypass Road Widening Ch 18 to Ch 2801 - Provisional Item Allowance for Lower Sub-Base QT Type 2.5 @ 150mm deep x widening area over selected 25% of length - Only if ordered by the Superintendent</t>
  </si>
  <si>
    <t>PV02.1</t>
  </si>
  <si>
    <t>PV02.2</t>
  </si>
  <si>
    <t>PV02.3</t>
  </si>
  <si>
    <t>PV02.4</t>
  </si>
  <si>
    <t>PV02.5</t>
  </si>
  <si>
    <t>PV02.6</t>
  </si>
  <si>
    <t>PV02.7</t>
  </si>
  <si>
    <t>ADD THIS ITEM: - Prepare Subgrade Surface for Gravel Pavement &amp; for Council Inspection, (incl. provision of subgrade levels and compaction test results by Contractor)</t>
  </si>
  <si>
    <t>Gravel Cartage</t>
  </si>
  <si>
    <t>ADD THIS ITEM: - Gravel Pavement Base In Place complete, 200 mm OVERLAY - PRINCIPAL SUPPLIED GRAVEL, spreading, MIXING TO 300 mm DEPTH, watering, rolling and trimming:</t>
  </si>
  <si>
    <t>Rate per cubic metre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</si>
  <si>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</t>
    </r>
  </si>
  <si>
    <t>Wirtgen Stabiliser</t>
  </si>
  <si>
    <t>WS220</t>
  </si>
  <si>
    <t>Gravel will be mixed to a depth of 300mm, incorporating top 100mm of existing pavement.</t>
  </si>
  <si>
    <t>day</t>
  </si>
  <si>
    <t>Trim &amp; Prepare for seal:</t>
  </si>
  <si>
    <t>PV02.8</t>
  </si>
  <si>
    <t>Bitumen Seal - complete in place (16mm primerseal ) Road Widening:</t>
  </si>
  <si>
    <t>REMOVE GRAVEL SUPPLY:</t>
  </si>
  <si>
    <r>
      <t>m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</si>
  <si>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Remove &amp; replace unsuitable</t>
  </si>
  <si>
    <t xml:space="preserve">PV04        </t>
  </si>
  <si>
    <t>Additional Drainage Items</t>
  </si>
  <si>
    <t>PV04.1</t>
  </si>
  <si>
    <t>PV04.2</t>
  </si>
  <si>
    <t>Cement Stabilise 4% by weight 200mm deep Bypass Road Edges</t>
  </si>
  <si>
    <t>PV08</t>
  </si>
  <si>
    <t>Date</t>
  </si>
  <si>
    <t>Resource</t>
  </si>
  <si>
    <t>Adjustment</t>
  </si>
  <si>
    <t>Cost Code 011</t>
  </si>
  <si>
    <t>Inv No - SI3632882</t>
  </si>
  <si>
    <t xml:space="preserve">Field  Survey            </t>
  </si>
  <si>
    <t xml:space="preserve">     </t>
  </si>
  <si>
    <t>Inv No - SI3634032</t>
  </si>
  <si>
    <t>Inv No - SI3636410</t>
  </si>
  <si>
    <t xml:space="preserve">Survey - Construction    </t>
  </si>
  <si>
    <t>Inv No - SI3647090</t>
  </si>
  <si>
    <t>Inv No - SI3650243</t>
  </si>
  <si>
    <t xml:space="preserve">Subtotal for 011                   </t>
  </si>
  <si>
    <t>Inv No - SI3648966</t>
  </si>
  <si>
    <t>Cost Code 013</t>
  </si>
  <si>
    <t>Particle Size Distution(1) &amp; Atterberg Limits (1) Inv No - CBW: 69122091</t>
  </si>
  <si>
    <t xml:space="preserve">Particle Distribution    </t>
  </si>
  <si>
    <t>Compressive Strength Set (3)                          Inv No - CBW:69122291</t>
  </si>
  <si>
    <t xml:space="preserve">Compressive Set          </t>
  </si>
  <si>
    <t>Inv No -  CBW69122763</t>
  </si>
  <si>
    <t xml:space="preserve">Field Density            </t>
  </si>
  <si>
    <t>Inv No - CBW 69122542</t>
  </si>
  <si>
    <t xml:space="preserve">Subtotal for 013                   </t>
  </si>
  <si>
    <t>Cost Code 015</t>
  </si>
  <si>
    <t>Inv - 2898</t>
  </si>
  <si>
    <t xml:space="preserve">Electrical Pit - Precast </t>
  </si>
  <si>
    <t>Inv No 6065</t>
  </si>
  <si>
    <t xml:space="preserve">Service Locator          </t>
  </si>
  <si>
    <t>Inv No - 2952</t>
  </si>
  <si>
    <t xml:space="preserve">Subtotal for 015                   </t>
  </si>
  <si>
    <t>Cost Code 021</t>
  </si>
  <si>
    <t>Tipper - Allciv (No Driver)</t>
  </si>
  <si>
    <t xml:space="preserve">Tipper - Allciv          </t>
  </si>
  <si>
    <t xml:space="preserve">Excavator Hyundi         </t>
  </si>
  <si>
    <t>Labour Hire</t>
  </si>
  <si>
    <t>Disposal for Dysart Landfill.  Inv No - 71300</t>
  </si>
  <si>
    <t xml:space="preserve">Waste Disposal           </t>
  </si>
  <si>
    <t xml:space="preserve">Subtotal for 021                   </t>
  </si>
  <si>
    <t>Labour HIre</t>
  </si>
  <si>
    <t>Cost Code 053</t>
  </si>
  <si>
    <t xml:space="preserve">Labour Hire </t>
  </si>
  <si>
    <t xml:space="preserve">Subtotal for 053                   </t>
  </si>
  <si>
    <t>Cost Code 057</t>
  </si>
  <si>
    <t>Petrol, Layflat house, Flex Drive Pump &amp; Portable Vibshaft. Inv No - 7778877</t>
  </si>
  <si>
    <t xml:space="preserve">Portable Vibshaft        </t>
  </si>
  <si>
    <t>People Resourcing  ( Labour Hire )</t>
  </si>
  <si>
    <t xml:space="preserve">CAT297 Stabiliser        </t>
  </si>
  <si>
    <t>Sealing Truck  ( Allciv )</t>
  </si>
  <si>
    <t xml:space="preserve">Paveline Truck           </t>
  </si>
  <si>
    <t>Truck &amp; Dog Hire</t>
  </si>
  <si>
    <t>Tutt &amp; Bryant (Rammer)  Inv No - 7779027</t>
  </si>
  <si>
    <t xml:space="preserve">Rammer                   </t>
  </si>
  <si>
    <t xml:space="preserve">Plant Float - Allciv     </t>
  </si>
  <si>
    <t xml:space="preserve">Subtotal for 057                   </t>
  </si>
  <si>
    <t>Cost Code 059</t>
  </si>
  <si>
    <t>StandBy</t>
  </si>
  <si>
    <t xml:space="preserve">Subtotal for 059                   </t>
  </si>
  <si>
    <t>Cost Code 061</t>
  </si>
  <si>
    <t>Trailor</t>
  </si>
  <si>
    <t>Flexidrive Motor Petrol &amp; Pump and Hoses       Inv - 7774106</t>
  </si>
  <si>
    <t xml:space="preserve">Pump                     </t>
  </si>
  <si>
    <t>Tutt &amp; Bryant (Rammer) Hire from t Inv - 7774205</t>
  </si>
  <si>
    <t>Foreman</t>
  </si>
  <si>
    <t>Padfoot Roller ( Tutt &amp; Bryant )</t>
  </si>
  <si>
    <t xml:space="preserve">PF Roller                </t>
  </si>
  <si>
    <t>Grader Hire</t>
  </si>
  <si>
    <t xml:space="preserve">Puccini Plant Hire       </t>
  </si>
  <si>
    <t>Tractor / Profiller   BCLA  Pty Ltd</t>
  </si>
  <si>
    <t xml:space="preserve">Tractor / Profiller      </t>
  </si>
  <si>
    <t>Flexidrive Motor Petrol &amp; Pump and Hoses       Inv No - 7775897</t>
  </si>
  <si>
    <t>To Load &amp; Delivery of Road Base (7567.31 )  and Loader Hire Inv No 556</t>
  </si>
  <si>
    <t xml:space="preserve">Road Base                </t>
  </si>
  <si>
    <t xml:space="preserve"> Tutt &amp; Bryant   (Portable Vibshaft) Hire from the 25/11/2011 to the 30/11/2011                           Inv No 775896</t>
  </si>
  <si>
    <t>Cat 120H Cat   Coates rental Hire from the 31/10/2011 to the 30/11/2011                      Inv No - 9070157</t>
  </si>
  <si>
    <t xml:space="preserve">Cat 12H Cat              </t>
  </si>
  <si>
    <t>Tutt &amp; Bryant (Rammer) Hire from the 30/11/2011 to the 30/11/2011                     Inv No - 7775898</t>
  </si>
  <si>
    <t xml:space="preserve"> Inv - 6000032322</t>
  </si>
  <si>
    <t>Stabilised Sand Inv No - 9405436419</t>
  </si>
  <si>
    <t xml:space="preserve">Stabilised Sand          </t>
  </si>
  <si>
    <t>Tipper Hire    (Kennards)  From th 14/11/2011 to the 28/11/2011   Inv No - 13245682</t>
  </si>
  <si>
    <t xml:space="preserve">Tipper ( Kennards )      </t>
  </si>
  <si>
    <t>Damage Waiver ( Multi Tyre Roller ) Inv No - 7775891</t>
  </si>
  <si>
    <t xml:space="preserve">Insurance                </t>
  </si>
  <si>
    <t>Tutt &amp; Bryant (Rammer) Hired from the 8/142/2011 to the 9/12/2011  Inv No 7776370</t>
  </si>
  <si>
    <t>Tutt &amp; Bryant (Rammer) Hire From the 12/12/2011 tio the 12/12/2011                        Inv No 7776455</t>
  </si>
  <si>
    <t>Tipper Hire    (Kennards) Hired from the 28/11/2011 to the 12/12/2011                           Inv No - 13284650</t>
  </si>
  <si>
    <t>Tipper Hire    (Kennards) Hire from the 12/12/2011 to the 16/12/2011                        Inv No - 13297542</t>
  </si>
  <si>
    <t>Hired from the 28/12/2011 to the 27/01/2012 Inv No 6000033304</t>
  </si>
  <si>
    <t xml:space="preserve">Grader                   </t>
  </si>
  <si>
    <t>To Load &amp; Deliver Roadbase  (3291.94) &amp; Loader Hire      Inv No- 561</t>
  </si>
  <si>
    <t>Inv - 3092</t>
  </si>
  <si>
    <t xml:space="preserve">Stemmings                </t>
  </si>
  <si>
    <t>Multi Tyre Roller  Hired from the 16/12/2011 to the 31/12/2011.  Inv No 777937</t>
  </si>
  <si>
    <t xml:space="preserve">Multi Tyre Roller        </t>
  </si>
  <si>
    <t>Bedding Sand Inv No 9405436420</t>
  </si>
  <si>
    <t>Multi Tyre Roller. Hired from the 19/01/2012 to the 31/01/2012.  Inv No - 7779727</t>
  </si>
  <si>
    <t>SD Roller - Dry. Hired from the 31/12/2011 to the 31/01/2012.  Inv No - 7779725</t>
  </si>
  <si>
    <t xml:space="preserve">SD Roller                </t>
  </si>
  <si>
    <t>Multi Tyre Roller.Hired from the 31/12/2011 to the 18/01/2012. Inv No 7779723</t>
  </si>
  <si>
    <t xml:space="preserve"> Tutt &amp; Bryant   (Portable Vibshaft) . Inv N0 - 7778877</t>
  </si>
  <si>
    <t xml:space="preserve">Subtotal for 061                   </t>
  </si>
  <si>
    <t>Cost Code 062</t>
  </si>
  <si>
    <t xml:space="preserve"> Tutt &amp; Bryant   (Portable Vibshaft)  Hired from the 30/11/2011 to the 2/12/2011  Inv No - 7775994</t>
  </si>
  <si>
    <t>People Resourcing   (Labour Hire)</t>
  </si>
  <si>
    <t>Flexidrive Motor Petrol &amp; Pump and Hoses  Hire from the 30/11/2011 to the 1/11/2011          Inv No - 7775960</t>
  </si>
  <si>
    <t>Travell Time</t>
  </si>
  <si>
    <t xml:space="preserve">Travel Time </t>
  </si>
  <si>
    <t>Travel time</t>
  </si>
  <si>
    <t>Labour Hire  ( People Recourcing )</t>
  </si>
  <si>
    <t xml:space="preserve">Labour Hire  ( People Recourcing ) </t>
  </si>
  <si>
    <t>7/10mm con Agg  Inv No- 3206</t>
  </si>
  <si>
    <t xml:space="preserve">Con Aggregate            </t>
  </si>
  <si>
    <t>Labour Hire  ( People Recourcing ) &amp; Travel Time</t>
  </si>
  <si>
    <t xml:space="preserve">Truck &amp; Dog Hire </t>
  </si>
  <si>
    <t>Labour Hire ( People Recourcing)</t>
  </si>
  <si>
    <t>People Resourcing  ( Labour Hire ) &amp; Travel</t>
  </si>
  <si>
    <t>Multi Tyre Roller</t>
  </si>
  <si>
    <t xml:space="preserve">Tutt Bryant              </t>
  </si>
  <si>
    <t>Cat 120H Cat    (Rental) .  Hired from the 28/01/2012 to the 27/02/2012                      Inv No - 6000034255</t>
  </si>
  <si>
    <t>To Load &amp; deliver Rosd Base from Waterford Pit to Dysart Bypass Road. Inv No - 556</t>
  </si>
  <si>
    <t xml:space="preserve">Loader Hire              </t>
  </si>
  <si>
    <t xml:space="preserve">Subtotal for 062                   </t>
  </si>
  <si>
    <t>Cost Code 063</t>
  </si>
  <si>
    <t xml:space="preserve">Constructon Manager </t>
  </si>
  <si>
    <t>Hire for the 16/02/2012</t>
  </si>
  <si>
    <t xml:space="preserve">Twin Drum Roller         </t>
  </si>
  <si>
    <t>SD Roller - Dry.  Hired from the 31/01/2012 to the 29/02/2012.  Inv No - 7781612</t>
  </si>
  <si>
    <t xml:space="preserve">Subtotal for 063                   </t>
  </si>
  <si>
    <t>Cost Code 064</t>
  </si>
  <si>
    <t>Inv AQCQA2183-001</t>
  </si>
  <si>
    <t xml:space="preserve">Primer Seal - 16mm       </t>
  </si>
  <si>
    <t xml:space="preserve">Primer Seal - 10mm       </t>
  </si>
  <si>
    <t xml:space="preserve">CAT297                   </t>
  </si>
  <si>
    <t>Toll Personnel   ( Labour Hire )</t>
  </si>
  <si>
    <t xml:space="preserve">Inv AQCQA329-002
</t>
  </si>
  <si>
    <t>Volvo &amp; Water Cart Hire.  Inv No - 3918</t>
  </si>
  <si>
    <t xml:space="preserve">Water Cart - Hire        </t>
  </si>
  <si>
    <t>Grader - Wet Hire.  Inv No - 7788513</t>
  </si>
  <si>
    <t>labour Hire</t>
  </si>
  <si>
    <t>Inv No - 00265694</t>
  </si>
  <si>
    <t xml:space="preserve">Subtotal for 064                   </t>
  </si>
  <si>
    <t>Cost Code 065</t>
  </si>
  <si>
    <t>Inv AQCQA2183-002</t>
  </si>
  <si>
    <t xml:space="preserve">Seal Visit Two           </t>
  </si>
  <si>
    <t xml:space="preserve">Subtotal for 065                   </t>
  </si>
  <si>
    <t>Cost Code 066</t>
  </si>
  <si>
    <t>2 x TC's + Ute, Signs &amp; Comms.  Inv No - 21904</t>
  </si>
  <si>
    <t xml:space="preserve">Traffic Control Crew     </t>
  </si>
  <si>
    <t>Inv No - 21905</t>
  </si>
  <si>
    <t xml:space="preserve">Line Marking             </t>
  </si>
  <si>
    <t xml:space="preserve">Subtotal for 066                   </t>
  </si>
  <si>
    <t>Cost Code 067</t>
  </si>
  <si>
    <t>Labour  Hire  ( Concrettor )</t>
  </si>
  <si>
    <t>Labour Hire &amp;  Travel Time.  ( People Recourcing )</t>
  </si>
  <si>
    <t>Tutt &amp; Bryant (Rammer) Hired from 28/2/12 -29/2/12.  Inv No 7780944</t>
  </si>
  <si>
    <t xml:space="preserve">Subtotal for 067                   </t>
  </si>
  <si>
    <t>Cost Code 068</t>
  </si>
  <si>
    <t>P &amp; H Gourlay</t>
  </si>
  <si>
    <t xml:space="preserve">Ivecko Spreader Truck    </t>
  </si>
  <si>
    <t>Truck Hire</t>
  </si>
  <si>
    <t xml:space="preserve">Subtotal for 068                   </t>
  </si>
  <si>
    <t>Cost Code 071</t>
  </si>
  <si>
    <t>Inv No - 198326</t>
  </si>
  <si>
    <t xml:space="preserve">Kerb Subbie              </t>
  </si>
  <si>
    <t xml:space="preserve">Subtotal for 071                   </t>
  </si>
  <si>
    <t>Cost Code 072</t>
  </si>
  <si>
    <t>Pine stud, Conduit, Reo Rod etc</t>
  </si>
  <si>
    <t xml:space="preserve">Small Tools              </t>
  </si>
  <si>
    <t>Steel Posts, Ratchet, Smart Form Beam            Inv - 10167800</t>
  </si>
  <si>
    <t xml:space="preserve">Labour Hire ( People Resourcing ) </t>
  </si>
  <si>
    <t xml:space="preserve">Subtotal for 072                   </t>
  </si>
  <si>
    <t>Cost Code 081</t>
  </si>
  <si>
    <t>Plant Float</t>
  </si>
  <si>
    <t>Plate Compactor - Dry Hire Inv- 7773440</t>
  </si>
  <si>
    <t xml:space="preserve">Plate Compactor          </t>
  </si>
  <si>
    <t>Quick Cut Saw  Inv - 7773439</t>
  </si>
  <si>
    <t xml:space="preserve">Quick Cut Saw            </t>
  </si>
  <si>
    <t>Rock Hammer From the 1/11/2011 to the 1/11/2011 Inv - 7773510</t>
  </si>
  <si>
    <t xml:space="preserve">Hammer                   </t>
  </si>
  <si>
    <t>Tutt &amp; Bryant (Rammer)  From the 3/11/2011 to the 3/11/2011 Inv 7773604</t>
  </si>
  <si>
    <t>Quick Cut Saw FRom the 31/10/2011 to the 3/11/2011 Inv - 7773605</t>
  </si>
  <si>
    <t>Plate Compactor - Dry Hire From the 31/10/2011 to the 3/11/2011 Inv - 7773575</t>
  </si>
  <si>
    <t>Tipper Hire    (Kennards)  Inv - 13207697</t>
  </si>
  <si>
    <t>Quick Cut Saw   Hired from 10/11/2011 to the 14/11/2011  Inv - 7774108</t>
  </si>
  <si>
    <t>Rock Hammer Hire from the 10/11/2011 to the 16/11/2011 Inv - 7774288</t>
  </si>
  <si>
    <t xml:space="preserve">Subtotal for 081                   </t>
  </si>
  <si>
    <t>Cost Code 111</t>
  </si>
  <si>
    <t>Hired from the 10/02/2012 to the 13/02/2012.  Inv No - 7780278</t>
  </si>
  <si>
    <t xml:space="preserve">Portable Saw             </t>
  </si>
  <si>
    <t xml:space="preserve">Subtotal for 111                   </t>
  </si>
  <si>
    <t>Cost Code 141</t>
  </si>
  <si>
    <t>General signs &amp; delineation for traffic control.   Inv - In- 8201400</t>
  </si>
  <si>
    <t xml:space="preserve">Signs - General          </t>
  </si>
  <si>
    <t>General signs &amp; delineation for traffic control. Tratic Cone 700mm Orange Base Inv- IN-8202494</t>
  </si>
  <si>
    <t xml:space="preserve">Labour Hire ( People Recourcing ) </t>
  </si>
  <si>
    <t>Hire from the 10/11/2011 to the 30/11/2011   Inv No - 7775894</t>
  </si>
  <si>
    <t xml:space="preserve">traffic lights           </t>
  </si>
  <si>
    <t>Hire from the 30/11/2011 to the 12/12/2011  Inv No 7776445</t>
  </si>
  <si>
    <t>2 x TC's + Ute, Signs &amp; Comms  Inv No - 19545</t>
  </si>
  <si>
    <t>Hire from the 30/11/2011 to the 12/12/2011 Inv No 7776445</t>
  </si>
  <si>
    <t>Labour Hire  ( People Recourcing ) &amp; Travel time</t>
  </si>
  <si>
    <t>Travel Time</t>
  </si>
  <si>
    <t>Hired from the 9/01/2012 to the 31/01/2012. Inv No - 7779726</t>
  </si>
  <si>
    <t>2 x TC's + Ute, Signs &amp; Comms. For the 18/2/12. Inv No - 20240</t>
  </si>
  <si>
    <t>2 x TC's + Ute, Signs &amp; Comms.  Inv No - 20346</t>
  </si>
  <si>
    <t>Hired from the 31/01/2012 to the 29/02/2012.  Inv No - 7781613I</t>
  </si>
  <si>
    <t>2 x TC's + Ute, Signs &amp; Comms.  Inv No 21823</t>
  </si>
  <si>
    <t>2 x TC's + Ute, Signs &amp; Comms.  Inv No - 21906</t>
  </si>
  <si>
    <t>2 x TC's + Ute, Signs &amp; Comms.  Inv No - 076</t>
  </si>
  <si>
    <t xml:space="preserve">Subtotal for 141                   </t>
  </si>
  <si>
    <t>Cost Code 151</t>
  </si>
  <si>
    <t xml:space="preserve">Subtotal for 151                   </t>
  </si>
  <si>
    <t>Cost Code 181</t>
  </si>
  <si>
    <t>docket No 29966 Inv - 2991</t>
  </si>
  <si>
    <t xml:space="preserve">Crusher Dust - Delivered </t>
  </si>
  <si>
    <t xml:space="preserve"> Steel Posts, Ratchets, Smart Form Beam.           Inv- 10167800</t>
  </si>
  <si>
    <t>Flexidrive Motor Petrol &amp; Pump and Hoses       Inv No -   7069449</t>
  </si>
  <si>
    <t>N20 Concrete  Inv  9405357295</t>
  </si>
  <si>
    <t xml:space="preserve">N20                      </t>
  </si>
  <si>
    <t xml:space="preserve">Tutt &amp; Bryant (Rammer) </t>
  </si>
  <si>
    <t>Reo Rod and Duct tape</t>
  </si>
  <si>
    <t>Portable Vibshaft 44mm  Hire form the 11/11/2011 to the 16/11/2011 Inv 7774253</t>
  </si>
  <si>
    <t xml:space="preserve">375 Sloping Headwall     </t>
  </si>
  <si>
    <t xml:space="preserve"> Tutt &amp; Bryant   (Portable Vibshaft) . Hire for the 8/02/2012. Inv No - 7780055</t>
  </si>
  <si>
    <t>Tutt &amp; Bryant (Rammer) .  Inv No - 7780198</t>
  </si>
  <si>
    <t>Portable Saw.  Inv No - 7780198</t>
  </si>
  <si>
    <t>Portable Saw. Hired from the 10/02/2012 to the 13/02/2012.Inv No - 7780278</t>
  </si>
  <si>
    <t xml:space="preserve">Subtotal for 181                   </t>
  </si>
  <si>
    <t>Cost Code 901</t>
  </si>
  <si>
    <t xml:space="preserve">Subtotal for 901                   </t>
  </si>
  <si>
    <t>Cost Code 902</t>
  </si>
  <si>
    <t>Supervisor</t>
  </si>
  <si>
    <t xml:space="preserve">Subtotal for 902                   </t>
  </si>
  <si>
    <t>Cost Code 903</t>
  </si>
  <si>
    <t>Office Crib Shed 
Inv - 7773437</t>
  </si>
  <si>
    <t xml:space="preserve">Generator                </t>
  </si>
  <si>
    <t>First Aid Kit   Inv - 139</t>
  </si>
  <si>
    <t>23 Kva 3 Ph Genset Hire from the 31/10/2011 to the 30/11/2011 Inv No - 7775892</t>
  </si>
  <si>
    <t>Inv No - 7775892</t>
  </si>
  <si>
    <t>hire from the 31/140/2011 to the 30/11/2011 Inv No 7775892.</t>
  </si>
  <si>
    <t xml:space="preserve">Crib Facilities          </t>
  </si>
  <si>
    <t>Repair  star picket slide hammer Inv No - 70139</t>
  </si>
  <si>
    <t>Site Office &amp; Tiolet, 1 Pump out during project. Hired from the 30/11/2011 to the 31/12/2011 Inv No - 7777938</t>
  </si>
  <si>
    <t>Inv No 909691</t>
  </si>
  <si>
    <t xml:space="preserve">Springwater              </t>
  </si>
  <si>
    <t>Site Office &amp; Tiolet, 1 Pump out during project.Hired from the 31/83/2012-30/4/2012.  Inv No - 7785500</t>
  </si>
  <si>
    <t xml:space="preserve">Subtotal for 903                   </t>
  </si>
  <si>
    <t>Cost Code 904</t>
  </si>
  <si>
    <t xml:space="preserve">(Nathan Hood )  Inv - 74571LEN </t>
  </si>
  <si>
    <t>Damage Waiver  for Crib Facilitites and Generator.  Hired from the 31/1/12 to 29/2/12.  Inv No - 7781611.</t>
  </si>
  <si>
    <t>Damage Waiver.  S/D Roller12 T.  Hired from the 31/01/12 to 29/02/12. Inv No - 7781612</t>
  </si>
  <si>
    <t>Damage Waiver. Traffic Lights, Hired from the 31/01/2012 to the 29/02 2012.  Inv No - 7781613</t>
  </si>
  <si>
    <t>Damage Waiver - New Holland Grader.  Inv No - 7788513</t>
  </si>
  <si>
    <t xml:space="preserve">Subtotal for 904                   </t>
  </si>
  <si>
    <t>Cost Code 905</t>
  </si>
  <si>
    <t>Tape Petrolatum Du Inv - 8311782</t>
  </si>
  <si>
    <t>Inv 400085510 - Concrete Lifting eyes, latch hook &amp; shackle</t>
  </si>
  <si>
    <t>Steel Post HVY Black ( 180cm) Inv 10166856</t>
  </si>
  <si>
    <t xml:space="preserve">Steel                    </t>
  </si>
  <si>
    <t>Pipe Gal MGPE 50nb - 6.5m</t>
  </si>
  <si>
    <t>Spray &amp; Mark White Trans No 08325735</t>
  </si>
  <si>
    <t xml:space="preserve"> Shovel Concrete, Batten,Screws, Nail Bright Inv - 10167623</t>
  </si>
  <si>
    <t>Star Pickets - Inv 10167611</t>
  </si>
  <si>
    <t xml:space="preserve"> Decking Scfrews, Sealant Windows                    Dock no A 63492</t>
  </si>
  <si>
    <t>Pine Stud, Decking screws</t>
  </si>
  <si>
    <t>Screws IHX GP BU. Nail BH Bright  Inv - 10167789</t>
  </si>
  <si>
    <t>Lawnkeeper. Plastic impact, Yellow Sled, Hose Docket No F 75002</t>
  </si>
  <si>
    <t>SDS  Plus Drill   Dock no 63572</t>
  </si>
  <si>
    <t>Wooden Pegs Inv - 10168293</t>
  </si>
  <si>
    <t>Screw Chipboard Inv No - 8343968</t>
  </si>
  <si>
    <t>Tape Komelon 8M Green  Inv - 10168791</t>
  </si>
  <si>
    <t>Spray &amp; Mark White .  Tran No- 08353591</t>
  </si>
  <si>
    <t>Bondcrete Can Inv No - F76673</t>
  </si>
  <si>
    <t>71 pce Metabo Bit, Milwalkee 2 pce Combo Ham Drill Inv No 10119754</t>
  </si>
  <si>
    <t>Nutsetter  Inv F76693</t>
  </si>
  <si>
    <t>Mop, Tape Duck, Saw Hand Jack,Bucket      Dock No - A64998</t>
  </si>
  <si>
    <t>Fuel Can   Dock No- F77069</t>
  </si>
  <si>
    <t>Sprayer Pressure  Inv No F77399</t>
  </si>
  <si>
    <t>Broom Bulldozer, Shovel .  Inv No - 10171364</t>
  </si>
  <si>
    <t>Spray &amp; Mark.   Inv No - 8467/26743</t>
  </si>
  <si>
    <t xml:space="preserve">Small Signs              </t>
  </si>
  <si>
    <t>Form Ply. Inv No 4503-1348</t>
  </si>
  <si>
    <t>Weed Kill, Spray Pressure.  Inv No - F78204</t>
  </si>
  <si>
    <t>Sprayer Pressure,pruner,Weed Kill.                       Inv No - 77399</t>
  </si>
  <si>
    <t>Nutsetter. Inv  No - A66714</t>
  </si>
  <si>
    <t>Hammer Claw Steel, Nipper End Cut In.              Inv No - F78668</t>
  </si>
  <si>
    <t>Nutsetter,Bit Hexagon Drive. Inv No - F78677</t>
  </si>
  <si>
    <t>Knife Retract Blade.  Inv No - F78714</t>
  </si>
  <si>
    <t>Wrench Inpact shinano,OIl,Male Thread, ect. Inv No - 10125474</t>
  </si>
  <si>
    <t>Goggles. Inv No - A66894</t>
  </si>
  <si>
    <t>2 pce Diamond Blade. Inv No- A66879</t>
  </si>
  <si>
    <t>Line Set Chalk,Reo Rod. Inv No =- A66961</t>
  </si>
  <si>
    <t>Reo Rod.  Inv No - A67382</t>
  </si>
  <si>
    <t>Wheel Co Met Inox.  Inv No - A67391</t>
  </si>
  <si>
    <t>Filler Expanda Foam , Tape Duct Silver.   Inv No - A67482</t>
  </si>
  <si>
    <t>Rod Rio,Drill HSS Sinpac.  Inv No - A67591</t>
  </si>
  <si>
    <t>SDS Drill.  Inv No - F79702</t>
  </si>
  <si>
    <t>Batterys.  Inv No - A67751</t>
  </si>
  <si>
    <t>Cement 20 Kg Bags.  Inv No - A67789</t>
  </si>
  <si>
    <t>Spray &amp; Mark.  Inv No F79895</t>
  </si>
  <si>
    <t>Patio W/Har.  Inv No - F79898</t>
  </si>
  <si>
    <t>Shovel, Spray &amp; Mark.  Inv No - 8467/27808</t>
  </si>
  <si>
    <t>Ear Muffs.  Inv No - 3342</t>
  </si>
  <si>
    <t>Spray Quickdry Flat.  Inv No - A68813</t>
  </si>
  <si>
    <t>Denso Tape.  Inv No - 71002</t>
  </si>
  <si>
    <t xml:space="preserve">Denso Tape               </t>
  </si>
  <si>
    <t>Rain Coat.  Inv No - 10174323</t>
  </si>
  <si>
    <t>Kerosene, Turpentine Minerals.  Inv No - F87241</t>
  </si>
  <si>
    <t>Poly Film, Weed Kill, Hand Clean.  Inv No - A73660</t>
  </si>
  <si>
    <t>Spray &amp; Mark Paint.  Inv No - F87235</t>
  </si>
  <si>
    <t>Mineral Turps. Super Glue.  Inv No - A73683</t>
  </si>
  <si>
    <t xml:space="preserve">Subtotal for 905                   </t>
  </si>
  <si>
    <t>Cost Code 907</t>
  </si>
  <si>
    <t>Transport Tractor Mixer Inv No 37850</t>
  </si>
  <si>
    <t xml:space="preserve">Float                    </t>
  </si>
  <si>
    <t>Inv - 37724</t>
  </si>
  <si>
    <t>Labour Hire  &amp; Travel Time  ( People Recourcing )</t>
  </si>
  <si>
    <t>People Resourcing  ( Labour Hire )  &amp; Travel time</t>
  </si>
  <si>
    <t>Inv No 38625</t>
  </si>
  <si>
    <t>Inv No - 38624</t>
  </si>
  <si>
    <t>travel time</t>
  </si>
  <si>
    <t>Trasport 14T Excavator. Inv No - 38721</t>
  </si>
  <si>
    <t>Site Office &amp; Tiolet, 1 Pump out during project. Inv No -7779724</t>
  </si>
  <si>
    <t>Vechicle Hire . Inv No 160992</t>
  </si>
  <si>
    <t xml:space="preserve">Vechicle Hire            </t>
  </si>
  <si>
    <t>23 Kva 3 Ph .  Hired from the 31/1/12  to 29/2/12.  Inv No 7781611</t>
  </si>
  <si>
    <t>Site Office &amp; Tiolet, 1 Pump out during project.Hired from the 31/1/12 to 29/2/12.  Inv No - 7781611</t>
  </si>
  <si>
    <t>Vechicle Hire .  Inv No 161102</t>
  </si>
  <si>
    <t>Vechicle Hire .  Inv No - 161620</t>
  </si>
  <si>
    <t>Vechicle Hire .  Inv No - 161693</t>
  </si>
  <si>
    <t>Transport of Tractor/Profiler.  Inv No - 41092</t>
  </si>
  <si>
    <t xml:space="preserve">Subtotal for 907                   </t>
  </si>
  <si>
    <t>Cost Code 910</t>
  </si>
  <si>
    <t xml:space="preserve">Subtotal for 910                   </t>
  </si>
  <si>
    <t>Cost Code 911</t>
  </si>
  <si>
    <t>Accommodation &amp; 3 meals Rate                            Inv - 56631</t>
  </si>
  <si>
    <t xml:space="preserve">Accommodation            </t>
  </si>
  <si>
    <t>Accommodation &amp; 3 meals Rate  From the 1/11/2011 to the 15/11/2011</t>
  </si>
  <si>
    <t>Middle ENSUITE Inv No -1039301</t>
  </si>
  <si>
    <t>ENSUITE  Inv No 1039137</t>
  </si>
  <si>
    <t>3 meals Rate &amp; Crib  Inv No 1039511</t>
  </si>
  <si>
    <t>From the 16/11/2011 to the 30/11/2011        Inv - 1039056</t>
  </si>
  <si>
    <t>Accommodation From the 16/12/2011 to the 17/12/2011 Inv No - 1040721</t>
  </si>
  <si>
    <t>Accommodation &amp; 3 meals Rate. From the 8/01/2011 to the 11/1/2012 .                           Inv No - 1041112</t>
  </si>
  <si>
    <t xml:space="preserve"> Billing Period from the 20/10/2011 - 23/01/2012.   Acc No 17482038</t>
  </si>
  <si>
    <t xml:space="preserve">Power                    </t>
  </si>
  <si>
    <t>Billing Period from the 20/10/2011 - 24/01/12 Acc No - 16889789</t>
  </si>
  <si>
    <t>Accommodation &amp; 3 meals Rate From the 16/01/2012 to the 25/01/2012.                        Inv No 1041512</t>
  </si>
  <si>
    <t>Billing Period from the27/10/2011 to lthe 02/02/2012. Acc No 16889762</t>
  </si>
  <si>
    <t>Accommodation &amp; 3 meals Rate. From the 1/02/12 to the 15/02/12.  Inv No - 1042504</t>
  </si>
  <si>
    <t>Accommodation &amp; 3 meals Rate.  From the 16/02/12 - 28/02/2012.</t>
  </si>
  <si>
    <t>From the 16/02/2012 to the 29/02/12.  Inv No - 1043022</t>
  </si>
  <si>
    <t>Accommodation &amp; 3 meals Rate. From the 16/03/2012 to 31/3/2012.  Inv No - 1045104</t>
  </si>
  <si>
    <t xml:space="preserve">Subtotal for 911                   </t>
  </si>
  <si>
    <t>Cost Code C20</t>
  </si>
  <si>
    <t>N20 Concrete Inv No - 9405391085</t>
  </si>
  <si>
    <t>N20 Concrete.  Inv No - 9405524315</t>
  </si>
  <si>
    <t>N20 Concrete. Inv No - 94055027312</t>
  </si>
  <si>
    <t>N20 Concrete &amp; N25. Inv No - 9405570082</t>
  </si>
  <si>
    <t>N20 Concrete.  Inv No - 9405570081</t>
  </si>
  <si>
    <t xml:space="preserve">Subtotal for C20                   </t>
  </si>
  <si>
    <t>Cost Code C32</t>
  </si>
  <si>
    <t>N32 Concrete Inv No - 9405391084</t>
  </si>
  <si>
    <t xml:space="preserve">N32                      </t>
  </si>
  <si>
    <t>N32 Concrete Inv No - 9405397632</t>
  </si>
  <si>
    <t>Inv No - 66990673</t>
  </si>
  <si>
    <t xml:space="preserve">Cement                   </t>
  </si>
  <si>
    <t>N32 Concrete. Inv No - 9405524314</t>
  </si>
  <si>
    <t>N32 Concrete. Inv No - 9405524316</t>
  </si>
  <si>
    <t xml:space="preserve">Subtotal for C32                   </t>
  </si>
  <si>
    <t>Cost Code C40</t>
  </si>
  <si>
    <t>Inv - 540091</t>
  </si>
  <si>
    <t xml:space="preserve">Concrete                 </t>
  </si>
  <si>
    <t>Inv No 9405391086</t>
  </si>
  <si>
    <t xml:space="preserve">N40                      </t>
  </si>
  <si>
    <t>Inv No- 9405562861</t>
  </si>
  <si>
    <t xml:space="preserve">Subtotal for C40                   </t>
  </si>
  <si>
    <t>Cost Code CKM</t>
  </si>
  <si>
    <t>Inv No - 9405580233</t>
  </si>
  <si>
    <t xml:space="preserve">Kerb Concrete            </t>
  </si>
  <si>
    <t xml:space="preserve">Subtotal for CKM                   </t>
  </si>
  <si>
    <t>Cost Code CSA</t>
  </si>
  <si>
    <t>Bulk GP / GB Cement.  Inv No - 94745152</t>
  </si>
  <si>
    <t xml:space="preserve">Cement Powder            </t>
  </si>
  <si>
    <t>Bulk GP / GB Cement.  Inv No - 94745153</t>
  </si>
  <si>
    <t xml:space="preserve">7/10mm con Agg .  Inv No - 4092 </t>
  </si>
  <si>
    <t xml:space="preserve">7/10mm con Agg .  Inv No - 4094 </t>
  </si>
  <si>
    <t>7/10mm con Agg.  Inv No - 4093</t>
  </si>
  <si>
    <t>7/10mm con Agg .  Inv No - 4147</t>
  </si>
  <si>
    <t>7/10mm con Agg .  Inv No - 4176</t>
  </si>
  <si>
    <t>7/10mm con Agg.  Inv No - 4230</t>
  </si>
  <si>
    <t xml:space="preserve">Subtotal for CSA                   </t>
  </si>
  <si>
    <t>Cost Code CSS</t>
  </si>
  <si>
    <t>Stabilised Sand  Inv No - 9405391087</t>
  </si>
  <si>
    <t>Stabilised Sand. Inv No - 9405570080</t>
  </si>
  <si>
    <t>Stabilised Sand.  Inv No - 9405570083</t>
  </si>
  <si>
    <t>Stabilised Sand.  Inv No - 591</t>
  </si>
  <si>
    <t xml:space="preserve">Subtotal for CSS                   </t>
  </si>
  <si>
    <t>Cost Code ETC</t>
  </si>
  <si>
    <t>Inv No - 6054523</t>
  </si>
  <si>
    <t xml:space="preserve">Conduits                 </t>
  </si>
  <si>
    <t>Inv No - SIP33161</t>
  </si>
  <si>
    <t xml:space="preserve">Foundation Cage          </t>
  </si>
  <si>
    <t xml:space="preserve">Subtotal for ETC                   </t>
  </si>
  <si>
    <t>Cost Code ETP</t>
  </si>
  <si>
    <t>Inv No-  294291</t>
  </si>
  <si>
    <t xml:space="preserve">Pits &amp; Lids              </t>
  </si>
  <si>
    <t xml:space="preserve">Subtotal for ETP                   </t>
  </si>
  <si>
    <t>Bedding Sand  Inv - 532</t>
  </si>
  <si>
    <t>Bedding Sand Docket No 29968 Inv - 2992</t>
  </si>
  <si>
    <t xml:space="preserve">Sand                     </t>
  </si>
  <si>
    <t>Cost Code QM2.3</t>
  </si>
  <si>
    <t>Inv No - 556</t>
  </si>
  <si>
    <t xml:space="preserve">Subtotal for QM2.3                 </t>
  </si>
  <si>
    <t>Cost Code QMR</t>
  </si>
  <si>
    <t xml:space="preserve"> Docket No 30328,30329 Inv- 3034</t>
  </si>
  <si>
    <t>10-20mm Stemmings docket No 27702             Inv  27702</t>
  </si>
  <si>
    <t xml:space="preserve">Rock Breaker             </t>
  </si>
  <si>
    <t>Inv No - 3335</t>
  </si>
  <si>
    <t xml:space="preserve">Rock                     </t>
  </si>
  <si>
    <t xml:space="preserve">Subtotal for QMR                   </t>
  </si>
  <si>
    <t>Cost Code QMS</t>
  </si>
  <si>
    <t>Stabilised Sand Inv- 9405357294</t>
  </si>
  <si>
    <t xml:space="preserve">Subtotal for QMS                   </t>
  </si>
  <si>
    <t>General signs &amp; delineation for traffic control.  Inv No - 8211664</t>
  </si>
  <si>
    <t>Cost Code RSM</t>
  </si>
  <si>
    <t>Onemesh Rect 6 * 2.4m, 12mm Dia 500 PLUS Rebar Inv 17145534 S2 00430</t>
  </si>
  <si>
    <t>110-120mm CombDeck Chair                                   Inv - 1715545-S2-00430</t>
  </si>
  <si>
    <t xml:space="preserve">Subtotal for RSM                   </t>
  </si>
  <si>
    <t>Cost Code SWC</t>
  </si>
  <si>
    <t>Inv 19837</t>
  </si>
  <si>
    <t xml:space="preserve">RCBC - 600 x 300         </t>
  </si>
  <si>
    <t xml:space="preserve">RCBC - 1200 x 600        </t>
  </si>
  <si>
    <t xml:space="preserve">Subtotal for SWC                   </t>
  </si>
  <si>
    <t>Cost Code SWP</t>
  </si>
  <si>
    <t xml:space="preserve"> 2.44m  - 375 mm 2 FJ RC Pipes,  Wingwalls   Inv - 19669</t>
  </si>
  <si>
    <t xml:space="preserve">Pipes                    </t>
  </si>
  <si>
    <t xml:space="preserve"> Inv - 19845</t>
  </si>
  <si>
    <t xml:space="preserve">Wing Walls               </t>
  </si>
  <si>
    <t>2.4m -375mm Class 2 FJ RC Pipe  Doket No Direct Inv - 19852</t>
  </si>
  <si>
    <t xml:space="preserve">Pipe                     </t>
  </si>
  <si>
    <t>Quick Cut Saw Hire from the 23/11/2011 to the 25/11/2011  Inv No 7774800</t>
  </si>
  <si>
    <t>Makita Jackhammer  Inv No - 7775895</t>
  </si>
  <si>
    <t xml:space="preserve">Jackhammer               </t>
  </si>
  <si>
    <t xml:space="preserve">Subtotal for SWP                   </t>
  </si>
  <si>
    <t>Grand Total</t>
  </si>
  <si>
    <t>Excavator Hyundi</t>
  </si>
  <si>
    <t>Biles Hire</t>
  </si>
  <si>
    <t>Tender Quantity</t>
  </si>
  <si>
    <t>Contract Quantity</t>
  </si>
  <si>
    <t>Tender Rate</t>
  </si>
  <si>
    <t>Tender Total</t>
  </si>
  <si>
    <t>Contract Total</t>
  </si>
  <si>
    <t>Oct -11 QTY</t>
  </si>
  <si>
    <t>%C Oct-11</t>
  </si>
  <si>
    <t>Nov-11 QTY</t>
  </si>
  <si>
    <t>%C Nov-11</t>
  </si>
  <si>
    <t>Dec-11 QTY</t>
  </si>
  <si>
    <t>%C Dec-11</t>
  </si>
  <si>
    <t>Jan-12 QTY</t>
  </si>
  <si>
    <t>%C Jan-12</t>
  </si>
  <si>
    <t>Feb-12 QTY</t>
  </si>
  <si>
    <t>%C Feb-12</t>
  </si>
  <si>
    <t>Jun-12 QTY</t>
  </si>
  <si>
    <t>%C Jun-12</t>
  </si>
  <si>
    <t>Revenue Oct-11</t>
  </si>
  <si>
    <t>Revenue Nov-11</t>
  </si>
  <si>
    <t>Revenue Dec-11</t>
  </si>
  <si>
    <t>Revenue Jan-12</t>
  </si>
  <si>
    <t>Revenue Feb-12</t>
  </si>
  <si>
    <t>Revenue Jun-12</t>
  </si>
  <si>
    <t>Contract Items</t>
  </si>
  <si>
    <t xml:space="preserve">(a)         </t>
  </si>
  <si>
    <t>Site establishment, Provision for Workplace Health &amp; Safety, Site Cleanup and Dis-establishment</t>
  </si>
  <si>
    <t xml:space="preserve">(b)         </t>
  </si>
  <si>
    <t xml:space="preserve">(c )        </t>
  </si>
  <si>
    <t xml:space="preserve">(d )        </t>
  </si>
  <si>
    <t xml:space="preserve">(e)         </t>
  </si>
  <si>
    <t xml:space="preserve">(f)         </t>
  </si>
  <si>
    <t xml:space="preserve">(g)         </t>
  </si>
  <si>
    <t xml:space="preserve">(i)         </t>
  </si>
  <si>
    <t>Subgrade CBR tests ("soaked" 4 day, 4 point) (allow 3 confirmation tests on final subgrade for pavement design)</t>
  </si>
  <si>
    <t xml:space="preserve">(ii)        </t>
  </si>
  <si>
    <t xml:space="preserve">(iii)       </t>
  </si>
  <si>
    <t xml:space="preserve">(iv)        </t>
  </si>
  <si>
    <t xml:space="preserve">(v)         </t>
  </si>
  <si>
    <t xml:space="preserve">(vi)        </t>
  </si>
  <si>
    <t xml:space="preserve">(vii)       </t>
  </si>
  <si>
    <t>Cut to fill - Ch 18 to Ch 2801 to achieve boxed out widening of existing road x 350mm deep - refer type cross section (total of  2804 m3 of Cut and 225 m3 of Fill)  balance of cut material will be spoiled at IRC Tip</t>
  </si>
  <si>
    <t xml:space="preserve">(c)         </t>
  </si>
  <si>
    <t xml:space="preserve">(d)         </t>
  </si>
  <si>
    <t>Bypass Road LHS Shoulder 1 metre wide Ch 510 to Ch 650</t>
  </si>
  <si>
    <t>Bypass Road Widening plus 1 metre wide shoulder RHS Ch 510 to Ch 650</t>
  </si>
  <si>
    <t>Bypass Road Widening Ch 18 to Ch 510</t>
  </si>
  <si>
    <t>Bypass Road Widening Ch 650 to Ch 2801</t>
  </si>
  <si>
    <t>Bypass Road Floodway - Ch 510 to Ch 650 (x 9 metres wide)</t>
  </si>
  <si>
    <t>Provide smooth transition between existing access and new shoulder (no pipe required; reinstate to similar)</t>
  </si>
  <si>
    <t>Reinstate sealed driveway between New shoulder and Carpark Access (no works on culvert required); neat smooth join.</t>
  </si>
  <si>
    <t>Reinstate sealed driveway between New shoulder and Cemetery Access (no works on culvert required); neat smooth join.</t>
  </si>
  <si>
    <t>Prepare batters and drains for hydromulch placement</t>
  </si>
  <si>
    <t>Contingency</t>
  </si>
  <si>
    <t xml:space="preserve">PS   </t>
  </si>
  <si>
    <t>1 x 375 dia SRC Pipe Cl 2 Complete in place, incl.  removal of existing headwall with care, excavate, sand, supply, lay and backfill.</t>
  </si>
  <si>
    <t>4 x 450 SRC Pipe Cl 2 Complete in place, incl.  removal of existing Endwall with care, excavate, sand, supply, lay &amp; backfill.</t>
  </si>
  <si>
    <t>Extend existing 2/1800 x 600 RCBC Complete in place, incl.  removal of existing Endwalls with care, excavate, sand, supply, lay &amp; backfill.</t>
  </si>
  <si>
    <t>4 x 450 SRC Pipe Cl 2 Complete in place, incl. removal of existing Endwall with care, excavate, sand, supply, lay &amp; backfill.</t>
  </si>
  <si>
    <t>4 x 450 SRC Pipe Cl 2 Complete in place, incl.  removal of existing headwall with care, excavate, sand, supply, lay &amp; backfill.</t>
  </si>
  <si>
    <t>1 x 375 SRC Pipe Cl 2 Complete in place, incl.  removal of existing Endwall with care, excavate, sand, supply, lay &amp; backfill.</t>
  </si>
  <si>
    <t>2 x 450 SRC Pipe Cl 2 Complete in place, incl. removal of existing Endwall with care, excavate, sand, supply, lay &amp; backfill.</t>
  </si>
  <si>
    <t>2 x 750 SRC Pipe Cl 2 Complete in place, incl. removal of existing Endwall with care, excavate, sand, supply, lay &amp; backfill.</t>
  </si>
  <si>
    <t>2 x 375 SRC Pipe Cl 2 Complete in place, incl. removal of existing Endwall with care, excavate, sand, supply, lay &amp; backfill.</t>
  </si>
  <si>
    <t>1/600 x 300 RCBC Complete in place, including excavate, sand, supply, lay and backfill.</t>
  </si>
  <si>
    <t>Cut to Spoil - to achieve boxed out deep to 500mm - material will be spoiled at IRC Tip.</t>
  </si>
  <si>
    <t>Dysart Bypass Rd - Middlemount Rd Intersection LHS</t>
  </si>
  <si>
    <t>Dysart Bypass Rd - Middlemount Rd Intersection RHS</t>
  </si>
  <si>
    <t>Base QT Type 2.1 @ 150mm deep</t>
  </si>
  <si>
    <t>Upper Sub-Base QT Type 2.3 @ 200mm deep</t>
  </si>
  <si>
    <t>Lower Sub-Base QT Type 2.5 @ 150mm deep</t>
  </si>
  <si>
    <t>Cement Stabilise 4% by weight 200mm deep any failed areas identified by the Superintendent as ordered.</t>
  </si>
  <si>
    <t>Dysart Bypass Rd - Middlemount Rd Intersection Complete (overlaying existing seal area)</t>
  </si>
  <si>
    <t>Type 5 Concrete Kerb in minimum 25 MPa concrete</t>
  </si>
  <si>
    <t>Electrical Mains Trenching and Conduiting including bends, draw-wire, sand, bed, backfill, warning tape: 1 x 100 dia LV (HD) + HARD COVER (Provisional Item)</t>
  </si>
  <si>
    <t>Hydromulch to all disturbed areas as directed (batters and drains)</t>
  </si>
  <si>
    <t>Culvert 1A - Extend existing 600 x 300 RCBC RHS, complete in place incl. excavate, sand, supply, lay and backfill</t>
  </si>
  <si>
    <t>1/600 x 300 Cast Insitu Endwall and Apron to Main Roads Std Dwgs complete in place</t>
  </si>
  <si>
    <t>Dysart Bypass Rd - Golden Mile Rd Intersection Complete (overlaying existing seal area)</t>
  </si>
  <si>
    <t>Variations</t>
  </si>
  <si>
    <t xml:space="preserve">PV01        </t>
  </si>
  <si>
    <t>Revised Tender Rates - Seal &amp; Asphalt</t>
  </si>
  <si>
    <t xml:space="preserve">PV02        </t>
  </si>
  <si>
    <t>Revised pavement design</t>
  </si>
  <si>
    <t xml:space="preserve">PV03        </t>
  </si>
  <si>
    <t>Remove &amp; replace unsuitable - ch0</t>
  </si>
  <si>
    <t xml:space="preserve">PV05        </t>
  </si>
  <si>
    <t>Asphalt redesign at floodway ch510-650</t>
  </si>
  <si>
    <t xml:space="preserve">PV06        </t>
  </si>
  <si>
    <t xml:space="preserve">PV07        </t>
  </si>
  <si>
    <t>Total, all contract items and variations</t>
  </si>
  <si>
    <t>Predecessors</t>
  </si>
  <si>
    <t>Successors</t>
  </si>
  <si>
    <t>Geotechnical Testing by NATA Registered laboratory - Subgrade CBR tests (soaked 4 day, 4 point) (allow 3 confirmation tests on final subgrade for pavement design)</t>
  </si>
  <si>
    <t>Sub-Base Quality Testing as specified; Full Atterbergs and grading plus full Quarry Stockpile results - assume 1 layer</t>
  </si>
  <si>
    <t>19,45,152</t>
  </si>
  <si>
    <t>Earthworks - excavate and place as embankment as directed - Cut to fill - Ch 18 to Ch 2801 to achieve boxed out widening of existing road x 350mm deep - refer type cross section (total of 2804 m3 of Cut and 225 m3 of Fill) balance of cut material will b</t>
  </si>
  <si>
    <t>Gravel Pavement Base In Place complete, including supply, spreading, watering, rolling and trimming:- (a) Bypass Road Widening Ch 18 to Ch 2801 - Provisional Item Allowance for Lower Sub-Base QT Type 2.5 @ 150mm deep x widening area over selected 25% of l</t>
  </si>
  <si>
    <t>Primerseal complete in place (10mm stone ); spray rates nominally to be 1.1 l/sqm C170 - SEAL DESIGN TO BE CONFIRMED Bypass Road LHS Shoulder 1 metre wide Ch 510 to Ch 650</t>
  </si>
  <si>
    <t>Primerseal complete in place (10mm stone ); spray rates nominally to be 1.1 l/sqm C170 - SEAL DESIGN TO BE CONFIRMED Bypass Road Widening plus 1 metre wide shoulder RHS Ch 510 to Ch 650</t>
  </si>
  <si>
    <t>Bitumen Seal - Second Coat complete in place (10mm second coat); spray rates nominally to be 1.2 l/sqm C170 - 7 METRE WIDE SEAL, SEAL DESIGN TO BE CONFIRMED -Bypass Road Widening Ch 18 to Ch 510</t>
  </si>
  <si>
    <t>Bitumen Seal - Second Coat complete in place (10mm second coat); spray rates nominally to be 1.2 l/sqm C170 - 7 METRE WIDE SEAL, SEAL DESIGN TO BE CONFIRMED - Bypass Road Widening Ch 650 to Ch 2801</t>
  </si>
  <si>
    <t>Schedule B - Drainage Dysart Bypass Rd: Ch 49.400 Extend 375 dia SRC Pipe Class 2, Installation to Main Roads Std Dwg 1359 - 1 x 375 dia SRC Pipe Cl 2 Complete in place, incl. removal of existing headwall with care, excavate, sand, supply, lay and backfi</t>
  </si>
  <si>
    <t>Ch 300 Extend 4/450 dia SRC Pipe Class 2, Installation to Main Roads Std Dwg 1359 - 4 x 450 SRC Pipe Cl 2 Complete in place, incl. removal of existing Endwall with care, excavate, sand, supply, lay &amp; backfill.</t>
  </si>
  <si>
    <t>Ch 600 Extend 2/1800 x 600 RCBC and Add 3 New Cells 1800 x 600, Installation to Main Roads Std Dwg 1359 - Extend existing 2/1800 x 600 RCBC Complete in place, incl. removal of existing Endwalls with care, excavate, sand, supply, lay &amp; backfill.</t>
  </si>
  <si>
    <t>Ch 1300 Extend 4/450 dia SRC Pipe Class 2 SRC, Installation to Main Roads STD DWG 1359 - 4 x 450 SRC Pipe Cl 2 Complete in place, incl. removal of existing headwall with care, excavate, sand, supply, lay &amp; backfill.</t>
  </si>
  <si>
    <t>Ch 1500 Extend 375 dia SRC Pipe Class 2, Installation to Main Roads Std Dwg 1359 - 1 x 375 SRC Pipe Cl 2 Complete in place, incl. removal of existing Endwall with care, excavate, sand, supply, lay &amp; backfill.</t>
  </si>
  <si>
    <t>Ch 2200 Extend 1/375 dia SRC Pipe Class 2, Installation to Main Roads Std Dwg 1359 - 1 x 375 SRC Pipe Cl 2 Complete in place, incl. removal of existing Endwall with care, excavate, sand, supply, lay &amp; backfill.</t>
  </si>
  <si>
    <t>Prepare Dysart Bypass Rd - Middlemount Rd Intersection Subgrade Surface for Gravel Pavement &amp; for Council / MRD Inspection, (incl. provision of subgrade levels and compaction test results by Contractor) - Dysart Bypass Rd - Middlemount Rd Intersection RHS</t>
  </si>
  <si>
    <t>Street Light Bases Complete in Place, including supply of rag bolts and excluding Conduiting Major Pole Base (NB - ALL 10.5m POLES NEED THE LARGER BASES)</t>
  </si>
  <si>
    <t>Linemarking Complete,Dysart Bypass Rd - Golden Mile Rd Intersection - Reinstate existing and new lines as per drawing No 842 - R19</t>
  </si>
  <si>
    <t>BAC Rate</t>
  </si>
  <si>
    <t>Final Qty</t>
  </si>
  <si>
    <t>Final Cost</t>
  </si>
  <si>
    <t>Final Rate</t>
  </si>
  <si>
    <t>SQ</t>
  </si>
  <si>
    <t>BAC</t>
  </si>
  <si>
    <t>AQ</t>
  </si>
  <si>
    <t>PQ</t>
  </si>
  <si>
    <t>PV</t>
  </si>
  <si>
    <t>AC</t>
  </si>
  <si>
    <t>EV</t>
  </si>
  <si>
    <t>Survey - Construction</t>
  </si>
  <si>
    <t>hrs</t>
  </si>
  <si>
    <t>QA Testing</t>
  </si>
  <si>
    <t>Service Locations</t>
  </si>
  <si>
    <t>Clearing to Stockpile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</si>
  <si>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</si>
  <si>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>Cut to Spoil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</si>
  <si>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</si>
  <si>
    <t>Remove &amp; Replace unsuitable</t>
  </si>
  <si>
    <t>Trim unpaved areas - footpaths, batters, drains etc</t>
  </si>
  <si>
    <t>Subgrade Preparation</t>
  </si>
  <si>
    <t>Place &amp; Compact Gravel</t>
  </si>
  <si>
    <t>Trim All Layers</t>
  </si>
  <si>
    <t>Sweep &amp; Prime / Primer seal or Seal</t>
  </si>
  <si>
    <t>Asphalt</t>
  </si>
  <si>
    <t>Linemarking</t>
  </si>
  <si>
    <t>Install Road Furniture</t>
  </si>
  <si>
    <t>Insitu Stabilisation of Subgrade (cement/lime)</t>
  </si>
  <si>
    <t>Place Kerb &amp; Channel / Inverts</t>
  </si>
  <si>
    <t>m</t>
  </si>
  <si>
    <t>Form &amp; Pour Headwalls</t>
  </si>
  <si>
    <t>each</t>
  </si>
  <si>
    <t>&gt; 450</t>
  </si>
  <si>
    <t>Install Conduits / pits / rag bolts</t>
  </si>
  <si>
    <t>Traffic Controllers</t>
  </si>
  <si>
    <t>Supply &amp; Place Silt fences &amp; protective devices</t>
  </si>
  <si>
    <t>Place Box Culverts</t>
  </si>
  <si>
    <t>Project Management</t>
  </si>
  <si>
    <t>weeks</t>
  </si>
  <si>
    <t>Project Facilities</t>
  </si>
  <si>
    <t>Project Insurance, Fees &amp; Levies</t>
  </si>
  <si>
    <t>Site Establishment</t>
  </si>
  <si>
    <t>De-Establishment &amp; Cleanup</t>
  </si>
  <si>
    <t>days</t>
  </si>
  <si>
    <t>C20  20MPA</t>
  </si>
  <si>
    <t>32 Mpa</t>
  </si>
  <si>
    <t>40 MPa Concrete</t>
  </si>
  <si>
    <t>Kerb Mix</t>
  </si>
  <si>
    <t>Cement Powder (Stabilising)</t>
  </si>
  <si>
    <t>Stabilised Sand</t>
  </si>
  <si>
    <t>Conduits</t>
  </si>
  <si>
    <t>Pits &amp; Lids</t>
  </si>
  <si>
    <t>Rock</t>
  </si>
  <si>
    <t>Mesh</t>
  </si>
  <si>
    <t>RCBC</t>
  </si>
  <si>
    <t>RCP</t>
  </si>
  <si>
    <t>Totals, all cost codes</t>
  </si>
  <si>
    <t>C20</t>
  </si>
  <si>
    <t>CSS</t>
  </si>
  <si>
    <t>Lanscaping Sub-contractors</t>
  </si>
  <si>
    <t xml:space="preserve">Portfolio WBS 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</si>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</sst>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0;[Red]\-#,##0.000"/>
    <numFmt numFmtId="165" formatCode="0.000"/>
    <numFmt numFmtId="166" formatCode="0.0000"/>
    <numFmt numFmtId="167" formatCode="yyyy"/>
    <numFmt numFmtId="168" formatCode="ddd"/>
    <numFmt numFmtId="169" formatCode="dd\ mmm\ yyyy"/>
    <numFmt numFmtId="170" formatCode="_(* #,##0.00_);_(* \(#,##0.00\);_(* &quot;-&quot;??_);_(@_)"/>
    <numFmt numFmtId="171" formatCode="#,##0_ ;\-#,##0\ "/>
    <numFmt numFmtId="172" formatCode="#,##0.00_ ;\-#,##0.00\ "/>
    <numFmt numFmtId="173" formatCode="0;\-0;&quot;-&quot;;@"/>
    <numFmt numFmtId="174" formatCode="0.00;\-0;&quot;-&quot;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Univers"/>
      <family val="2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BF5B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double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</borders>
  <cellStyleXfs count="6">
    <xf numFmtId="0" fontId="0" fillId="0" borderId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11" fillId="0" borderId="0"/>
    <xf numFmtId="170" fontId="11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271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/>
    </xf>
    <xf numFmtId="0" fontId="0" fillId="0" borderId="0" xfId="0" applyAlignment="1">
      <alignment vertical="top"/>
    </xf>
    <xf numFmtId="0" fontId="0" fillId="3" borderId="0" xfId="0" applyFill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3" borderId="0" xfId="0" applyFill="1" applyAlignment="1">
      <alignment vertical="top" wrapText="1"/>
    </xf>
    <xf numFmtId="164" fontId="1" fillId="2" borderId="0" xfId="0" applyNumberFormat="1" applyFont="1" applyFill="1" applyAlignment="1">
      <alignment vertical="top"/>
    </xf>
    <xf numFmtId="164" fontId="0" fillId="0" borderId="0" xfId="0" applyNumberFormat="1" applyAlignment="1">
      <alignment vertical="top"/>
    </xf>
    <xf numFmtId="164" fontId="0" fillId="3" borderId="0" xfId="0" applyNumberFormat="1" applyFill="1" applyAlignment="1">
      <alignment vertical="top"/>
    </xf>
    <xf numFmtId="38" fontId="0" fillId="0" borderId="0" xfId="0" applyNumberFormat="1" applyAlignment="1">
      <alignment vertical="top"/>
    </xf>
    <xf numFmtId="0" fontId="1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0" borderId="0" xfId="0"/>
    <xf numFmtId="0" fontId="2" fillId="0" borderId="0" xfId="0" applyFont="1"/>
    <xf numFmtId="38" fontId="0" fillId="0" borderId="0" xfId="0" applyNumberFormat="1"/>
    <xf numFmtId="4" fontId="0" fillId="3" borderId="0" xfId="0" applyNumberFormat="1" applyFont="1" applyFill="1" applyAlignment="1">
      <alignment horizontal="right" vertical="top"/>
    </xf>
    <xf numFmtId="4" fontId="1" fillId="0" borderId="0" xfId="0" applyNumberFormat="1" applyFont="1" applyAlignment="1">
      <alignment horizontal="right" vertical="top"/>
    </xf>
    <xf numFmtId="4" fontId="1" fillId="2" borderId="0" xfId="0" applyNumberFormat="1" applyFont="1" applyFill="1" applyAlignment="1">
      <alignment vertical="top"/>
    </xf>
    <xf numFmtId="4" fontId="0" fillId="3" borderId="0" xfId="0" applyNumberFormat="1" applyFill="1" applyAlignment="1">
      <alignment vertical="top"/>
    </xf>
    <xf numFmtId="4" fontId="0" fillId="0" borderId="0" xfId="0" applyNumberFormat="1" applyAlignment="1">
      <alignment vertical="top"/>
    </xf>
    <xf numFmtId="164" fontId="1" fillId="4" borderId="0" xfId="0" applyNumberFormat="1" applyFont="1" applyFill="1" applyAlignment="1">
      <alignment vertical="top"/>
    </xf>
    <xf numFmtId="164" fontId="0" fillId="4" borderId="0" xfId="0" applyNumberFormat="1" applyFill="1" applyAlignment="1">
      <alignment vertical="top"/>
    </xf>
    <xf numFmtId="0" fontId="2" fillId="3" borderId="0" xfId="0" applyFont="1" applyFill="1" applyAlignment="1">
      <alignment vertical="top"/>
    </xf>
    <xf numFmtId="0" fontId="2" fillId="3" borderId="0" xfId="0" applyFont="1" applyFill="1" applyAlignment="1">
      <alignment vertical="top" wrapText="1"/>
    </xf>
    <xf numFmtId="0" fontId="2" fillId="3" borderId="0" xfId="0" applyFont="1" applyFill="1" applyAlignment="1">
      <alignment horizontal="center" vertical="top"/>
    </xf>
    <xf numFmtId="164" fontId="2" fillId="3" borderId="0" xfId="0" applyNumberFormat="1" applyFont="1" applyFill="1" applyAlignment="1">
      <alignment vertical="top"/>
    </xf>
    <xf numFmtId="4" fontId="2" fillId="3" borderId="0" xfId="0" applyNumberFormat="1" applyFont="1" applyFill="1" applyAlignment="1">
      <alignment horizontal="right" vertical="top"/>
    </xf>
    <xf numFmtId="4" fontId="2" fillId="3" borderId="0" xfId="0" applyNumberFormat="1" applyFont="1" applyFill="1" applyAlignment="1">
      <alignment vertical="top"/>
    </xf>
    <xf numFmtId="166" fontId="0" fillId="0" borderId="0" xfId="0" applyNumberFormat="1"/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/>
    </xf>
    <xf numFmtId="4" fontId="3" fillId="0" borderId="0" xfId="0" applyNumberFormat="1" applyFont="1" applyAlignment="1">
      <alignment vertical="top"/>
    </xf>
    <xf numFmtId="0" fontId="5" fillId="0" borderId="0" xfId="0" applyFont="1"/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6" fillId="0" borderId="0" xfId="0" applyFont="1" applyAlignment="1">
      <alignment vertical="center" textRotation="90" wrapText="1"/>
    </xf>
    <xf numFmtId="0" fontId="5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0" fillId="0" borderId="3" xfId="0" applyBorder="1" applyAlignment="1">
      <alignment horizontal="center" vertical="top"/>
    </xf>
    <xf numFmtId="0" fontId="0" fillId="0" borderId="3" xfId="0" applyBorder="1" applyAlignment="1">
      <alignment vertical="top" wrapText="1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/>
    </xf>
    <xf numFmtId="165" fontId="7" fillId="0" borderId="4" xfId="0" applyNumberFormat="1" applyFont="1" applyFill="1" applyBorder="1" applyAlignment="1">
      <alignment horizontal="center"/>
    </xf>
    <xf numFmtId="165" fontId="4" fillId="0" borderId="3" xfId="0" applyNumberFormat="1" applyFont="1" applyFill="1" applyBorder="1"/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1" fillId="0" borderId="0" xfId="0" applyFont="1"/>
    <xf numFmtId="0" fontId="0" fillId="0" borderId="1" xfId="0" applyBorder="1" applyAlignment="1">
      <alignment horizontal="center"/>
    </xf>
    <xf numFmtId="168" fontId="1" fillId="6" borderId="10" xfId="0" applyNumberFormat="1" applyFont="1" applyFill="1" applyBorder="1" applyAlignment="1">
      <alignment horizontal="center"/>
    </xf>
    <xf numFmtId="168" fontId="1" fillId="6" borderId="1" xfId="0" applyNumberFormat="1" applyFont="1" applyFill="1" applyBorder="1" applyAlignment="1">
      <alignment horizontal="center"/>
    </xf>
    <xf numFmtId="168" fontId="1" fillId="0" borderId="1" xfId="0" applyNumberFormat="1" applyFont="1" applyBorder="1" applyAlignment="1">
      <alignment horizontal="center"/>
    </xf>
    <xf numFmtId="168" fontId="1" fillId="6" borderId="11" xfId="0" applyNumberFormat="1" applyFont="1" applyFill="1" applyBorder="1" applyAlignment="1">
      <alignment horizontal="center"/>
    </xf>
    <xf numFmtId="168" fontId="1" fillId="0" borderId="0" xfId="0" applyNumberFormat="1" applyFont="1"/>
    <xf numFmtId="15" fontId="0" fillId="6" borderId="10" xfId="0" applyNumberFormat="1" applyFill="1" applyBorder="1" applyAlignment="1">
      <alignment horizontal="center"/>
    </xf>
    <xf numFmtId="15" fontId="0" fillId="6" borderId="1" xfId="0" applyNumberFormat="1" applyFill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15" fontId="0" fillId="6" borderId="11" xfId="0" applyNumberFormat="1" applyFill="1" applyBorder="1" applyAlignment="1">
      <alignment horizontal="center"/>
    </xf>
    <xf numFmtId="15" fontId="0" fillId="6" borderId="5" xfId="0" applyNumberFormat="1" applyFill="1" applyBorder="1" applyAlignment="1">
      <alignment horizontal="center"/>
    </xf>
    <xf numFmtId="15" fontId="0" fillId="6" borderId="2" xfId="0" applyNumberFormat="1" applyFill="1" applyBorder="1" applyAlignment="1">
      <alignment horizontal="center"/>
    </xf>
    <xf numFmtId="15" fontId="0" fillId="0" borderId="2" xfId="0" applyNumberFormat="1" applyBorder="1" applyAlignment="1">
      <alignment horizontal="center"/>
    </xf>
    <xf numFmtId="15" fontId="0" fillId="6" borderId="12" xfId="0" applyNumberFormat="1" applyFill="1" applyBorder="1" applyAlignment="1">
      <alignment horizontal="center"/>
    </xf>
    <xf numFmtId="0" fontId="2" fillId="0" borderId="0" xfId="0" applyFont="1"/>
    <xf numFmtId="15" fontId="0" fillId="6" borderId="13" xfId="0" applyNumberFormat="1" applyFill="1" applyBorder="1" applyAlignment="1">
      <alignment horizontal="center"/>
    </xf>
    <xf numFmtId="15" fontId="0" fillId="6" borderId="14" xfId="0" applyNumberFormat="1" applyFill="1" applyBorder="1" applyAlignment="1">
      <alignment horizontal="center"/>
    </xf>
    <xf numFmtId="15" fontId="0" fillId="0" borderId="14" xfId="0" applyNumberFormat="1" applyBorder="1" applyAlignment="1">
      <alignment horizontal="center"/>
    </xf>
    <xf numFmtId="15" fontId="0" fillId="6" borderId="15" xfId="0" applyNumberFormat="1" applyFill="1" applyBorder="1" applyAlignment="1">
      <alignment horizontal="center"/>
    </xf>
    <xf numFmtId="15" fontId="0" fillId="6" borderId="16" xfId="0" applyNumberFormat="1" applyFill="1" applyBorder="1" applyAlignment="1">
      <alignment horizontal="center"/>
    </xf>
    <xf numFmtId="15" fontId="8" fillId="6" borderId="17" xfId="0" applyNumberFormat="1" applyFont="1" applyFill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15" fontId="0" fillId="6" borderId="17" xfId="0" applyNumberFormat="1" applyFill="1" applyBorder="1" applyAlignment="1">
      <alignment horizontal="center"/>
    </xf>
    <xf numFmtId="0" fontId="0" fillId="0" borderId="17" xfId="0" applyBorder="1" applyAlignment="1">
      <alignment horizontal="center"/>
    </xf>
    <xf numFmtId="15" fontId="8" fillId="6" borderId="18" xfId="0" applyNumberFormat="1" applyFont="1" applyFill="1" applyBorder="1" applyAlignment="1">
      <alignment horizontal="center"/>
    </xf>
    <xf numFmtId="38" fontId="1" fillId="2" borderId="0" xfId="0" applyNumberFormat="1" applyFont="1" applyFill="1" applyAlignment="1">
      <alignment horizontal="center" vertical="top"/>
    </xf>
    <xf numFmtId="38" fontId="0" fillId="3" borderId="0" xfId="0" applyNumberFormat="1" applyFill="1" applyAlignment="1">
      <alignment horizontal="center" vertical="top"/>
    </xf>
    <xf numFmtId="38" fontId="0" fillId="0" borderId="0" xfId="0" applyNumberFormat="1" applyAlignment="1">
      <alignment horizontal="center" vertical="top"/>
    </xf>
    <xf numFmtId="38" fontId="2" fillId="3" borderId="0" xfId="0" applyNumberFormat="1" applyFont="1" applyFill="1" applyAlignment="1">
      <alignment horizontal="center" vertical="top"/>
    </xf>
    <xf numFmtId="1" fontId="0" fillId="3" borderId="0" xfId="0" applyNumberFormat="1" applyFill="1" applyAlignment="1">
      <alignment horizontal="center" vertical="top"/>
    </xf>
    <xf numFmtId="1" fontId="0" fillId="0" borderId="0" xfId="0" applyNumberFormat="1" applyAlignment="1">
      <alignment horizontal="center" vertical="top"/>
    </xf>
    <xf numFmtId="1" fontId="1" fillId="2" borderId="0" xfId="0" applyNumberFormat="1" applyFont="1" applyFill="1" applyAlignment="1">
      <alignment horizontal="center" vertical="top"/>
    </xf>
    <xf numFmtId="0" fontId="7" fillId="0" borderId="0" xfId="0" applyFont="1"/>
    <xf numFmtId="0" fontId="5" fillId="7" borderId="8" xfId="0" applyFont="1" applyFill="1" applyBorder="1" applyAlignment="1">
      <alignment vertical="top"/>
    </xf>
    <xf numFmtId="0" fontId="5" fillId="7" borderId="8" xfId="0" applyFont="1" applyFill="1" applyBorder="1" applyAlignment="1">
      <alignment vertical="top" wrapText="1"/>
    </xf>
    <xf numFmtId="0" fontId="5" fillId="7" borderId="8" xfId="0" applyFont="1" applyFill="1" applyBorder="1" applyAlignment="1">
      <alignment horizontal="center" vertical="top" wrapText="1"/>
    </xf>
    <xf numFmtId="44" fontId="5" fillId="7" borderId="9" xfId="2" applyFont="1" applyFill="1" applyBorder="1" applyAlignment="1">
      <alignment vertical="top"/>
    </xf>
    <xf numFmtId="0" fontId="5" fillId="7" borderId="1" xfId="0" applyFont="1" applyFill="1" applyBorder="1" applyAlignment="1">
      <alignment vertical="top"/>
    </xf>
    <xf numFmtId="0" fontId="5" fillId="7" borderId="1" xfId="0" applyFont="1" applyFill="1" applyBorder="1" applyAlignment="1">
      <alignment vertical="top" wrapText="1"/>
    </xf>
    <xf numFmtId="0" fontId="5" fillId="7" borderId="1" xfId="0" applyFont="1" applyFill="1" applyBorder="1" applyAlignment="1">
      <alignment horizontal="center" vertical="top" wrapText="1"/>
    </xf>
    <xf numFmtId="44" fontId="5" fillId="7" borderId="11" xfId="2" applyFont="1" applyFill="1" applyBorder="1" applyAlignment="1">
      <alignment vertical="top"/>
    </xf>
    <xf numFmtId="0" fontId="5" fillId="8" borderId="8" xfId="0" applyFont="1" applyFill="1" applyBorder="1" applyAlignment="1">
      <alignment vertical="top"/>
    </xf>
    <xf numFmtId="0" fontId="5" fillId="8" borderId="8" xfId="0" applyFont="1" applyFill="1" applyBorder="1" applyAlignment="1">
      <alignment vertical="top" wrapText="1"/>
    </xf>
    <xf numFmtId="0" fontId="5" fillId="8" borderId="8" xfId="0" applyFont="1" applyFill="1" applyBorder="1" applyAlignment="1">
      <alignment horizontal="center" vertical="top" wrapText="1"/>
    </xf>
    <xf numFmtId="44" fontId="5" fillId="8" borderId="9" xfId="2" applyFont="1" applyFill="1" applyBorder="1" applyAlignment="1">
      <alignment vertical="top"/>
    </xf>
    <xf numFmtId="0" fontId="5" fillId="8" borderId="1" xfId="0" applyFont="1" applyFill="1" applyBorder="1" applyAlignment="1">
      <alignment vertical="top"/>
    </xf>
    <xf numFmtId="0" fontId="5" fillId="8" borderId="1" xfId="0" applyFont="1" applyFill="1" applyBorder="1" applyAlignment="1">
      <alignment vertical="top" wrapText="1"/>
    </xf>
    <xf numFmtId="0" fontId="5" fillId="8" borderId="1" xfId="0" applyFont="1" applyFill="1" applyBorder="1" applyAlignment="1">
      <alignment horizontal="center" vertical="top" wrapText="1"/>
    </xf>
    <xf numFmtId="44" fontId="5" fillId="8" borderId="11" xfId="2" applyFont="1" applyFill="1" applyBorder="1" applyAlignment="1">
      <alignment vertical="top"/>
    </xf>
    <xf numFmtId="0" fontId="5" fillId="9" borderId="8" xfId="0" applyFont="1" applyFill="1" applyBorder="1" applyAlignment="1">
      <alignment vertical="top"/>
    </xf>
    <xf numFmtId="0" fontId="5" fillId="9" borderId="8" xfId="0" applyFont="1" applyFill="1" applyBorder="1" applyAlignment="1">
      <alignment vertical="top" wrapText="1"/>
    </xf>
    <xf numFmtId="0" fontId="5" fillId="9" borderId="8" xfId="0" applyFont="1" applyFill="1" applyBorder="1" applyAlignment="1">
      <alignment horizontal="center" vertical="top" wrapText="1"/>
    </xf>
    <xf numFmtId="44" fontId="5" fillId="9" borderId="9" xfId="2" applyFont="1" applyFill="1" applyBorder="1" applyAlignment="1">
      <alignment vertical="top"/>
    </xf>
    <xf numFmtId="0" fontId="5" fillId="9" borderId="1" xfId="0" applyFont="1" applyFill="1" applyBorder="1" applyAlignment="1">
      <alignment vertical="top"/>
    </xf>
    <xf numFmtId="0" fontId="5" fillId="9" borderId="1" xfId="0" applyFont="1" applyFill="1" applyBorder="1" applyAlignment="1">
      <alignment vertical="top" wrapText="1"/>
    </xf>
    <xf numFmtId="0" fontId="5" fillId="9" borderId="1" xfId="0" applyFont="1" applyFill="1" applyBorder="1" applyAlignment="1">
      <alignment horizontal="center" vertical="top" wrapText="1"/>
    </xf>
    <xf numFmtId="44" fontId="5" fillId="9" borderId="11" xfId="2" applyFont="1" applyFill="1" applyBorder="1" applyAlignment="1">
      <alignment vertical="top"/>
    </xf>
    <xf numFmtId="0" fontId="5" fillId="10" borderId="8" xfId="0" applyFont="1" applyFill="1" applyBorder="1" applyAlignment="1">
      <alignment vertical="top"/>
    </xf>
    <xf numFmtId="0" fontId="5" fillId="10" borderId="8" xfId="0" applyFont="1" applyFill="1" applyBorder="1" applyAlignment="1">
      <alignment vertical="top" wrapText="1"/>
    </xf>
    <xf numFmtId="0" fontId="5" fillId="10" borderId="8" xfId="0" applyFont="1" applyFill="1" applyBorder="1" applyAlignment="1">
      <alignment horizontal="center" vertical="top" wrapText="1"/>
    </xf>
    <xf numFmtId="44" fontId="5" fillId="10" borderId="9" xfId="2" applyFont="1" applyFill="1" applyBorder="1" applyAlignment="1">
      <alignment vertical="top"/>
    </xf>
    <xf numFmtId="0" fontId="5" fillId="10" borderId="1" xfId="0" applyFont="1" applyFill="1" applyBorder="1" applyAlignment="1">
      <alignment vertical="top"/>
    </xf>
    <xf numFmtId="0" fontId="5" fillId="10" borderId="1" xfId="0" applyFont="1" applyFill="1" applyBorder="1" applyAlignment="1">
      <alignment vertical="top" wrapText="1"/>
    </xf>
    <xf numFmtId="0" fontId="5" fillId="10" borderId="1" xfId="0" applyFont="1" applyFill="1" applyBorder="1" applyAlignment="1">
      <alignment horizontal="center" vertical="top" wrapText="1"/>
    </xf>
    <xf numFmtId="44" fontId="5" fillId="10" borderId="11" xfId="2" applyFont="1" applyFill="1" applyBorder="1" applyAlignment="1">
      <alignment vertical="top"/>
    </xf>
    <xf numFmtId="0" fontId="6" fillId="0" borderId="2" xfId="0" applyFont="1" applyBorder="1" applyAlignment="1">
      <alignment vertical="center" textRotation="90" wrapText="1"/>
    </xf>
    <xf numFmtId="0" fontId="6" fillId="0" borderId="2" xfId="0" applyFont="1" applyBorder="1" applyAlignment="1">
      <alignment vertical="top"/>
    </xf>
    <xf numFmtId="0" fontId="6" fillId="0" borderId="2" xfId="0" applyFont="1" applyBorder="1" applyAlignment="1">
      <alignment vertical="top" wrapText="1"/>
    </xf>
    <xf numFmtId="0" fontId="6" fillId="0" borderId="2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/>
    </xf>
    <xf numFmtId="0" fontId="6" fillId="0" borderId="2" xfId="0" applyFont="1" applyBorder="1" applyAlignment="1">
      <alignment horizontal="right" vertical="top"/>
    </xf>
    <xf numFmtId="0" fontId="6" fillId="0" borderId="19" xfId="0" applyFont="1" applyBorder="1" applyAlignment="1">
      <alignment horizontal="center" vertical="center" textRotation="90" wrapText="1"/>
    </xf>
    <xf numFmtId="0" fontId="5" fillId="5" borderId="8" xfId="0" applyFont="1" applyFill="1" applyBorder="1" applyAlignment="1">
      <alignment vertical="top"/>
    </xf>
    <xf numFmtId="0" fontId="5" fillId="5" borderId="8" xfId="0" applyFont="1" applyFill="1" applyBorder="1" applyAlignment="1">
      <alignment vertical="top" wrapText="1"/>
    </xf>
    <xf numFmtId="0" fontId="5" fillId="5" borderId="8" xfId="0" applyFont="1" applyFill="1" applyBorder="1" applyAlignment="1">
      <alignment horizontal="center" vertical="top" wrapText="1"/>
    </xf>
    <xf numFmtId="0" fontId="5" fillId="5" borderId="8" xfId="0" applyFont="1" applyFill="1" applyBorder="1" applyAlignment="1">
      <alignment horizontal="center" vertical="top"/>
    </xf>
    <xf numFmtId="0" fontId="5" fillId="5" borderId="9" xfId="0" applyFont="1" applyFill="1" applyBorder="1" applyAlignment="1">
      <alignment vertical="top"/>
    </xf>
    <xf numFmtId="0" fontId="5" fillId="10" borderId="17" xfId="0" applyFont="1" applyFill="1" applyBorder="1" applyAlignment="1">
      <alignment vertical="top"/>
    </xf>
    <xf numFmtId="0" fontId="5" fillId="10" borderId="17" xfId="0" applyFont="1" applyFill="1" applyBorder="1" applyAlignment="1">
      <alignment vertical="top" wrapText="1"/>
    </xf>
    <xf numFmtId="0" fontId="5" fillId="10" borderId="17" xfId="0" applyFont="1" applyFill="1" applyBorder="1" applyAlignment="1">
      <alignment horizontal="center" vertical="top" wrapText="1"/>
    </xf>
    <xf numFmtId="44" fontId="5" fillId="10" borderId="18" xfId="2" applyFont="1" applyFill="1" applyBorder="1" applyAlignment="1">
      <alignment vertical="top"/>
    </xf>
    <xf numFmtId="0" fontId="1" fillId="0" borderId="0" xfId="0" applyFont="1" applyAlignment="1">
      <alignment horizontal="center" wrapText="1"/>
    </xf>
    <xf numFmtId="0" fontId="0" fillId="0" borderId="1" xfId="0" applyBorder="1"/>
    <xf numFmtId="43" fontId="0" fillId="0" borderId="0" xfId="1" applyFont="1" applyAlignment="1">
      <alignment vertical="top"/>
    </xf>
    <xf numFmtId="43" fontId="1" fillId="0" borderId="0" xfId="1" applyFont="1" applyAlignment="1">
      <alignment vertical="top"/>
    </xf>
    <xf numFmtId="43" fontId="1" fillId="2" borderId="0" xfId="1" applyFont="1" applyFill="1" applyAlignment="1">
      <alignment vertical="top"/>
    </xf>
    <xf numFmtId="43" fontId="0" fillId="3" borderId="0" xfId="1" applyFont="1" applyFill="1" applyAlignment="1">
      <alignment vertical="top"/>
    </xf>
    <xf numFmtId="4" fontId="0" fillId="3" borderId="0" xfId="0" applyNumberFormat="1" applyFill="1" applyAlignment="1">
      <alignment horizontal="right" vertical="top"/>
    </xf>
    <xf numFmtId="43" fontId="0" fillId="0" borderId="0" xfId="1" applyFont="1" applyAlignment="1"/>
    <xf numFmtId="0" fontId="0" fillId="0" borderId="0" xfId="0" applyAlignment="1">
      <alignment wrapText="1"/>
    </xf>
    <xf numFmtId="164" fontId="0" fillId="0" borderId="0" xfId="0" applyNumberFormat="1" applyAlignment="1">
      <alignment horizontal="center" wrapText="1"/>
    </xf>
    <xf numFmtId="164" fontId="0" fillId="0" borderId="0" xfId="0" applyNumberFormat="1" applyAlignment="1">
      <alignment wrapText="1"/>
    </xf>
    <xf numFmtId="164" fontId="0" fillId="0" borderId="0" xfId="0" applyNumberFormat="1"/>
    <xf numFmtId="169" fontId="0" fillId="0" borderId="0" xfId="0" applyNumberFormat="1"/>
    <xf numFmtId="43" fontId="1" fillId="0" borderId="0" xfId="1" applyFont="1" applyAlignment="1">
      <alignment horizontal="center" vertical="top"/>
    </xf>
    <xf numFmtId="43" fontId="1" fillId="2" borderId="0" xfId="1" applyFont="1" applyFill="1" applyAlignment="1">
      <alignment horizontal="center" vertical="top"/>
    </xf>
    <xf numFmtId="43" fontId="0" fillId="3" borderId="0" xfId="1" applyFont="1" applyFill="1" applyAlignment="1">
      <alignment horizontal="center" vertical="top"/>
    </xf>
    <xf numFmtId="43" fontId="0" fillId="0" borderId="0" xfId="1" applyFont="1" applyAlignment="1">
      <alignment horizontal="center" vertical="top"/>
    </xf>
    <xf numFmtId="43" fontId="2" fillId="3" borderId="0" xfId="1" applyFont="1" applyFill="1" applyAlignment="1">
      <alignment horizontal="center" vertical="top"/>
    </xf>
    <xf numFmtId="43" fontId="0" fillId="0" borderId="0" xfId="1" applyFont="1"/>
    <xf numFmtId="43" fontId="3" fillId="0" borderId="0" xfId="1" applyFont="1" applyAlignment="1">
      <alignment horizontal="center" vertical="top"/>
    </xf>
    <xf numFmtId="43" fontId="0" fillId="0" borderId="0" xfId="1" applyFont="1" applyAlignment="1">
      <alignment horizontal="center"/>
    </xf>
    <xf numFmtId="0" fontId="1" fillId="2" borderId="0" xfId="0" applyFont="1" applyFill="1" applyAlignment="1">
      <alignment horizontal="left" vertical="top"/>
    </xf>
    <xf numFmtId="40" fontId="0" fillId="0" borderId="0" xfId="0" applyNumberFormat="1"/>
    <xf numFmtId="0" fontId="1" fillId="0" borderId="0" xfId="0" applyFont="1" applyAlignment="1">
      <alignment wrapText="1"/>
    </xf>
    <xf numFmtId="169" fontId="1" fillId="0" borderId="0" xfId="0" applyNumberFormat="1" applyFont="1"/>
    <xf numFmtId="164" fontId="1" fillId="0" borderId="0" xfId="0" applyNumberFormat="1" applyFont="1"/>
    <xf numFmtId="40" fontId="1" fillId="0" borderId="0" xfId="0" applyNumberFormat="1" applyFont="1"/>
    <xf numFmtId="169" fontId="1" fillId="0" borderId="20" xfId="0" applyNumberFormat="1" applyFont="1" applyBorder="1"/>
    <xf numFmtId="0" fontId="1" fillId="0" borderId="20" xfId="0" applyFont="1" applyBorder="1" applyAlignment="1">
      <alignment wrapText="1"/>
    </xf>
    <xf numFmtId="0" fontId="1" fillId="0" borderId="20" xfId="0" applyFont="1" applyBorder="1"/>
    <xf numFmtId="164" fontId="1" fillId="0" borderId="20" xfId="0" applyNumberFormat="1" applyFont="1" applyBorder="1"/>
    <xf numFmtId="40" fontId="1" fillId="0" borderId="20" xfId="0" applyNumberFormat="1" applyFont="1" applyBorder="1"/>
    <xf numFmtId="0" fontId="1" fillId="0" borderId="20" xfId="0" applyFont="1" applyBorder="1" applyAlignment="1">
      <alignment horizontal="center"/>
    </xf>
    <xf numFmtId="169" fontId="1" fillId="0" borderId="21" xfId="0" applyNumberFormat="1" applyFont="1" applyBorder="1"/>
    <xf numFmtId="0" fontId="1" fillId="0" borderId="21" xfId="0" applyFont="1" applyBorder="1" applyAlignment="1">
      <alignment wrapText="1"/>
    </xf>
    <xf numFmtId="0" fontId="1" fillId="0" borderId="21" xfId="0" applyFont="1" applyBorder="1"/>
    <xf numFmtId="164" fontId="1" fillId="0" borderId="21" xfId="0" applyNumberFormat="1" applyFont="1" applyBorder="1"/>
    <xf numFmtId="40" fontId="1" fillId="0" borderId="21" xfId="0" applyNumberFormat="1" applyFont="1" applyBorder="1"/>
    <xf numFmtId="0" fontId="1" fillId="0" borderId="21" xfId="0" applyFont="1" applyBorder="1" applyAlignment="1">
      <alignment horizontal="center"/>
    </xf>
    <xf numFmtId="17" fontId="0" fillId="0" borderId="0" xfId="0" applyNumberFormat="1"/>
    <xf numFmtId="40" fontId="1" fillId="0" borderId="0" xfId="0" applyNumberFormat="1" applyFont="1" applyAlignment="1">
      <alignment horizontal="right" wrapText="1"/>
    </xf>
    <xf numFmtId="0" fontId="1" fillId="0" borderId="0" xfId="0" applyFont="1" applyAlignment="1">
      <alignment horizontal="right" wrapText="1"/>
    </xf>
    <xf numFmtId="43" fontId="1" fillId="0" borderId="0" xfId="1" applyFont="1" applyAlignment="1">
      <alignment horizontal="right" wrapText="1"/>
    </xf>
    <xf numFmtId="10" fontId="1" fillId="0" borderId="0" xfId="5" applyNumberFormat="1" applyFont="1" applyAlignment="1">
      <alignment horizontal="right" wrapText="1"/>
    </xf>
    <xf numFmtId="43" fontId="1" fillId="0" borderId="0" xfId="1" applyFont="1" applyAlignment="1">
      <alignment horizontal="right"/>
    </xf>
    <xf numFmtId="0" fontId="1" fillId="12" borderId="22" xfId="0" applyFont="1" applyFill="1" applyBorder="1" applyAlignment="1">
      <alignment horizontal="center"/>
    </xf>
    <xf numFmtId="0" fontId="1" fillId="12" borderId="22" xfId="0" applyFont="1" applyFill="1" applyBorder="1"/>
    <xf numFmtId="0" fontId="1" fillId="12" borderId="21" xfId="0" applyFont="1" applyFill="1" applyBorder="1" applyAlignment="1">
      <alignment wrapText="1"/>
    </xf>
    <xf numFmtId="0" fontId="1" fillId="12" borderId="21" xfId="0" applyFont="1" applyFill="1" applyBorder="1"/>
    <xf numFmtId="40" fontId="1" fillId="12" borderId="21" xfId="0" applyNumberFormat="1" applyFont="1" applyFill="1" applyBorder="1"/>
    <xf numFmtId="43" fontId="1" fillId="12" borderId="21" xfId="1" applyFont="1" applyFill="1" applyBorder="1"/>
    <xf numFmtId="10" fontId="1" fillId="12" borderId="21" xfId="5" applyNumberFormat="1" applyFont="1" applyFill="1" applyBorder="1"/>
    <xf numFmtId="164" fontId="1" fillId="12" borderId="21" xfId="0" applyNumberFormat="1" applyFont="1" applyFill="1" applyBorder="1"/>
    <xf numFmtId="10" fontId="0" fillId="0" borderId="0" xfId="5" applyNumberFormat="1" applyFont="1"/>
    <xf numFmtId="0" fontId="8" fillId="0" borderId="0" xfId="0" applyFont="1"/>
    <xf numFmtId="0" fontId="8" fillId="0" borderId="0" xfId="0" applyFont="1" applyAlignment="1">
      <alignment wrapText="1"/>
    </xf>
    <xf numFmtId="40" fontId="8" fillId="0" borderId="0" xfId="0" applyNumberFormat="1" applyFont="1"/>
    <xf numFmtId="43" fontId="8" fillId="0" borderId="0" xfId="1" applyFont="1"/>
    <xf numFmtId="164" fontId="8" fillId="0" borderId="0" xfId="0" applyNumberFormat="1" applyFont="1"/>
    <xf numFmtId="43" fontId="1" fillId="0" borderId="21" xfId="1" applyFont="1" applyBorder="1"/>
    <xf numFmtId="10" fontId="1" fillId="0" borderId="21" xfId="5" applyNumberFormat="1" applyFont="1" applyBorder="1"/>
    <xf numFmtId="43" fontId="1" fillId="0" borderId="0" xfId="1" applyFont="1" applyAlignment="1">
      <alignment wrapText="1"/>
    </xf>
    <xf numFmtId="3" fontId="0" fillId="0" borderId="0" xfId="0" applyNumberFormat="1"/>
    <xf numFmtId="0" fontId="14" fillId="11" borderId="1" xfId="0" applyFont="1" applyFill="1" applyBorder="1" applyAlignment="1">
      <alignment horizontal="center" vertical="top" wrapText="1"/>
    </xf>
    <xf numFmtId="44" fontId="14" fillId="11" borderId="1" xfId="2" applyFont="1" applyFill="1" applyBorder="1" applyAlignment="1">
      <alignment horizontal="center" wrapText="1"/>
    </xf>
    <xf numFmtId="0" fontId="14" fillId="11" borderId="1" xfId="0" applyFont="1" applyFill="1" applyBorder="1" applyAlignment="1">
      <alignment horizontal="center" wrapText="1"/>
    </xf>
    <xf numFmtId="0" fontId="14" fillId="0" borderId="0" xfId="0" applyFont="1" applyAlignment="1">
      <alignment horizontal="center" wrapText="1"/>
    </xf>
    <xf numFmtId="4" fontId="15" fillId="0" borderId="1" xfId="0" applyNumberFormat="1" applyFont="1" applyFill="1" applyBorder="1" applyAlignment="1">
      <alignment vertical="top"/>
    </xf>
    <xf numFmtId="4" fontId="15" fillId="0" borderId="1" xfId="0" applyNumberFormat="1" applyFont="1" applyFill="1" applyBorder="1" applyAlignment="1">
      <alignment horizontal="right" vertical="top"/>
    </xf>
    <xf numFmtId="0" fontId="15" fillId="0" borderId="1" xfId="0" applyFont="1" applyBorder="1"/>
    <xf numFmtId="0" fontId="15" fillId="0" borderId="0" xfId="0" applyFont="1"/>
    <xf numFmtId="4" fontId="15" fillId="0" borderId="0" xfId="0" applyNumberFormat="1" applyFont="1" applyFill="1" applyBorder="1" applyAlignment="1">
      <alignment vertical="top"/>
    </xf>
    <xf numFmtId="4" fontId="15" fillId="0" borderId="0" xfId="0" applyNumberFormat="1" applyFont="1" applyFill="1" applyBorder="1" applyAlignment="1">
      <alignment horizontal="right" vertical="top"/>
    </xf>
    <xf numFmtId="0" fontId="15" fillId="13" borderId="1" xfId="0" applyFont="1" applyFill="1" applyBorder="1" applyAlignment="1">
      <alignment vertical="center" wrapText="1"/>
    </xf>
    <xf numFmtId="0" fontId="15" fillId="13" borderId="1" xfId="0" applyFont="1" applyFill="1" applyBorder="1" applyAlignment="1">
      <alignment horizontal="right" vertical="center" wrapText="1"/>
    </xf>
    <xf numFmtId="3" fontId="15" fillId="13" borderId="1" xfId="0" applyNumberFormat="1" applyFont="1" applyFill="1" applyBorder="1" applyAlignment="1">
      <alignment horizontal="right" vertical="center" wrapText="1"/>
    </xf>
    <xf numFmtId="4" fontId="15" fillId="0" borderId="1" xfId="0" applyNumberFormat="1" applyFont="1" applyFill="1" applyBorder="1" applyAlignment="1">
      <alignment horizontal="center" vertical="top"/>
    </xf>
    <xf numFmtId="4" fontId="15" fillId="0" borderId="0" xfId="0" applyNumberFormat="1" applyFont="1" applyFill="1" applyBorder="1" applyAlignment="1">
      <alignment horizontal="center" vertical="top"/>
    </xf>
    <xf numFmtId="0" fontId="15" fillId="13" borderId="1" xfId="0" applyFont="1" applyFill="1" applyBorder="1" applyAlignment="1">
      <alignment horizontal="center" vertical="top" wrapText="1"/>
    </xf>
    <xf numFmtId="44" fontId="15" fillId="0" borderId="1" xfId="2" applyFont="1" applyBorder="1" applyAlignment="1">
      <alignment vertical="top"/>
    </xf>
    <xf numFmtId="10" fontId="15" fillId="0" borderId="1" xfId="5" applyNumberFormat="1" applyFont="1" applyBorder="1" applyAlignment="1">
      <alignment vertical="top"/>
    </xf>
    <xf numFmtId="0" fontId="0" fillId="0" borderId="0" xfId="0" applyAlignment="1">
      <alignment horizontal="center" wrapText="1"/>
    </xf>
    <xf numFmtId="4" fontId="0" fillId="0" borderId="0" xfId="0" applyNumberFormat="1"/>
    <xf numFmtId="4" fontId="1" fillId="0" borderId="21" xfId="0" applyNumberFormat="1" applyFont="1" applyBorder="1" applyAlignment="1">
      <alignment horizontal="center"/>
    </xf>
    <xf numFmtId="4" fontId="1" fillId="0" borderId="21" xfId="0" applyNumberFormat="1" applyFont="1" applyBorder="1"/>
    <xf numFmtId="38" fontId="1" fillId="0" borderId="21" xfId="0" applyNumberFormat="1" applyFont="1" applyBorder="1"/>
    <xf numFmtId="171" fontId="1" fillId="0" borderId="0" xfId="0" applyNumberFormat="1" applyFont="1" applyAlignment="1">
      <alignment horizontal="center"/>
    </xf>
    <xf numFmtId="172" fontId="1" fillId="0" borderId="0" xfId="0" applyNumberFormat="1" applyFont="1" applyAlignment="1">
      <alignment horizontal="center"/>
    </xf>
    <xf numFmtId="173" fontId="1" fillId="0" borderId="0" xfId="0" applyNumberFormat="1" applyFont="1" applyAlignment="1">
      <alignment horizontal="center"/>
    </xf>
    <xf numFmtId="174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38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21" xfId="0" applyFont="1" applyFill="1" applyBorder="1" applyAlignment="1">
      <alignment horizontal="center"/>
    </xf>
    <xf numFmtId="0" fontId="1" fillId="0" borderId="21" xfId="0" applyFont="1" applyFill="1" applyBorder="1" applyAlignment="1">
      <alignment wrapText="1"/>
    </xf>
    <xf numFmtId="0" fontId="1" fillId="0" borderId="21" xfId="0" applyFont="1" applyFill="1" applyBorder="1" applyAlignment="1">
      <alignment horizontal="center" wrapText="1"/>
    </xf>
    <xf numFmtId="0" fontId="0" fillId="0" borderId="0" xfId="0" applyFill="1" applyAlignment="1">
      <alignment wrapText="1"/>
    </xf>
    <xf numFmtId="17" fontId="0" fillId="0" borderId="0" xfId="0" applyNumberFormat="1" applyFill="1"/>
    <xf numFmtId="43" fontId="0" fillId="0" borderId="1" xfId="1" applyFont="1" applyBorder="1"/>
    <xf numFmtId="0" fontId="1" fillId="0" borderId="1" xfId="0" applyFont="1" applyBorder="1" applyAlignment="1">
      <alignment horizontal="center"/>
    </xf>
    <xf numFmtId="43" fontId="1" fillId="0" borderId="1" xfId="1" applyFont="1" applyBorder="1"/>
    <xf numFmtId="43" fontId="1" fillId="0" borderId="1" xfId="1" applyFont="1" applyBorder="1" applyAlignment="1">
      <alignment horizontal="center"/>
    </xf>
    <xf numFmtId="17" fontId="1" fillId="0" borderId="1" xfId="0" applyNumberFormat="1" applyFont="1" applyBorder="1" applyAlignment="1">
      <alignment horizontal="center"/>
    </xf>
    <xf numFmtId="43" fontId="1" fillId="0" borderId="23" xfId="1" applyFont="1" applyBorder="1" applyAlignment="1">
      <alignment horizontal="right"/>
    </xf>
    <xf numFmtId="43" fontId="1" fillId="0" borderId="23" xfId="1" applyFont="1" applyBorder="1" applyAlignment="1">
      <alignment horizontal="center"/>
    </xf>
    <xf numFmtId="43" fontId="0" fillId="0" borderId="25" xfId="1" applyFont="1" applyBorder="1"/>
    <xf numFmtId="43" fontId="1" fillId="0" borderId="23" xfId="1" applyFont="1" applyBorder="1"/>
    <xf numFmtId="43" fontId="1" fillId="0" borderId="0" xfId="1" applyFont="1" applyAlignment="1">
      <alignment horizontal="center"/>
    </xf>
    <xf numFmtId="43" fontId="1" fillId="0" borderId="21" xfId="1" applyFont="1" applyBorder="1" applyAlignment="1">
      <alignment horizontal="right"/>
    </xf>
    <xf numFmtId="43" fontId="1" fillId="0" borderId="24" xfId="1" applyFont="1" applyBorder="1" applyAlignment="1">
      <alignment horizontal="right"/>
    </xf>
    <xf numFmtId="43" fontId="1" fillId="0" borderId="21" xfId="1" applyFont="1" applyBorder="1" applyAlignment="1">
      <alignment horizontal="center"/>
    </xf>
    <xf numFmtId="43" fontId="1" fillId="0" borderId="24" xfId="1" applyFont="1" applyBorder="1" applyAlignment="1">
      <alignment horizontal="center"/>
    </xf>
    <xf numFmtId="43" fontId="0" fillId="0" borderId="26" xfId="1" applyFont="1" applyBorder="1"/>
    <xf numFmtId="43" fontId="1" fillId="0" borderId="24" xfId="1" applyFont="1" applyBorder="1"/>
    <xf numFmtId="43" fontId="0" fillId="0" borderId="0" xfId="1" applyFont="1" applyAlignment="1">
      <alignment wrapText="1"/>
    </xf>
    <xf numFmtId="14" fontId="7" fillId="0" borderId="0" xfId="0" applyNumberFormat="1" applyFont="1"/>
    <xf numFmtId="0" fontId="10" fillId="0" borderId="7" xfId="0" applyFont="1" applyBorder="1" applyAlignment="1">
      <alignment horizontal="center" vertical="center" textRotation="90"/>
    </xf>
    <xf numFmtId="0" fontId="10" fillId="0" borderId="10" xfId="0" applyFont="1" applyBorder="1" applyAlignment="1">
      <alignment horizontal="center" vertical="center" textRotation="90"/>
    </xf>
    <xf numFmtId="0" fontId="10" fillId="0" borderId="7" xfId="0" applyFont="1" applyBorder="1" applyAlignment="1">
      <alignment horizontal="center" vertical="center" textRotation="90" wrapText="1"/>
    </xf>
    <xf numFmtId="0" fontId="10" fillId="0" borderId="10" xfId="0" applyFont="1" applyBorder="1" applyAlignment="1">
      <alignment horizontal="center" vertical="center" textRotation="90" wrapText="1"/>
    </xf>
    <xf numFmtId="0" fontId="10" fillId="0" borderId="16" xfId="0" applyFont="1" applyBorder="1" applyAlignment="1">
      <alignment horizontal="center" vertical="center" textRotation="90"/>
    </xf>
    <xf numFmtId="15" fontId="1" fillId="0" borderId="6" xfId="0" applyNumberFormat="1" applyFont="1" applyFill="1" applyBorder="1" applyAlignment="1">
      <alignment horizontal="center"/>
    </xf>
    <xf numFmtId="167" fontId="1" fillId="6" borderId="7" xfId="0" applyNumberFormat="1" applyFont="1" applyFill="1" applyBorder="1" applyAlignment="1">
      <alignment horizontal="center"/>
    </xf>
    <xf numFmtId="167" fontId="1" fillId="6" borderId="8" xfId="0" applyNumberFormat="1" applyFont="1" applyFill="1" applyBorder="1" applyAlignment="1">
      <alignment horizontal="center"/>
    </xf>
    <xf numFmtId="167" fontId="1" fillId="0" borderId="8" xfId="0" applyNumberFormat="1" applyFont="1" applyBorder="1" applyAlignment="1">
      <alignment horizontal="center"/>
    </xf>
    <xf numFmtId="167" fontId="1" fillId="6" borderId="9" xfId="0" applyNumberFormat="1" applyFont="1" applyFill="1" applyBorder="1" applyAlignment="1">
      <alignment horizontal="center"/>
    </xf>
  </cellXfs>
  <cellStyles count="6">
    <cellStyle name="Comma" xfId="1" builtinId="3"/>
    <cellStyle name="Comma 2" xfId="4" xr:uid="{74723BF8-8955-43F1-87E1-C440EB3EBF84}"/>
    <cellStyle name="Currency" xfId="2" builtinId="4"/>
    <cellStyle name="Normal" xfId="0" builtinId="0"/>
    <cellStyle name="Normal 2" xfId="3" xr:uid="{DF24EF5D-5C56-4D78-AB02-C0A80DE8F0FD}"/>
    <cellStyle name="Percent" xfId="5" builtinId="5"/>
  </cellStyles>
  <dxfs count="0"/>
  <tableStyles count="0" defaultTableStyle="TableStyleMedium2" defaultPivotStyle="PivotStyleLight16"/>
  <colors>
    <mruColors>
      <color rgb="FFFBF5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ett%20Thiele\OneDrive%20-%20UNSW\UNSW%20(ADFA)\Project%20Data\AAA%20-%20Linked%20Estimates%20Completed%20Projects\Working\P020%20-Worksheet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"/>
      <sheetName val="Resources"/>
      <sheetName val="Model Inputs"/>
      <sheetName val="Non-Work Days"/>
      <sheetName val="Program Links"/>
    </sheetNames>
    <sheetDataSet>
      <sheetData sheetId="0"/>
      <sheetData sheetId="1">
        <row r="1">
          <cell r="B1" t="str">
            <v>Resource Name</v>
          </cell>
          <cell r="C1" t="str">
            <v>Description</v>
          </cell>
          <cell r="D1" t="str">
            <v>Type</v>
          </cell>
          <cell r="E1" t="str">
            <v>Unit</v>
          </cell>
          <cell r="F1" t="str">
            <v>Currency</v>
          </cell>
          <cell r="G1" t="str">
            <v>Base Rate</v>
          </cell>
        </row>
        <row r="2">
          <cell r="B2" t="str">
            <v>Stabilising</v>
          </cell>
          <cell r="C2" t="str">
            <v>Stabilising In House</v>
          </cell>
          <cell r="D2" t="str">
            <v>G</v>
          </cell>
          <cell r="E2"/>
          <cell r="F2"/>
          <cell r="G2">
            <v>605.28</v>
          </cell>
        </row>
        <row r="3">
          <cell r="B3" t="str">
            <v>Labour</v>
          </cell>
          <cell r="C3" t="str">
            <v>Labour</v>
          </cell>
          <cell r="D3" t="str">
            <v>L</v>
          </cell>
          <cell r="E3" t="str">
            <v xml:space="preserve">hr   </v>
          </cell>
          <cell r="F3" t="str">
            <v>AUD</v>
          </cell>
          <cell r="G3">
            <v>51.9</v>
          </cell>
        </row>
        <row r="4">
          <cell r="B4" t="str">
            <v>Project Engineer</v>
          </cell>
          <cell r="C4" t="str">
            <v>Project Engineer - Weekly Rate</v>
          </cell>
          <cell r="D4" t="str">
            <v>L</v>
          </cell>
          <cell r="E4" t="str">
            <v xml:space="preserve">week </v>
          </cell>
          <cell r="F4" t="str">
            <v>AUD</v>
          </cell>
          <cell r="G4">
            <v>3250</v>
          </cell>
        </row>
        <row r="5">
          <cell r="B5" t="str">
            <v>Project Supervisor</v>
          </cell>
          <cell r="C5" t="str">
            <v>Project Supervisor</v>
          </cell>
          <cell r="D5" t="str">
            <v>L</v>
          </cell>
          <cell r="E5" t="str">
            <v xml:space="preserve">week </v>
          </cell>
          <cell r="F5" t="str">
            <v>AUD</v>
          </cell>
          <cell r="G5">
            <v>3350</v>
          </cell>
        </row>
        <row r="6">
          <cell r="B6" t="str">
            <v>Surveyor</v>
          </cell>
          <cell r="C6" t="str">
            <v>Survey Team</v>
          </cell>
          <cell r="D6" t="str">
            <v>L</v>
          </cell>
          <cell r="E6" t="str">
            <v xml:space="preserve">hr   </v>
          </cell>
          <cell r="F6" t="str">
            <v>AUD</v>
          </cell>
          <cell r="G6">
            <v>185</v>
          </cell>
        </row>
        <row r="7">
          <cell r="B7" t="str">
            <v>Traffic Controller</v>
          </cell>
          <cell r="C7" t="str">
            <v>Traffic Controller with Vehicle</v>
          </cell>
          <cell r="D7" t="str">
            <v>L</v>
          </cell>
          <cell r="E7" t="str">
            <v xml:space="preserve">hr   </v>
          </cell>
          <cell r="F7" t="str">
            <v>AUD</v>
          </cell>
          <cell r="G7">
            <v>65</v>
          </cell>
        </row>
        <row r="8">
          <cell r="B8" t="str">
            <v>WHSO</v>
          </cell>
          <cell r="C8" t="str">
            <v>Work Place Health &amp; Safety Officer</v>
          </cell>
          <cell r="D8" t="str">
            <v>L</v>
          </cell>
          <cell r="E8" t="str">
            <v xml:space="preserve">week </v>
          </cell>
          <cell r="F8" t="str">
            <v>AUD</v>
          </cell>
          <cell r="G8">
            <v>3200</v>
          </cell>
        </row>
        <row r="9">
          <cell r="B9" t="str">
            <v>125 LD uPVC Electrical</v>
          </cell>
          <cell r="C9"/>
          <cell r="D9" t="str">
            <v>M</v>
          </cell>
          <cell r="E9" t="str">
            <v xml:space="preserve">m    </v>
          </cell>
          <cell r="F9" t="str">
            <v>AUD</v>
          </cell>
          <cell r="G9">
            <v>8</v>
          </cell>
        </row>
        <row r="10">
          <cell r="B10" t="str">
            <v>375 RCP</v>
          </cell>
          <cell r="C10"/>
          <cell r="D10" t="str">
            <v>M</v>
          </cell>
          <cell r="E10" t="str">
            <v xml:space="preserve">m    </v>
          </cell>
          <cell r="F10" t="str">
            <v>AUD</v>
          </cell>
          <cell r="G10">
            <v>83.4</v>
          </cell>
        </row>
        <row r="11">
          <cell r="B11" t="str">
            <v>450 RCP FJ CL2</v>
          </cell>
          <cell r="C11"/>
          <cell r="D11" t="str">
            <v>M</v>
          </cell>
          <cell r="E11" t="str">
            <v xml:space="preserve">m    </v>
          </cell>
          <cell r="F11" t="str">
            <v>AUD</v>
          </cell>
          <cell r="G11">
            <v>102.9</v>
          </cell>
        </row>
        <row r="12">
          <cell r="B12" t="str">
            <v>50 HD uPVC Electrical</v>
          </cell>
          <cell r="C12"/>
          <cell r="D12" t="str">
            <v>M</v>
          </cell>
          <cell r="E12" t="str">
            <v xml:space="preserve">m    </v>
          </cell>
          <cell r="F12" t="str">
            <v>AUD</v>
          </cell>
          <cell r="G12">
            <v>3</v>
          </cell>
        </row>
        <row r="13">
          <cell r="B13" t="str">
            <v>750 RCP</v>
          </cell>
          <cell r="C13"/>
          <cell r="D13" t="str">
            <v>M</v>
          </cell>
          <cell r="E13" t="str">
            <v xml:space="preserve">m    </v>
          </cell>
          <cell r="F13" t="str">
            <v>AUD</v>
          </cell>
          <cell r="G13">
            <v>215.2</v>
          </cell>
        </row>
        <row r="14">
          <cell r="B14" t="str">
            <v>CBR15</v>
          </cell>
          <cell r="C14" t="str">
            <v>CBR15 Road Base</v>
          </cell>
          <cell r="D14" t="str">
            <v>M</v>
          </cell>
          <cell r="E14" t="str">
            <v>tonne</v>
          </cell>
          <cell r="F14" t="str">
            <v>AUD</v>
          </cell>
          <cell r="G14">
            <v>31.6</v>
          </cell>
        </row>
        <row r="15">
          <cell r="B15" t="str">
            <v>CBR45</v>
          </cell>
          <cell r="C15" t="str">
            <v>CBR45 Road Base</v>
          </cell>
          <cell r="D15" t="str">
            <v>M</v>
          </cell>
          <cell r="E15" t="str">
            <v>tonne</v>
          </cell>
          <cell r="F15" t="str">
            <v>AUD</v>
          </cell>
          <cell r="G15">
            <v>32.5</v>
          </cell>
        </row>
        <row r="16">
          <cell r="B16" t="str">
            <v>CBR80</v>
          </cell>
          <cell r="C16" t="str">
            <v>CBR80 Road Base - Delivered</v>
          </cell>
          <cell r="D16" t="str">
            <v>M</v>
          </cell>
          <cell r="E16" t="str">
            <v>tonne</v>
          </cell>
          <cell r="F16" t="str">
            <v>AUD</v>
          </cell>
          <cell r="G16">
            <v>33.75</v>
          </cell>
        </row>
        <row r="17">
          <cell r="B17" t="str">
            <v>Cement</v>
          </cell>
          <cell r="C17" t="str">
            <v>Bulk GP / GB Cement</v>
          </cell>
          <cell r="D17" t="str">
            <v>M</v>
          </cell>
          <cell r="E17" t="str">
            <v>tonne</v>
          </cell>
          <cell r="F17" t="str">
            <v>AUD</v>
          </cell>
          <cell r="G17">
            <v>450</v>
          </cell>
        </row>
        <row r="18">
          <cell r="B18" t="str">
            <v>Cement - 20 kg Bags</v>
          </cell>
          <cell r="C18" t="str">
            <v>20 KG cement bags</v>
          </cell>
          <cell r="D18" t="str">
            <v>M</v>
          </cell>
          <cell r="E18" t="str">
            <v xml:space="preserve">each </v>
          </cell>
          <cell r="F18" t="str">
            <v>AUD</v>
          </cell>
          <cell r="G18">
            <v>15</v>
          </cell>
        </row>
        <row r="19">
          <cell r="B19" t="str">
            <v>Crusher Dust - Delivered</v>
          </cell>
          <cell r="C19"/>
          <cell r="D19" t="str">
            <v>M</v>
          </cell>
          <cell r="E19" t="str">
            <v>tonne</v>
          </cell>
          <cell r="F19" t="str">
            <v>AUD</v>
          </cell>
          <cell r="G19">
            <v>25.5</v>
          </cell>
        </row>
        <row r="20">
          <cell r="B20" t="str">
            <v>Draw Rope - Conduits</v>
          </cell>
          <cell r="C20"/>
          <cell r="D20" t="str">
            <v>M</v>
          </cell>
          <cell r="E20" t="str">
            <v xml:space="preserve">m    </v>
          </cell>
          <cell r="F20" t="str">
            <v>AUD</v>
          </cell>
          <cell r="G20">
            <v>0.11</v>
          </cell>
        </row>
        <row r="21">
          <cell r="B21" t="str">
            <v>Form Boards</v>
          </cell>
          <cell r="C21"/>
          <cell r="D21" t="str">
            <v>M</v>
          </cell>
          <cell r="E21" t="str">
            <v xml:space="preserve">m    </v>
          </cell>
          <cell r="F21" t="str">
            <v>AUD</v>
          </cell>
          <cell r="G21">
            <v>5</v>
          </cell>
        </row>
        <row r="22">
          <cell r="B22" t="str">
            <v>Form Ply</v>
          </cell>
          <cell r="C22"/>
          <cell r="D22" t="str">
            <v>M</v>
          </cell>
          <cell r="E22" t="str">
            <v xml:space="preserve">m²   </v>
          </cell>
          <cell r="F22" t="str">
            <v>AUD</v>
          </cell>
          <cell r="G22">
            <v>10</v>
          </cell>
        </row>
        <row r="23">
          <cell r="B23" t="str">
            <v>Gabion Rock</v>
          </cell>
          <cell r="C23" t="str">
            <v>Gabion Rock (150 - 300)</v>
          </cell>
          <cell r="D23" t="str">
            <v>M</v>
          </cell>
          <cell r="E23" t="str">
            <v>tonne</v>
          </cell>
          <cell r="F23" t="str">
            <v>AUD</v>
          </cell>
          <cell r="G23">
            <v>35</v>
          </cell>
        </row>
        <row r="24">
          <cell r="B24" t="str">
            <v>Guide Post</v>
          </cell>
          <cell r="C24"/>
          <cell r="D24" t="str">
            <v>M</v>
          </cell>
          <cell r="E24" t="str">
            <v xml:space="preserve">each </v>
          </cell>
          <cell r="F24" t="str">
            <v>AUD</v>
          </cell>
          <cell r="G24">
            <v>50</v>
          </cell>
        </row>
        <row r="25">
          <cell r="B25" t="str">
            <v>HW - 375</v>
          </cell>
          <cell r="C25" t="str">
            <v>Head Wall 375 RCP</v>
          </cell>
          <cell r="D25" t="str">
            <v>M</v>
          </cell>
          <cell r="E25" t="str">
            <v xml:space="preserve">each </v>
          </cell>
          <cell r="F25" t="str">
            <v>AUD</v>
          </cell>
          <cell r="G25">
            <v>365</v>
          </cell>
        </row>
        <row r="26">
          <cell r="B26" t="str">
            <v>Hard Cover - Electrical</v>
          </cell>
          <cell r="C26"/>
          <cell r="D26" t="str">
            <v>M</v>
          </cell>
          <cell r="E26" t="str">
            <v xml:space="preserve">m    </v>
          </cell>
          <cell r="F26" t="str">
            <v>AUD</v>
          </cell>
          <cell r="G26">
            <v>2.7</v>
          </cell>
        </row>
        <row r="27">
          <cell r="B27" t="str">
            <v>N32</v>
          </cell>
          <cell r="C27" t="str">
            <v>N32 Concrete</v>
          </cell>
          <cell r="D27" t="str">
            <v>M</v>
          </cell>
          <cell r="E27" t="str">
            <v xml:space="preserve">m³   </v>
          </cell>
          <cell r="F27" t="str">
            <v>AUD</v>
          </cell>
          <cell r="G27">
            <v>309</v>
          </cell>
        </row>
        <row r="28">
          <cell r="B28" t="str">
            <v>N40</v>
          </cell>
          <cell r="C28"/>
          <cell r="D28" t="str">
            <v>M</v>
          </cell>
          <cell r="E28" t="str">
            <v xml:space="preserve">m³   </v>
          </cell>
          <cell r="F28" t="str">
            <v>AUD</v>
          </cell>
          <cell r="G28">
            <v>325</v>
          </cell>
        </row>
        <row r="29">
          <cell r="B29" t="str">
            <v>Nightline</v>
          </cell>
          <cell r="C29"/>
          <cell r="D29" t="str">
            <v>M</v>
          </cell>
          <cell r="E29" t="str">
            <v xml:space="preserve">m    </v>
          </cell>
          <cell r="F29" t="str">
            <v>AUD</v>
          </cell>
          <cell r="G29">
            <v>2</v>
          </cell>
        </row>
        <row r="30">
          <cell r="B30" t="str">
            <v>RCBC - 1800 x 600</v>
          </cell>
          <cell r="C30"/>
          <cell r="D30" t="str">
            <v>M</v>
          </cell>
          <cell r="E30" t="str">
            <v xml:space="preserve">m    </v>
          </cell>
          <cell r="F30" t="str">
            <v>AUD</v>
          </cell>
          <cell r="G30">
            <v>935</v>
          </cell>
        </row>
        <row r="31">
          <cell r="B31" t="str">
            <v>RCBC - 600 x 300</v>
          </cell>
          <cell r="C31"/>
          <cell r="D31" t="str">
            <v>M</v>
          </cell>
          <cell r="E31" t="str">
            <v xml:space="preserve">each </v>
          </cell>
          <cell r="F31" t="str">
            <v>AUD</v>
          </cell>
          <cell r="G31">
            <v>247.5</v>
          </cell>
        </row>
        <row r="32">
          <cell r="B32" t="str">
            <v>Rag Bolt</v>
          </cell>
          <cell r="C32"/>
          <cell r="D32" t="str">
            <v>M</v>
          </cell>
          <cell r="E32" t="str">
            <v xml:space="preserve">each </v>
          </cell>
          <cell r="F32" t="str">
            <v>AUD</v>
          </cell>
          <cell r="G32">
            <v>425</v>
          </cell>
        </row>
        <row r="33">
          <cell r="B33" t="str">
            <v>S32 - Kerb Mix</v>
          </cell>
          <cell r="C33" t="str">
            <v>S32 - Kerb Mix</v>
          </cell>
          <cell r="D33" t="str">
            <v>M</v>
          </cell>
          <cell r="E33" t="str">
            <v xml:space="preserve">m³   </v>
          </cell>
          <cell r="F33" t="str">
            <v>AUD</v>
          </cell>
          <cell r="G33">
            <v>309</v>
          </cell>
        </row>
        <row r="34">
          <cell r="B34" t="str">
            <v>Sand</v>
          </cell>
          <cell r="C34" t="str">
            <v>Bedding Sand</v>
          </cell>
          <cell r="D34" t="str">
            <v>M</v>
          </cell>
          <cell r="E34" t="str">
            <v>tonne</v>
          </cell>
          <cell r="F34" t="str">
            <v>AUD</v>
          </cell>
          <cell r="G34">
            <v>28</v>
          </cell>
        </row>
        <row r="35">
          <cell r="B35" t="str">
            <v>Signs Complete</v>
          </cell>
          <cell r="C35"/>
          <cell r="D35" t="str">
            <v>M</v>
          </cell>
          <cell r="E35" t="str">
            <v xml:space="preserve">each </v>
          </cell>
          <cell r="F35" t="str">
            <v>AUD</v>
          </cell>
          <cell r="G35">
            <v>140</v>
          </cell>
        </row>
        <row r="36">
          <cell r="B36" t="str">
            <v>Small Tools</v>
          </cell>
          <cell r="C36"/>
          <cell r="D36" t="str">
            <v>M</v>
          </cell>
          <cell r="E36" t="str">
            <v xml:space="preserve">Item </v>
          </cell>
          <cell r="F36" t="str">
            <v>AUD</v>
          </cell>
          <cell r="G36">
            <v>1</v>
          </cell>
        </row>
        <row r="37">
          <cell r="B37" t="str">
            <v>Steel</v>
          </cell>
          <cell r="C37"/>
          <cell r="D37" t="str">
            <v>M</v>
          </cell>
          <cell r="E37" t="str">
            <v>tonne</v>
          </cell>
          <cell r="F37" t="str">
            <v>AUD</v>
          </cell>
          <cell r="G37">
            <v>2200</v>
          </cell>
        </row>
        <row r="38">
          <cell r="B38" t="str">
            <v>Type 7 Elec Pit</v>
          </cell>
          <cell r="C38"/>
          <cell r="D38" t="str">
            <v>M</v>
          </cell>
          <cell r="E38" t="str">
            <v xml:space="preserve">each </v>
          </cell>
          <cell r="F38" t="str">
            <v>AUD</v>
          </cell>
          <cell r="G38">
            <v>780</v>
          </cell>
        </row>
        <row r="39">
          <cell r="B39" t="str">
            <v>Bobcat</v>
          </cell>
          <cell r="C39" t="str">
            <v>Bobcat - Wet Hire</v>
          </cell>
          <cell r="D39" t="str">
            <v>P</v>
          </cell>
          <cell r="E39" t="str">
            <v xml:space="preserve">hr   </v>
          </cell>
          <cell r="F39" t="str">
            <v>AUD</v>
          </cell>
          <cell r="G39">
            <v>95</v>
          </cell>
        </row>
        <row r="40">
          <cell r="B40" t="str">
            <v>CAT297</v>
          </cell>
          <cell r="C40" t="str">
            <v>CAT297C MTL - No Operator</v>
          </cell>
          <cell r="D40" t="str">
            <v>P</v>
          </cell>
          <cell r="E40" t="str">
            <v xml:space="preserve">hr   </v>
          </cell>
          <cell r="F40" t="str">
            <v>AUD</v>
          </cell>
          <cell r="G40">
            <v>46.5</v>
          </cell>
        </row>
        <row r="41">
          <cell r="B41" t="str">
            <v>CAT297 Stabiliser</v>
          </cell>
          <cell r="C41" t="str">
            <v>CAT297 Stabiliser - No operator</v>
          </cell>
          <cell r="D41" t="str">
            <v>P</v>
          </cell>
          <cell r="E41" t="str">
            <v xml:space="preserve">hr   </v>
          </cell>
          <cell r="F41" t="str">
            <v>AUD</v>
          </cell>
          <cell r="G41">
            <v>66.069999999999993</v>
          </cell>
        </row>
        <row r="42">
          <cell r="B42" t="str">
            <v>Concrete Pump</v>
          </cell>
          <cell r="C42"/>
          <cell r="D42" t="str">
            <v>P</v>
          </cell>
          <cell r="E42" t="str">
            <v xml:space="preserve">hr   </v>
          </cell>
          <cell r="F42" t="str">
            <v>AUD</v>
          </cell>
          <cell r="G42">
            <v>175</v>
          </cell>
        </row>
        <row r="43">
          <cell r="B43" t="str">
            <v>Crib Facilities</v>
          </cell>
          <cell r="C43" t="str">
            <v>Site Office &amp; Tiolet, 1 Pump out during project.</v>
          </cell>
          <cell r="D43" t="str">
            <v>P</v>
          </cell>
          <cell r="E43" t="str">
            <v xml:space="preserve">week </v>
          </cell>
          <cell r="F43" t="str">
            <v>AUD</v>
          </cell>
          <cell r="G43">
            <v>1750</v>
          </cell>
        </row>
        <row r="44">
          <cell r="B44" t="str">
            <v>Dual Grade Laser</v>
          </cell>
          <cell r="C44"/>
          <cell r="D44" t="str">
            <v>P</v>
          </cell>
          <cell r="E44" t="str">
            <v xml:space="preserve">week </v>
          </cell>
          <cell r="F44" t="str">
            <v>AUD</v>
          </cell>
          <cell r="G44">
            <v>277</v>
          </cell>
        </row>
        <row r="45">
          <cell r="B45" t="str">
            <v>Excavator - 25T</v>
          </cell>
          <cell r="C45" t="str">
            <v>25T Excavator - Wet Hire</v>
          </cell>
          <cell r="D45" t="str">
            <v>P</v>
          </cell>
          <cell r="E45" t="str">
            <v xml:space="preserve">hr   </v>
          </cell>
          <cell r="F45" t="str">
            <v>AUD</v>
          </cell>
          <cell r="G45">
            <v>135</v>
          </cell>
        </row>
        <row r="46">
          <cell r="B46" t="str">
            <v>Float</v>
          </cell>
          <cell r="C46"/>
          <cell r="D46" t="str">
            <v>P</v>
          </cell>
          <cell r="E46" t="str">
            <v xml:space="preserve">LS   </v>
          </cell>
          <cell r="F46" t="str">
            <v>AUD</v>
          </cell>
          <cell r="G46">
            <v>1</v>
          </cell>
        </row>
        <row r="47">
          <cell r="B47" t="str">
            <v>Grader</v>
          </cell>
          <cell r="C47" t="str">
            <v>Grader - Wet Hire</v>
          </cell>
          <cell r="D47" t="str">
            <v>P</v>
          </cell>
          <cell r="E47" t="str">
            <v xml:space="preserve">hr   </v>
          </cell>
          <cell r="F47" t="str">
            <v>AUD</v>
          </cell>
          <cell r="G47">
            <v>160</v>
          </cell>
        </row>
        <row r="48">
          <cell r="B48" t="str">
            <v>MW Roller</v>
          </cell>
          <cell r="C48" t="str">
            <v>MW Roller Hourly Rate (No Op)</v>
          </cell>
          <cell r="D48" t="str">
            <v>P</v>
          </cell>
          <cell r="E48" t="str">
            <v xml:space="preserve">hr   </v>
          </cell>
          <cell r="F48" t="str">
            <v>AUD</v>
          </cell>
          <cell r="G48">
            <v>55</v>
          </cell>
        </row>
        <row r="49">
          <cell r="B49" t="str">
            <v>PF Roller</v>
          </cell>
          <cell r="C49" t="str">
            <v>Pad Foot Roller - Dry</v>
          </cell>
          <cell r="D49" t="str">
            <v>P</v>
          </cell>
          <cell r="E49" t="str">
            <v xml:space="preserve">day  </v>
          </cell>
          <cell r="F49" t="str">
            <v>AUD</v>
          </cell>
          <cell r="G49">
            <v>365</v>
          </cell>
        </row>
        <row r="50">
          <cell r="B50" t="str">
            <v>PF Roller Wet - No OP</v>
          </cell>
          <cell r="C50"/>
          <cell r="D50" t="str">
            <v>P</v>
          </cell>
          <cell r="E50" t="str">
            <v xml:space="preserve">hr   </v>
          </cell>
          <cell r="F50" t="str">
            <v>AUD</v>
          </cell>
          <cell r="G50">
            <v>58</v>
          </cell>
        </row>
        <row r="51">
          <cell r="B51" t="str">
            <v>SD Roller - Wet (No Op)</v>
          </cell>
          <cell r="C51" t="str">
            <v>SD Roller Wet Hire - No Operator</v>
          </cell>
          <cell r="D51" t="str">
            <v>P</v>
          </cell>
          <cell r="E51" t="str">
            <v xml:space="preserve">hr   </v>
          </cell>
          <cell r="F51" t="str">
            <v>AUD</v>
          </cell>
          <cell r="G51">
            <v>55</v>
          </cell>
        </row>
        <row r="52">
          <cell r="B52" t="str">
            <v>T-Top Bollards</v>
          </cell>
          <cell r="C52" t="str">
            <v>T - Top Bollards with 6kg base &amp; reflective collar</v>
          </cell>
          <cell r="D52" t="str">
            <v>P</v>
          </cell>
          <cell r="E52" t="str">
            <v xml:space="preserve">each </v>
          </cell>
          <cell r="F52" t="str">
            <v>AUD</v>
          </cell>
          <cell r="G52">
            <v>60</v>
          </cell>
        </row>
        <row r="53">
          <cell r="B53" t="str">
            <v>Tipper</v>
          </cell>
          <cell r="C53" t="str">
            <v>Tipper (Wet Hire)</v>
          </cell>
          <cell r="D53" t="str">
            <v>P</v>
          </cell>
          <cell r="E53" t="str">
            <v xml:space="preserve">hr   </v>
          </cell>
          <cell r="F53" t="str">
            <v>AUD</v>
          </cell>
          <cell r="G53">
            <v>90</v>
          </cell>
        </row>
        <row r="54">
          <cell r="B54" t="str">
            <v>UD Spreader</v>
          </cell>
          <cell r="C54" t="str">
            <v>UD Spreader Truck - No Driver</v>
          </cell>
          <cell r="D54" t="str">
            <v>P</v>
          </cell>
          <cell r="E54" t="str">
            <v xml:space="preserve">hr   </v>
          </cell>
          <cell r="F54" t="str">
            <v>AUD</v>
          </cell>
          <cell r="G54">
            <v>21.61</v>
          </cell>
        </row>
        <row r="55">
          <cell r="B55" t="str">
            <v>Water Cart - Hire</v>
          </cell>
          <cell r="C55" t="str">
            <v>Water Cart Hire</v>
          </cell>
          <cell r="D55" t="str">
            <v>P</v>
          </cell>
          <cell r="E55" t="str">
            <v xml:space="preserve">hr   </v>
          </cell>
          <cell r="F55" t="str">
            <v>AUD</v>
          </cell>
          <cell r="G55">
            <v>95</v>
          </cell>
        </row>
        <row r="56">
          <cell r="B56" t="str">
            <v>35mm AC</v>
          </cell>
          <cell r="C56"/>
          <cell r="D56" t="str">
            <v>S</v>
          </cell>
          <cell r="E56" t="str">
            <v>tonne</v>
          </cell>
          <cell r="F56" t="str">
            <v>AUD</v>
          </cell>
          <cell r="G56">
            <v>313.35000000000002</v>
          </cell>
        </row>
        <row r="57">
          <cell r="B57" t="str">
            <v>60mm AC</v>
          </cell>
          <cell r="C57"/>
          <cell r="D57" t="str">
            <v>S</v>
          </cell>
          <cell r="E57" t="str">
            <v>tonne</v>
          </cell>
          <cell r="F57" t="str">
            <v>AUD</v>
          </cell>
          <cell r="G57">
            <v>277.27999999999997</v>
          </cell>
        </row>
        <row r="58">
          <cell r="B58" t="str">
            <v>Accommodation</v>
          </cell>
          <cell r="C58" t="str">
            <v>Accommodation &amp; 3 meals Rate</v>
          </cell>
          <cell r="D58" t="str">
            <v>S</v>
          </cell>
          <cell r="E58" t="str">
            <v xml:space="preserve">day  </v>
          </cell>
          <cell r="F58" t="str">
            <v>AUD</v>
          </cell>
          <cell r="G58">
            <v>125</v>
          </cell>
        </row>
        <row r="59">
          <cell r="B59" t="str">
            <v>CAR</v>
          </cell>
          <cell r="C59" t="str">
            <v>CAR Insurance</v>
          </cell>
          <cell r="D59" t="str">
            <v>S</v>
          </cell>
          <cell r="E59" t="str">
            <v xml:space="preserve">Item </v>
          </cell>
          <cell r="F59" t="str">
            <v>AUD</v>
          </cell>
          <cell r="G59">
            <v>1</v>
          </cell>
        </row>
        <row r="60">
          <cell r="B60" t="str">
            <v>CBR Test</v>
          </cell>
          <cell r="C60"/>
          <cell r="D60" t="str">
            <v>S</v>
          </cell>
          <cell r="E60" t="str">
            <v xml:space="preserve">each </v>
          </cell>
          <cell r="F60" t="str">
            <v>AUD</v>
          </cell>
          <cell r="G60">
            <v>400</v>
          </cell>
        </row>
        <row r="61">
          <cell r="B61" t="str">
            <v>Concrete Subbie</v>
          </cell>
          <cell r="C61" t="str">
            <v>Slab on Ground</v>
          </cell>
          <cell r="D61" t="str">
            <v>S</v>
          </cell>
          <cell r="E61" t="str">
            <v xml:space="preserve">m²   </v>
          </cell>
          <cell r="F61" t="str">
            <v>AUD</v>
          </cell>
          <cell r="G61">
            <v>45</v>
          </cell>
        </row>
        <row r="62">
          <cell r="B62" t="str">
            <v>Field Density</v>
          </cell>
          <cell r="C62"/>
          <cell r="D62" t="str">
            <v>S</v>
          </cell>
          <cell r="E62" t="str">
            <v xml:space="preserve">each </v>
          </cell>
          <cell r="F62" t="str">
            <v>AUD</v>
          </cell>
          <cell r="G62">
            <v>45</v>
          </cell>
        </row>
        <row r="63">
          <cell r="B63" t="str">
            <v>Geotech Travel</v>
          </cell>
          <cell r="C63" t="str">
            <v>Travel rate per km.</v>
          </cell>
          <cell r="D63" t="str">
            <v>S</v>
          </cell>
          <cell r="E63" t="str">
            <v xml:space="preserve">km   </v>
          </cell>
          <cell r="F63" t="str">
            <v>AUD</v>
          </cell>
          <cell r="G63">
            <v>2</v>
          </cell>
        </row>
        <row r="64">
          <cell r="B64" t="str">
            <v>Gravel Properties Testing</v>
          </cell>
          <cell r="C64"/>
          <cell r="D64" t="str">
            <v>S</v>
          </cell>
          <cell r="E64" t="str">
            <v xml:space="preserve">each </v>
          </cell>
          <cell r="F64" t="str">
            <v>AUD</v>
          </cell>
          <cell r="G64">
            <v>390</v>
          </cell>
        </row>
        <row r="65">
          <cell r="B65" t="str">
            <v>Guard Rail</v>
          </cell>
          <cell r="C65" t="str">
            <v>Guard Rail Subbie, including bull nose</v>
          </cell>
          <cell r="D65" t="str">
            <v>S</v>
          </cell>
          <cell r="E65" t="str">
            <v xml:space="preserve">m    </v>
          </cell>
          <cell r="F65" t="str">
            <v>AUD</v>
          </cell>
          <cell r="G65">
            <v>7000</v>
          </cell>
        </row>
        <row r="66">
          <cell r="B66" t="str">
            <v>Hydromulch Subbie</v>
          </cell>
          <cell r="C66"/>
          <cell r="D66" t="str">
            <v>S</v>
          </cell>
          <cell r="E66" t="str">
            <v xml:space="preserve">m²   </v>
          </cell>
          <cell r="F66" t="str">
            <v>AUD</v>
          </cell>
          <cell r="G66">
            <v>0.85</v>
          </cell>
        </row>
        <row r="67">
          <cell r="B67" t="str">
            <v>Kerb Subbie</v>
          </cell>
          <cell r="C67"/>
          <cell r="D67" t="str">
            <v>S</v>
          </cell>
          <cell r="E67" t="str">
            <v xml:space="preserve">m    </v>
          </cell>
          <cell r="F67" t="str">
            <v>AUD</v>
          </cell>
          <cell r="G67">
            <v>45</v>
          </cell>
        </row>
        <row r="68">
          <cell r="B68" t="str">
            <v>Line Marking</v>
          </cell>
          <cell r="C68"/>
          <cell r="D68" t="str">
            <v>S</v>
          </cell>
          <cell r="E68" t="str">
            <v xml:space="preserve">m²   </v>
          </cell>
          <cell r="F68" t="str">
            <v>AUD</v>
          </cell>
          <cell r="G68">
            <v>1</v>
          </cell>
        </row>
        <row r="69">
          <cell r="B69" t="str">
            <v>Primer Seal - 10mm</v>
          </cell>
          <cell r="C69"/>
          <cell r="D69" t="str">
            <v>S</v>
          </cell>
          <cell r="E69" t="str">
            <v xml:space="preserve">m²   </v>
          </cell>
          <cell r="F69" t="str">
            <v>AUD</v>
          </cell>
          <cell r="G69">
            <v>4.9000000000000004</v>
          </cell>
        </row>
        <row r="70">
          <cell r="B70" t="str">
            <v>Primer Seal - 16mm</v>
          </cell>
          <cell r="C70"/>
          <cell r="D70" t="str">
            <v>S</v>
          </cell>
          <cell r="E70" t="str">
            <v xml:space="preserve">m²   </v>
          </cell>
          <cell r="F70" t="str">
            <v>AUD</v>
          </cell>
          <cell r="G70">
            <v>5.82</v>
          </cell>
        </row>
        <row r="71">
          <cell r="B71" t="str">
            <v>E/0 Primer Seal - 10mm</v>
          </cell>
          <cell r="C71"/>
          <cell r="D71" t="str">
            <v>S</v>
          </cell>
          <cell r="E71" t="str">
            <v>m131</v>
          </cell>
          <cell r="F71" t="str">
            <v>AUD</v>
          </cell>
          <cell r="G71">
            <v>0.52</v>
          </cell>
        </row>
        <row r="72">
          <cell r="B72" t="str">
            <v>E/O First Seal</v>
          </cell>
          <cell r="C72"/>
          <cell r="D72" t="str">
            <v>S</v>
          </cell>
          <cell r="E72" t="str">
            <v>m132</v>
          </cell>
          <cell r="F72" t="str">
            <v>AUD</v>
          </cell>
          <cell r="G72">
            <v>0.66</v>
          </cell>
        </row>
        <row r="73">
          <cell r="B73" t="str">
            <v>E/O Second Seal</v>
          </cell>
          <cell r="C73"/>
          <cell r="D73" t="str">
            <v>S</v>
          </cell>
          <cell r="E73" t="str">
            <v>m133</v>
          </cell>
          <cell r="F73" t="str">
            <v>AUD</v>
          </cell>
          <cell r="G73">
            <v>0.45</v>
          </cell>
        </row>
        <row r="74">
          <cell r="B74" t="str">
            <v>E/O DG10 AC</v>
          </cell>
          <cell r="C74"/>
          <cell r="D74" t="str">
            <v>S</v>
          </cell>
          <cell r="E74" t="str">
            <v>m134</v>
          </cell>
          <cell r="F74" t="str">
            <v>AUD</v>
          </cell>
          <cell r="G74">
            <v>2.13</v>
          </cell>
        </row>
        <row r="75">
          <cell r="B75" t="str">
            <v>E/O DG14 AC</v>
          </cell>
          <cell r="C75"/>
          <cell r="D75" t="str">
            <v>S</v>
          </cell>
          <cell r="E75" t="str">
            <v>m135</v>
          </cell>
          <cell r="F75" t="str">
            <v>AUD</v>
          </cell>
          <cell r="G75">
            <v>3.6</v>
          </cell>
        </row>
        <row r="76">
          <cell r="B76" t="str">
            <v>Retention Costs</v>
          </cell>
          <cell r="C76"/>
          <cell r="D76" t="str">
            <v>S</v>
          </cell>
          <cell r="E76" t="str">
            <v xml:space="preserve">Item </v>
          </cell>
          <cell r="F76" t="str">
            <v>AUD</v>
          </cell>
          <cell r="G76">
            <v>1</v>
          </cell>
        </row>
        <row r="77">
          <cell r="B77" t="str">
            <v>Seal Visit One</v>
          </cell>
          <cell r="C77"/>
          <cell r="D77" t="str">
            <v>S</v>
          </cell>
          <cell r="E77" t="str">
            <v xml:space="preserve">m²   </v>
          </cell>
          <cell r="F77" t="str">
            <v>AUD</v>
          </cell>
          <cell r="G77">
            <v>3.61</v>
          </cell>
        </row>
        <row r="78">
          <cell r="B78" t="str">
            <v>Service Locator</v>
          </cell>
          <cell r="C78"/>
          <cell r="D78" t="str">
            <v>S</v>
          </cell>
          <cell r="E78" t="str">
            <v xml:space="preserve">hr   </v>
          </cell>
          <cell r="F78" t="str">
            <v>AUD</v>
          </cell>
          <cell r="G78">
            <v>200</v>
          </cell>
        </row>
        <row r="79">
          <cell r="B79" t="str">
            <v>Steel Fixing</v>
          </cell>
          <cell r="C79"/>
          <cell r="D79" t="str">
            <v>S</v>
          </cell>
          <cell r="E79" t="str">
            <v>tonne</v>
          </cell>
          <cell r="F79" t="str">
            <v>AUD</v>
          </cell>
          <cell r="G79">
            <v>2200</v>
          </cell>
        </row>
        <row r="80">
          <cell r="B80" t="str">
            <v>Tip Fees</v>
          </cell>
          <cell r="C80" t="str">
            <v>Tip fees per ton of waste</v>
          </cell>
          <cell r="D80" t="str">
            <v>S</v>
          </cell>
          <cell r="E80" t="str">
            <v>tonne</v>
          </cell>
          <cell r="F80" t="str">
            <v>AUD</v>
          </cell>
          <cell r="G80">
            <v>15</v>
          </cell>
        </row>
        <row r="81">
          <cell r="B81" t="str">
            <v>Traffic Control Crew</v>
          </cell>
          <cell r="C81" t="str">
            <v>2 x TC's + Ute, Signs &amp; Comms</v>
          </cell>
          <cell r="D81" t="str">
            <v>S</v>
          </cell>
          <cell r="E81" t="str">
            <v xml:space="preserve">hr   </v>
          </cell>
          <cell r="F81" t="str">
            <v>AUD</v>
          </cell>
          <cell r="G81">
            <v>130</v>
          </cell>
        </row>
        <row r="82">
          <cell r="B82" t="str">
            <v>Underbore</v>
          </cell>
          <cell r="C82" t="str">
            <v>Includes 1 x 100 HD Orange</v>
          </cell>
          <cell r="D82" t="str">
            <v>S</v>
          </cell>
          <cell r="E82" t="str">
            <v xml:space="preserve">m    </v>
          </cell>
          <cell r="F82" t="str">
            <v>AUD</v>
          </cell>
          <cell r="G82">
            <v>130</v>
          </cell>
        </row>
        <row r="83">
          <cell r="B83" t="str">
            <v>Underbore Estab</v>
          </cell>
          <cell r="C83"/>
          <cell r="D83" t="str">
            <v>S</v>
          </cell>
          <cell r="E83" t="str">
            <v xml:space="preserve">Item </v>
          </cell>
          <cell r="F83" t="str">
            <v>AUD</v>
          </cell>
          <cell r="G83">
            <v>1000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56"/>
  <sheetViews>
    <sheetView zoomScale="70" zoomScaleNormal="70" workbookViewId="0">
      <pane ySplit="2" topLeftCell="A953" activePane="bottomLeft" state="frozen"/>
      <selection pane="bottomLeft" activeCell="H1161" sqref="H1161"/>
    </sheetView>
  </sheetViews>
  <sheetFormatPr defaultRowHeight="15" x14ac:dyDescent="0.25"/>
  <cols>
    <col min="1" max="1" width="17.42578125" style="158" bestFit="1" customWidth="1"/>
    <col min="2" max="2" width="20.7109375" style="5" customWidth="1"/>
    <col min="3" max="3" width="50.7109375" style="8" customWidth="1"/>
    <col min="4" max="4" width="16" style="5" customWidth="1"/>
    <col min="5" max="5" width="13.140625" style="16" customWidth="1"/>
    <col min="6" max="6" width="14.42578125" style="5" customWidth="1"/>
    <col min="7" max="7" width="18.5703125" style="5" customWidth="1"/>
    <col min="8" max="8" width="14.85546875" style="5" customWidth="1"/>
    <col min="9" max="9" width="18.85546875" style="5" customWidth="1"/>
    <col min="10" max="10" width="16.85546875" style="5" customWidth="1"/>
    <col min="11" max="11" width="14.85546875" style="5" customWidth="1"/>
    <col min="12" max="12" width="14.85546875" style="25" customWidth="1"/>
    <col min="13" max="13" width="15.7109375" style="25" customWidth="1"/>
    <col min="14" max="14" width="16.85546875" style="25" customWidth="1"/>
    <col min="15" max="15" width="16" style="25" customWidth="1"/>
    <col min="16" max="16" width="15.85546875" style="25" customWidth="1"/>
    <col min="17" max="17" width="16.85546875" style="25" bestFit="1" customWidth="1"/>
    <col min="18" max="18" width="17.42578125" style="16" bestFit="1" customWidth="1"/>
    <col min="20" max="20" width="9.140625" style="232"/>
    <col min="21" max="21" width="18.140625" style="232" customWidth="1"/>
  </cols>
  <sheetData>
    <row r="1" spans="1:22" x14ac:dyDescent="0.25">
      <c r="A1" s="155"/>
      <c r="B1" s="1" t="s">
        <v>0</v>
      </c>
      <c r="C1" s="7" t="s">
        <v>1</v>
      </c>
      <c r="D1" s="1" t="s">
        <v>3</v>
      </c>
      <c r="E1" s="14" t="s">
        <v>470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471</v>
      </c>
      <c r="K1" s="2" t="s">
        <v>472</v>
      </c>
      <c r="L1" s="22" t="s">
        <v>473</v>
      </c>
      <c r="M1" s="22" t="s">
        <v>8</v>
      </c>
      <c r="N1" s="22" t="s">
        <v>9</v>
      </c>
      <c r="O1" s="22" t="s">
        <v>10</v>
      </c>
      <c r="P1" s="22" t="s">
        <v>11</v>
      </c>
      <c r="Q1" s="22" t="s">
        <v>12</v>
      </c>
      <c r="R1" s="14" t="s">
        <v>474</v>
      </c>
    </row>
    <row r="2" spans="1:22" s="18" customFormat="1" x14ac:dyDescent="0.25">
      <c r="A2" s="155"/>
      <c r="B2" s="1"/>
      <c r="C2" s="7"/>
      <c r="D2" s="1"/>
      <c r="E2" s="14"/>
      <c r="F2" s="2"/>
      <c r="G2" s="2"/>
      <c r="H2" s="2"/>
      <c r="I2" s="2"/>
      <c r="J2" s="22">
        <f>SUBTOTAL(9,J7:J1356)</f>
        <v>1433245.2003124878</v>
      </c>
      <c r="K2" s="2"/>
      <c r="L2" s="22"/>
      <c r="M2" s="22">
        <f>SUBTOTAL(9,M7:M1356)</f>
        <v>346083.03439841856</v>
      </c>
      <c r="N2" s="22">
        <f>SUBTOTAL(9,N7:N1356)</f>
        <v>-51859.970184581493</v>
      </c>
      <c r="O2" s="22">
        <f>SUBTOTAL(9,O7:O1356)</f>
        <v>340142.25998641556</v>
      </c>
      <c r="P2" s="22">
        <f>SUBTOTAL(9,P7:P1356)</f>
        <v>798879.87611223443</v>
      </c>
      <c r="Q2" s="22">
        <f>SUBTOTAL(9,Q7:Q1356)</f>
        <v>1433245.2003124878</v>
      </c>
      <c r="R2" s="14"/>
      <c r="T2" s="232"/>
      <c r="U2" s="232"/>
    </row>
    <row r="3" spans="1:22" s="18" customFormat="1" x14ac:dyDescent="0.25">
      <c r="A3" s="155"/>
      <c r="B3" s="1"/>
      <c r="C3" s="7"/>
      <c r="D3" s="1"/>
      <c r="E3" s="14"/>
      <c r="F3" s="2"/>
      <c r="G3" s="2"/>
      <c r="H3" s="2"/>
      <c r="I3" s="2"/>
      <c r="J3" s="2"/>
      <c r="K3" s="2"/>
      <c r="L3" s="22"/>
      <c r="M3" s="22"/>
      <c r="N3" s="22"/>
      <c r="O3" s="22"/>
      <c r="P3" s="22"/>
      <c r="Q3" s="22"/>
      <c r="R3" s="14"/>
      <c r="T3" s="232"/>
      <c r="U3" s="232"/>
    </row>
    <row r="4" spans="1:22" ht="30" x14ac:dyDescent="0.25">
      <c r="A4" s="156"/>
      <c r="B4" s="3" t="s">
        <v>13</v>
      </c>
      <c r="C4" s="3" t="s">
        <v>14</v>
      </c>
      <c r="D4" s="4"/>
      <c r="E4" s="15"/>
      <c r="F4" s="10"/>
      <c r="G4" s="10"/>
      <c r="H4" s="10"/>
      <c r="I4" s="10"/>
      <c r="J4" s="10"/>
      <c r="K4" s="10"/>
      <c r="L4" s="23"/>
      <c r="M4" s="23"/>
      <c r="N4" s="23"/>
      <c r="O4" s="23"/>
      <c r="P4" s="23"/>
      <c r="Q4" s="23"/>
      <c r="R4" s="86"/>
    </row>
    <row r="5" spans="1:22" ht="30" x14ac:dyDescent="0.25">
      <c r="A5" s="156"/>
      <c r="B5" s="3" t="s">
        <v>15</v>
      </c>
      <c r="C5" s="3" t="s">
        <v>16</v>
      </c>
      <c r="D5" s="4"/>
      <c r="E5" s="15"/>
      <c r="F5" s="10"/>
      <c r="G5" s="10"/>
      <c r="H5" s="10"/>
      <c r="I5" s="10"/>
      <c r="J5" s="10"/>
      <c r="K5" s="10"/>
      <c r="L5" s="23"/>
      <c r="M5" s="23"/>
      <c r="N5" s="23"/>
      <c r="O5" s="23"/>
      <c r="P5" s="23"/>
      <c r="Q5" s="23"/>
      <c r="R5" s="86"/>
    </row>
    <row r="6" spans="1:22" ht="60" x14ac:dyDescent="0.25">
      <c r="A6" s="156">
        <v>5</v>
      </c>
      <c r="B6" s="3" t="s">
        <v>17</v>
      </c>
      <c r="C6" s="3" t="s">
        <v>554</v>
      </c>
      <c r="D6" s="4" t="s">
        <v>18</v>
      </c>
      <c r="E6" s="15"/>
      <c r="F6" s="10"/>
      <c r="G6" s="10"/>
      <c r="H6" s="26">
        <f>VLOOKUP($A6,'Model Inputs'!$A:$C,3,FALSE)</f>
        <v>1</v>
      </c>
      <c r="I6" s="10"/>
      <c r="J6" s="10">
        <f>SUBTOTAL(9,J7:J20)</f>
        <v>34725</v>
      </c>
      <c r="K6" s="10"/>
      <c r="L6" s="23">
        <f>ROUNDUP(MAX(L18:L20)/Workhrs,0)</f>
        <v>2</v>
      </c>
      <c r="M6" s="23">
        <f>SUBTOTAL(9,M7:M20)</f>
        <v>14385</v>
      </c>
      <c r="N6" s="23">
        <f t="shared" ref="N6:Q6" si="0">SUBTOTAL(9,N7:N20)</f>
        <v>0</v>
      </c>
      <c r="O6" s="23">
        <f t="shared" si="0"/>
        <v>16840</v>
      </c>
      <c r="P6" s="23">
        <f t="shared" si="0"/>
        <v>3500</v>
      </c>
      <c r="Q6" s="23">
        <f t="shared" si="0"/>
        <v>34725</v>
      </c>
      <c r="R6" s="86"/>
    </row>
    <row r="7" spans="1:22" s="18" customFormat="1" x14ac:dyDescent="0.25">
      <c r="A7" s="157"/>
      <c r="B7" s="6">
        <v>1</v>
      </c>
      <c r="C7" s="9" t="s">
        <v>19</v>
      </c>
      <c r="D7" s="6" t="s">
        <v>20</v>
      </c>
      <c r="E7" s="17" t="str">
        <f>VLOOKUP(C7,Resources!B:G,3,FALSE)</f>
        <v>L</v>
      </c>
      <c r="F7" s="12">
        <v>1</v>
      </c>
      <c r="G7" s="12">
        <v>1</v>
      </c>
      <c r="H7" s="12">
        <f>H6</f>
        <v>1</v>
      </c>
      <c r="I7" s="12">
        <f>VLOOKUP(C7,Resources!B:G,6,FALSE)</f>
        <v>3350</v>
      </c>
      <c r="J7" s="21">
        <f t="shared" ref="J7:J8" si="1">(H7/G7)*I7*F7</f>
        <v>3350</v>
      </c>
      <c r="K7" s="21">
        <f>IF(E7="M"," ",L7*F7)</f>
        <v>1</v>
      </c>
      <c r="L7" s="24">
        <f t="shared" ref="L7:L20" si="2">IF(E7="M"," ",H7/G7)</f>
        <v>1</v>
      </c>
      <c r="M7" s="24">
        <f t="shared" ref="M7:M16" si="3">IF($E7="L",$J7,0)</f>
        <v>3350</v>
      </c>
      <c r="N7" s="24">
        <f t="shared" ref="N7:N16" si="4">IF($E7="M",$J7,0)</f>
        <v>0</v>
      </c>
      <c r="O7" s="24">
        <f t="shared" ref="O7:O16" si="5">IF($E7="P",$J7,0)</f>
        <v>0</v>
      </c>
      <c r="P7" s="24">
        <f t="shared" ref="P7:P16" si="6">IF($E7="S",$J7,0)</f>
        <v>0</v>
      </c>
      <c r="Q7" s="24">
        <f t="shared" ref="Q7:Q16" si="7">SUM(M7:P7)</f>
        <v>3350</v>
      </c>
      <c r="R7" s="87">
        <v>902</v>
      </c>
      <c r="T7" s="235" t="str">
        <f>IF(R7=$U$7,"y"," ")</f>
        <v xml:space="preserve"> </v>
      </c>
      <c r="U7" s="232" t="s">
        <v>542</v>
      </c>
      <c r="V7" s="18">
        <f>SUMIF(R:R,U7,H:H)</f>
        <v>147.81267377184128</v>
      </c>
    </row>
    <row r="8" spans="1:22" s="18" customFormat="1" x14ac:dyDescent="0.25">
      <c r="A8" s="157"/>
      <c r="B8" s="6">
        <v>2</v>
      </c>
      <c r="C8" s="9" t="s">
        <v>21</v>
      </c>
      <c r="D8" s="6" t="s">
        <v>20</v>
      </c>
      <c r="E8" s="17" t="str">
        <f>VLOOKUP(C8,Resources!B:G,3,FALSE)</f>
        <v>L</v>
      </c>
      <c r="F8" s="12">
        <v>1</v>
      </c>
      <c r="G8" s="12">
        <v>1</v>
      </c>
      <c r="H8" s="12">
        <f>H6</f>
        <v>1</v>
      </c>
      <c r="I8" s="12">
        <f>VLOOKUP(C8,Resources!B:G,6,FALSE)</f>
        <v>3250</v>
      </c>
      <c r="J8" s="21">
        <f t="shared" si="1"/>
        <v>3250</v>
      </c>
      <c r="K8" s="21">
        <f t="shared" ref="K8:K20" si="8">IF(E8="M"," ",L8*F8)</f>
        <v>1</v>
      </c>
      <c r="L8" s="24">
        <f t="shared" si="2"/>
        <v>1</v>
      </c>
      <c r="M8" s="24">
        <f t="shared" si="3"/>
        <v>3250</v>
      </c>
      <c r="N8" s="24">
        <f t="shared" si="4"/>
        <v>0</v>
      </c>
      <c r="O8" s="24">
        <f t="shared" si="5"/>
        <v>0</v>
      </c>
      <c r="P8" s="24">
        <f t="shared" si="6"/>
        <v>0</v>
      </c>
      <c r="Q8" s="24">
        <f t="shared" si="7"/>
        <v>3250</v>
      </c>
      <c r="R8" s="87">
        <v>901</v>
      </c>
      <c r="T8" s="235" t="str">
        <f t="shared" ref="T8:T71" si="9">IF(R8=$U$7,"y"," ")</f>
        <v xml:space="preserve"> </v>
      </c>
      <c r="U8" s="232"/>
    </row>
    <row r="9" spans="1:22" s="18" customFormat="1" x14ac:dyDescent="0.25">
      <c r="A9" s="157"/>
      <c r="B9" s="6">
        <v>3</v>
      </c>
      <c r="C9" s="9" t="s">
        <v>22</v>
      </c>
      <c r="D9" s="6" t="s">
        <v>23</v>
      </c>
      <c r="E9" s="17" t="str">
        <f>VLOOKUP(C9,Resources!B:G,3,FALSE)</f>
        <v>P</v>
      </c>
      <c r="F9" s="12">
        <v>1</v>
      </c>
      <c r="G9" s="12">
        <v>1</v>
      </c>
      <c r="H9" s="12">
        <f>H6*2400</f>
        <v>2400</v>
      </c>
      <c r="I9" s="12">
        <f>VLOOKUP(C9,Resources!B:G,6,FALSE)</f>
        <v>1</v>
      </c>
      <c r="J9" s="21">
        <f>(H9/G9)*I9*F9</f>
        <v>2400</v>
      </c>
      <c r="K9" s="21">
        <f t="shared" si="8"/>
        <v>2400</v>
      </c>
      <c r="L9" s="24">
        <f t="shared" si="2"/>
        <v>2400</v>
      </c>
      <c r="M9" s="24">
        <f t="shared" si="3"/>
        <v>0</v>
      </c>
      <c r="N9" s="24">
        <f t="shared" si="4"/>
        <v>0</v>
      </c>
      <c r="O9" s="24">
        <f t="shared" si="5"/>
        <v>2400</v>
      </c>
      <c r="P9" s="24">
        <f t="shared" si="6"/>
        <v>0</v>
      </c>
      <c r="Q9" s="24">
        <f t="shared" si="7"/>
        <v>2400</v>
      </c>
      <c r="R9" s="87">
        <v>907</v>
      </c>
      <c r="T9" s="235" t="str">
        <f t="shared" si="9"/>
        <v xml:space="preserve"> </v>
      </c>
      <c r="U9" s="232"/>
    </row>
    <row r="10" spans="1:22" s="18" customFormat="1" x14ac:dyDescent="0.25">
      <c r="A10" s="157"/>
      <c r="B10" s="6">
        <v>4</v>
      </c>
      <c r="C10" s="9" t="s">
        <v>22</v>
      </c>
      <c r="D10" s="6" t="s">
        <v>23</v>
      </c>
      <c r="E10" s="17" t="str">
        <f>VLOOKUP(C10,Resources!B:G,3,FALSE)</f>
        <v>P</v>
      </c>
      <c r="F10" s="12">
        <v>1</v>
      </c>
      <c r="G10" s="12">
        <v>1</v>
      </c>
      <c r="H10" s="12">
        <f>H6*2000</f>
        <v>2000</v>
      </c>
      <c r="I10" s="12">
        <f>VLOOKUP(C10,Resources!B:G,6,FALSE)</f>
        <v>1</v>
      </c>
      <c r="J10" s="21">
        <f t="shared" ref="J10:J20" si="10">(H10/G10)*I10*F10</f>
        <v>2000</v>
      </c>
      <c r="K10" s="21">
        <f t="shared" si="8"/>
        <v>2000</v>
      </c>
      <c r="L10" s="24">
        <f t="shared" si="2"/>
        <v>2000</v>
      </c>
      <c r="M10" s="24">
        <f t="shared" si="3"/>
        <v>0</v>
      </c>
      <c r="N10" s="24">
        <f t="shared" si="4"/>
        <v>0</v>
      </c>
      <c r="O10" s="24">
        <f t="shared" si="5"/>
        <v>2000</v>
      </c>
      <c r="P10" s="24">
        <f t="shared" si="6"/>
        <v>0</v>
      </c>
      <c r="Q10" s="24">
        <f t="shared" si="7"/>
        <v>2000</v>
      </c>
      <c r="R10" s="87">
        <v>907</v>
      </c>
      <c r="T10" s="235" t="str">
        <f t="shared" si="9"/>
        <v xml:space="preserve"> </v>
      </c>
      <c r="U10" s="232"/>
    </row>
    <row r="11" spans="1:22" s="18" customFormat="1" x14ac:dyDescent="0.25">
      <c r="A11" s="157"/>
      <c r="B11" s="6">
        <v>5</v>
      </c>
      <c r="C11" s="9" t="s">
        <v>22</v>
      </c>
      <c r="D11" s="6" t="s">
        <v>23</v>
      </c>
      <c r="E11" s="17" t="str">
        <f>VLOOKUP(C11,Resources!B:G,3,FALSE)</f>
        <v>P</v>
      </c>
      <c r="F11" s="12">
        <v>1</v>
      </c>
      <c r="G11" s="12">
        <v>1</v>
      </c>
      <c r="H11" s="12">
        <f>H6*2000</f>
        <v>2000</v>
      </c>
      <c r="I11" s="12">
        <f>VLOOKUP(C11,Resources!B:G,6,FALSE)</f>
        <v>1</v>
      </c>
      <c r="J11" s="21">
        <f t="shared" si="10"/>
        <v>2000</v>
      </c>
      <c r="K11" s="21">
        <f t="shared" si="8"/>
        <v>2000</v>
      </c>
      <c r="L11" s="24">
        <f t="shared" si="2"/>
        <v>2000</v>
      </c>
      <c r="M11" s="24">
        <f t="shared" si="3"/>
        <v>0</v>
      </c>
      <c r="N11" s="24">
        <f t="shared" si="4"/>
        <v>0</v>
      </c>
      <c r="O11" s="24">
        <f t="shared" si="5"/>
        <v>2000</v>
      </c>
      <c r="P11" s="24">
        <f t="shared" si="6"/>
        <v>0</v>
      </c>
      <c r="Q11" s="24">
        <f t="shared" si="7"/>
        <v>2000</v>
      </c>
      <c r="R11" s="87">
        <v>907</v>
      </c>
      <c r="T11" s="235" t="str">
        <f t="shared" si="9"/>
        <v xml:space="preserve"> </v>
      </c>
      <c r="U11" s="232"/>
    </row>
    <row r="12" spans="1:22" s="18" customFormat="1" x14ac:dyDescent="0.25">
      <c r="A12" s="157"/>
      <c r="B12" s="6">
        <v>6</v>
      </c>
      <c r="C12" s="9" t="s">
        <v>22</v>
      </c>
      <c r="D12" s="6" t="s">
        <v>23</v>
      </c>
      <c r="E12" s="17" t="str">
        <f>VLOOKUP(C12,Resources!B:G,3,FALSE)</f>
        <v>P</v>
      </c>
      <c r="F12" s="12">
        <v>1</v>
      </c>
      <c r="G12" s="12">
        <v>1</v>
      </c>
      <c r="H12" s="12">
        <f>H6*1800</f>
        <v>1800</v>
      </c>
      <c r="I12" s="12">
        <f>VLOOKUP(C12,Resources!B:G,6,FALSE)</f>
        <v>1</v>
      </c>
      <c r="J12" s="21">
        <f t="shared" si="10"/>
        <v>1800</v>
      </c>
      <c r="K12" s="21">
        <f t="shared" si="8"/>
        <v>1800</v>
      </c>
      <c r="L12" s="24">
        <f t="shared" si="2"/>
        <v>1800</v>
      </c>
      <c r="M12" s="24">
        <f t="shared" si="3"/>
        <v>0</v>
      </c>
      <c r="N12" s="24">
        <f t="shared" si="4"/>
        <v>0</v>
      </c>
      <c r="O12" s="24">
        <f t="shared" si="5"/>
        <v>1800</v>
      </c>
      <c r="P12" s="24">
        <f t="shared" si="6"/>
        <v>0</v>
      </c>
      <c r="Q12" s="24">
        <f t="shared" si="7"/>
        <v>1800</v>
      </c>
      <c r="R12" s="87">
        <v>907</v>
      </c>
      <c r="T12" s="235" t="str">
        <f t="shared" si="9"/>
        <v xml:space="preserve"> </v>
      </c>
      <c r="U12" s="232"/>
    </row>
    <row r="13" spans="1:22" s="18" customFormat="1" x14ac:dyDescent="0.25">
      <c r="A13" s="157"/>
      <c r="B13" s="6">
        <v>7</v>
      </c>
      <c r="C13" s="9" t="s">
        <v>22</v>
      </c>
      <c r="D13" s="6" t="s">
        <v>23</v>
      </c>
      <c r="E13" s="17" t="str">
        <f>VLOOKUP(C13,Resources!B:G,3,FALSE)</f>
        <v>P</v>
      </c>
      <c r="F13" s="12">
        <v>1</v>
      </c>
      <c r="G13" s="12">
        <v>1</v>
      </c>
      <c r="H13" s="12">
        <f>H6*1800</f>
        <v>1800</v>
      </c>
      <c r="I13" s="12">
        <f>VLOOKUP(C13,Resources!B:G,6,FALSE)</f>
        <v>1</v>
      </c>
      <c r="J13" s="21">
        <f t="shared" si="10"/>
        <v>1800</v>
      </c>
      <c r="K13" s="21">
        <f t="shared" si="8"/>
        <v>1800</v>
      </c>
      <c r="L13" s="24">
        <f t="shared" si="2"/>
        <v>1800</v>
      </c>
      <c r="M13" s="24">
        <f t="shared" si="3"/>
        <v>0</v>
      </c>
      <c r="N13" s="24">
        <f t="shared" si="4"/>
        <v>0</v>
      </c>
      <c r="O13" s="24">
        <f t="shared" si="5"/>
        <v>1800</v>
      </c>
      <c r="P13" s="24">
        <f t="shared" si="6"/>
        <v>0</v>
      </c>
      <c r="Q13" s="24">
        <f t="shared" si="7"/>
        <v>1800</v>
      </c>
      <c r="R13" s="87">
        <v>907</v>
      </c>
      <c r="T13" s="235" t="str">
        <f t="shared" si="9"/>
        <v xml:space="preserve"> </v>
      </c>
      <c r="U13" s="232"/>
    </row>
    <row r="14" spans="1:22" s="18" customFormat="1" x14ac:dyDescent="0.25">
      <c r="A14" s="157"/>
      <c r="B14" s="6">
        <v>8</v>
      </c>
      <c r="C14" s="9" t="s">
        <v>22</v>
      </c>
      <c r="D14" s="6" t="s">
        <v>23</v>
      </c>
      <c r="E14" s="17" t="str">
        <f>VLOOKUP(C14,Resources!B:G,3,FALSE)</f>
        <v>P</v>
      </c>
      <c r="F14" s="12">
        <v>1</v>
      </c>
      <c r="G14" s="12">
        <v>1</v>
      </c>
      <c r="H14" s="12">
        <f>H6*1800</f>
        <v>1800</v>
      </c>
      <c r="I14" s="12">
        <f>VLOOKUP(C14,Resources!B:G,6,FALSE)</f>
        <v>1</v>
      </c>
      <c r="J14" s="21">
        <f t="shared" si="10"/>
        <v>1800</v>
      </c>
      <c r="K14" s="21">
        <f t="shared" si="8"/>
        <v>1800</v>
      </c>
      <c r="L14" s="24">
        <f t="shared" si="2"/>
        <v>1800</v>
      </c>
      <c r="M14" s="24">
        <f t="shared" si="3"/>
        <v>0</v>
      </c>
      <c r="N14" s="24">
        <f t="shared" si="4"/>
        <v>0</v>
      </c>
      <c r="O14" s="24">
        <f t="shared" si="5"/>
        <v>1800</v>
      </c>
      <c r="P14" s="24">
        <f t="shared" si="6"/>
        <v>0</v>
      </c>
      <c r="Q14" s="24">
        <f t="shared" si="7"/>
        <v>1800</v>
      </c>
      <c r="R14" s="87">
        <v>907</v>
      </c>
      <c r="T14" s="235" t="str">
        <f t="shared" si="9"/>
        <v xml:space="preserve"> </v>
      </c>
      <c r="U14" s="232"/>
    </row>
    <row r="15" spans="1:22" s="18" customFormat="1" x14ac:dyDescent="0.25">
      <c r="A15" s="157"/>
      <c r="B15" s="6">
        <v>9</v>
      </c>
      <c r="C15" s="9" t="s">
        <v>24</v>
      </c>
      <c r="D15" s="6" t="s">
        <v>25</v>
      </c>
      <c r="E15" s="17" t="str">
        <f>VLOOKUP(C15,Resources!B:G,3,FALSE)</f>
        <v>S</v>
      </c>
      <c r="F15" s="12">
        <v>1</v>
      </c>
      <c r="G15" s="12">
        <v>1</v>
      </c>
      <c r="H15" s="12">
        <f>H6*28</f>
        <v>28</v>
      </c>
      <c r="I15" s="12">
        <f>VLOOKUP(C15,Resources!B:G,6,FALSE)</f>
        <v>125</v>
      </c>
      <c r="J15" s="21">
        <f t="shared" si="10"/>
        <v>3500</v>
      </c>
      <c r="K15" s="21">
        <f t="shared" si="8"/>
        <v>28</v>
      </c>
      <c r="L15" s="24">
        <f t="shared" si="2"/>
        <v>28</v>
      </c>
      <c r="M15" s="24">
        <f t="shared" si="3"/>
        <v>0</v>
      </c>
      <c r="N15" s="24">
        <f t="shared" si="4"/>
        <v>0</v>
      </c>
      <c r="O15" s="24">
        <f t="shared" si="5"/>
        <v>0</v>
      </c>
      <c r="P15" s="24">
        <f t="shared" si="6"/>
        <v>3500</v>
      </c>
      <c r="Q15" s="24">
        <f t="shared" si="7"/>
        <v>3500</v>
      </c>
      <c r="R15" s="87">
        <v>911</v>
      </c>
      <c r="T15" s="235" t="str">
        <f t="shared" si="9"/>
        <v xml:space="preserve"> </v>
      </c>
      <c r="U15" s="232"/>
    </row>
    <row r="16" spans="1:22" s="18" customFormat="1" x14ac:dyDescent="0.25">
      <c r="A16" s="157"/>
      <c r="B16" s="6">
        <v>10</v>
      </c>
      <c r="C16" s="9" t="s">
        <v>8</v>
      </c>
      <c r="D16" s="6" t="s">
        <v>26</v>
      </c>
      <c r="E16" s="17" t="str">
        <f>VLOOKUP(C16,Resources!B:G,3,FALSE)</f>
        <v>L</v>
      </c>
      <c r="F16" s="12">
        <v>1</v>
      </c>
      <c r="G16" s="12">
        <v>1</v>
      </c>
      <c r="H16" s="12">
        <f>H6*150</f>
        <v>150</v>
      </c>
      <c r="I16" s="12">
        <f>VLOOKUP(C16,Resources!B:G,6,FALSE)</f>
        <v>51.9</v>
      </c>
      <c r="J16" s="21">
        <f t="shared" si="10"/>
        <v>7785</v>
      </c>
      <c r="K16" s="21">
        <f t="shared" si="8"/>
        <v>150</v>
      </c>
      <c r="L16" s="24">
        <f t="shared" si="2"/>
        <v>150</v>
      </c>
      <c r="M16" s="24">
        <f t="shared" si="3"/>
        <v>7785</v>
      </c>
      <c r="N16" s="24">
        <f t="shared" si="4"/>
        <v>0</v>
      </c>
      <c r="O16" s="24">
        <f t="shared" si="5"/>
        <v>0</v>
      </c>
      <c r="P16" s="24">
        <f t="shared" si="6"/>
        <v>0</v>
      </c>
      <c r="Q16" s="24">
        <f t="shared" si="7"/>
        <v>7785</v>
      </c>
      <c r="R16" s="87">
        <v>907</v>
      </c>
      <c r="T16" s="235" t="str">
        <f t="shared" si="9"/>
        <v xml:space="preserve"> </v>
      </c>
      <c r="U16" s="232"/>
    </row>
    <row r="17" spans="1:21" s="18" customFormat="1" x14ac:dyDescent="0.25">
      <c r="A17" s="157"/>
      <c r="B17" s="6">
        <v>11</v>
      </c>
      <c r="C17" s="9" t="s">
        <v>496</v>
      </c>
      <c r="D17" s="6"/>
      <c r="E17" s="17"/>
      <c r="F17" s="12"/>
      <c r="G17" s="12"/>
      <c r="H17" s="12"/>
      <c r="I17" s="12"/>
      <c r="J17" s="21"/>
      <c r="K17" s="21"/>
      <c r="L17" s="24"/>
      <c r="M17" s="24"/>
      <c r="N17" s="24"/>
      <c r="O17" s="24"/>
      <c r="P17" s="24"/>
      <c r="Q17" s="24"/>
      <c r="R17" s="87"/>
      <c r="T17" s="235" t="str">
        <f t="shared" si="9"/>
        <v xml:space="preserve"> </v>
      </c>
      <c r="U17" s="232"/>
    </row>
    <row r="18" spans="1:21" s="18" customFormat="1" x14ac:dyDescent="0.25">
      <c r="A18" s="157"/>
      <c r="B18" s="6">
        <v>12</v>
      </c>
      <c r="C18" s="9" t="s">
        <v>82</v>
      </c>
      <c r="D18" s="6" t="s">
        <v>26</v>
      </c>
      <c r="E18" s="17" t="str">
        <f>VLOOKUP(C18,Resources!B:G,3,FALSE)</f>
        <v>P</v>
      </c>
      <c r="F18" s="12">
        <v>1</v>
      </c>
      <c r="G18" s="12">
        <v>1</v>
      </c>
      <c r="H18" s="12">
        <f>H6*18</f>
        <v>18</v>
      </c>
      <c r="I18" s="12">
        <f>VLOOKUP(C18,Resources!B:G,6,FALSE)</f>
        <v>95</v>
      </c>
      <c r="J18" s="21">
        <f t="shared" si="10"/>
        <v>1710</v>
      </c>
      <c r="K18" s="21">
        <f t="shared" si="8"/>
        <v>18</v>
      </c>
      <c r="L18" s="24">
        <f t="shared" si="2"/>
        <v>18</v>
      </c>
      <c r="M18" s="24">
        <f t="shared" ref="M18:M20" si="11">IF($E18="L",$J18,0)</f>
        <v>0</v>
      </c>
      <c r="N18" s="24">
        <f t="shared" ref="N18:N20" si="12">IF($E18="M",$J18,0)</f>
        <v>0</v>
      </c>
      <c r="O18" s="24">
        <f t="shared" ref="O18:O20" si="13">IF($E18="P",$J18,0)</f>
        <v>1710</v>
      </c>
      <c r="P18" s="24">
        <f t="shared" ref="P18:P20" si="14">IF($E18="S",$J18,0)</f>
        <v>0</v>
      </c>
      <c r="Q18" s="24">
        <f t="shared" ref="Q18:Q20" si="15">SUM(M18:P18)</f>
        <v>1710</v>
      </c>
      <c r="R18" s="87">
        <v>910</v>
      </c>
      <c r="T18" s="235" t="str">
        <f t="shared" si="9"/>
        <v xml:space="preserve"> </v>
      </c>
      <c r="U18" s="232"/>
    </row>
    <row r="19" spans="1:21" s="18" customFormat="1" x14ac:dyDescent="0.25">
      <c r="A19" s="157"/>
      <c r="B19" s="6">
        <v>13</v>
      </c>
      <c r="C19" s="9" t="s">
        <v>27</v>
      </c>
      <c r="D19" s="6" t="s">
        <v>26</v>
      </c>
      <c r="E19" s="17" t="str">
        <f>VLOOKUP(C19,Resources!B:G,3,FALSE)</f>
        <v>P</v>
      </c>
      <c r="F19" s="12">
        <v>1</v>
      </c>
      <c r="G19" s="12">
        <v>1</v>
      </c>
      <c r="H19" s="12">
        <f>H18</f>
        <v>18</v>
      </c>
      <c r="I19" s="12">
        <f>VLOOKUP(C19,Resources!B:G,6,FALSE)</f>
        <v>90</v>
      </c>
      <c r="J19" s="21">
        <f t="shared" si="10"/>
        <v>1620</v>
      </c>
      <c r="K19" s="21">
        <f t="shared" si="8"/>
        <v>18</v>
      </c>
      <c r="L19" s="24">
        <f t="shared" si="2"/>
        <v>18</v>
      </c>
      <c r="M19" s="24">
        <f t="shared" si="11"/>
        <v>0</v>
      </c>
      <c r="N19" s="24">
        <f t="shared" si="12"/>
        <v>0</v>
      </c>
      <c r="O19" s="24">
        <f t="shared" si="13"/>
        <v>1620</v>
      </c>
      <c r="P19" s="24">
        <f t="shared" si="14"/>
        <v>0</v>
      </c>
      <c r="Q19" s="24">
        <f t="shared" si="15"/>
        <v>1620</v>
      </c>
      <c r="R19" s="87">
        <v>910</v>
      </c>
      <c r="T19" s="235" t="str">
        <f t="shared" si="9"/>
        <v xml:space="preserve"> </v>
      </c>
      <c r="U19" s="232"/>
    </row>
    <row r="20" spans="1:21" s="18" customFormat="1" x14ac:dyDescent="0.25">
      <c r="A20" s="157"/>
      <c r="B20" s="6">
        <v>14</v>
      </c>
      <c r="C20" s="9" t="s">
        <v>28</v>
      </c>
      <c r="D20" s="6" t="s">
        <v>26</v>
      </c>
      <c r="E20" s="17" t="str">
        <f>VLOOKUP(C20,Resources!B:G,3,FALSE)</f>
        <v>P</v>
      </c>
      <c r="F20" s="12">
        <v>1</v>
      </c>
      <c r="G20" s="12">
        <v>1</v>
      </c>
      <c r="H20" s="12">
        <f>H18</f>
        <v>18</v>
      </c>
      <c r="I20" s="12">
        <f>VLOOKUP(C20,Resources!B:G,6,FALSE)</f>
        <v>95</v>
      </c>
      <c r="J20" s="21">
        <f t="shared" si="10"/>
        <v>1710</v>
      </c>
      <c r="K20" s="21">
        <f t="shared" si="8"/>
        <v>18</v>
      </c>
      <c r="L20" s="24">
        <f t="shared" si="2"/>
        <v>18</v>
      </c>
      <c r="M20" s="24">
        <f t="shared" si="11"/>
        <v>0</v>
      </c>
      <c r="N20" s="24">
        <f t="shared" si="12"/>
        <v>0</v>
      </c>
      <c r="O20" s="24">
        <f t="shared" si="13"/>
        <v>1710</v>
      </c>
      <c r="P20" s="24">
        <f t="shared" si="14"/>
        <v>0</v>
      </c>
      <c r="Q20" s="24">
        <f t="shared" si="15"/>
        <v>1710</v>
      </c>
      <c r="R20" s="87">
        <v>910</v>
      </c>
      <c r="T20" s="235" t="str">
        <f t="shared" si="9"/>
        <v xml:space="preserve"> </v>
      </c>
      <c r="U20" s="232"/>
    </row>
    <row r="21" spans="1:21" x14ac:dyDescent="0.25">
      <c r="F21" s="11"/>
      <c r="G21" s="11"/>
      <c r="H21" s="11"/>
      <c r="I21" s="11"/>
      <c r="J21" s="11"/>
      <c r="K21" s="11"/>
      <c r="R21" s="88"/>
      <c r="T21" s="235" t="str">
        <f t="shared" si="9"/>
        <v xml:space="preserve"> </v>
      </c>
    </row>
    <row r="22" spans="1:21" ht="45" x14ac:dyDescent="0.25">
      <c r="A22" s="156">
        <v>6</v>
      </c>
      <c r="B22" s="3" t="s">
        <v>29</v>
      </c>
      <c r="C22" s="3" t="s">
        <v>30</v>
      </c>
      <c r="D22" s="4" t="s">
        <v>18</v>
      </c>
      <c r="E22" s="15"/>
      <c r="F22" s="10"/>
      <c r="G22" s="10"/>
      <c r="H22" s="26">
        <f>VLOOKUP($A22,'Model Inputs'!$A:$C,3,FALSE)</f>
        <v>1</v>
      </c>
      <c r="I22" s="10"/>
      <c r="J22" s="10">
        <f>SUBTOTAL(9,J23:J26)</f>
        <v>76266.831140000009</v>
      </c>
      <c r="K22" s="10"/>
      <c r="L22" s="23">
        <f>ROUNDUP(MAX(L23:L26)/Workhrs,0)</f>
        <v>71</v>
      </c>
      <c r="M22" s="23">
        <f>SUBTOTAL(9,M23:M26)</f>
        <v>69266.831140000009</v>
      </c>
      <c r="N22" s="23">
        <f t="shared" ref="N22:Q22" si="16">SUBTOTAL(9,N23:N26)</f>
        <v>4000</v>
      </c>
      <c r="O22" s="23">
        <f t="shared" si="16"/>
        <v>3000</v>
      </c>
      <c r="P22" s="23">
        <f t="shared" si="16"/>
        <v>0</v>
      </c>
      <c r="Q22" s="23">
        <f t="shared" si="16"/>
        <v>76266.831140000009</v>
      </c>
      <c r="R22" s="86"/>
      <c r="T22" s="235" t="str">
        <f t="shared" si="9"/>
        <v xml:space="preserve"> </v>
      </c>
    </row>
    <row r="23" spans="1:21" x14ac:dyDescent="0.25">
      <c r="A23" s="157"/>
      <c r="B23" s="6">
        <v>1</v>
      </c>
      <c r="C23" s="9" t="s">
        <v>21</v>
      </c>
      <c r="D23" s="6" t="s">
        <v>20</v>
      </c>
      <c r="E23" s="17" t="str">
        <f>VLOOKUP(C23,Resources!B:G,3,FALSE)</f>
        <v>L</v>
      </c>
      <c r="F23" s="12">
        <v>1</v>
      </c>
      <c r="G23" s="12">
        <v>1</v>
      </c>
      <c r="H23" s="12">
        <f>H22</f>
        <v>1</v>
      </c>
      <c r="I23" s="12">
        <f>VLOOKUP(C23,Resources!B:G,6,FALSE)</f>
        <v>3250</v>
      </c>
      <c r="J23" s="21">
        <f t="shared" ref="J23:J26" si="17">(H23/G23)*I23*F23</f>
        <v>3250</v>
      </c>
      <c r="K23" s="21">
        <f>IF(E23="M"," ",L23*F23)</f>
        <v>1</v>
      </c>
      <c r="L23" s="24">
        <f>IF(E23="M"," ",H23/G23)</f>
        <v>1</v>
      </c>
      <c r="M23" s="24">
        <f>IF($E23="L",$J23,0)</f>
        <v>3250</v>
      </c>
      <c r="N23" s="24">
        <f>IF($E23="M",$J23,0)</f>
        <v>0</v>
      </c>
      <c r="O23" s="24">
        <f>IF($E23="P",$J23,0)</f>
        <v>0</v>
      </c>
      <c r="P23" s="24">
        <f>IF($E23="S",$J23,0)</f>
        <v>0</v>
      </c>
      <c r="Q23" s="24">
        <f>SUM(M23:P23)</f>
        <v>3250</v>
      </c>
      <c r="R23" s="87">
        <v>901</v>
      </c>
      <c r="T23" s="235" t="str">
        <f t="shared" si="9"/>
        <v xml:space="preserve"> </v>
      </c>
    </row>
    <row r="24" spans="1:21" x14ac:dyDescent="0.25">
      <c r="A24" s="157"/>
      <c r="B24" s="6">
        <v>2</v>
      </c>
      <c r="C24" s="9" t="s">
        <v>491</v>
      </c>
      <c r="D24" s="6" t="s">
        <v>31</v>
      </c>
      <c r="E24" s="17" t="str">
        <f>VLOOKUP(C24,Resources!B:G,3,FALSE)</f>
        <v>P</v>
      </c>
      <c r="F24" s="12">
        <v>1</v>
      </c>
      <c r="G24" s="12">
        <v>1</v>
      </c>
      <c r="H24" s="12">
        <f>H22*50</f>
        <v>50</v>
      </c>
      <c r="I24" s="12">
        <f>VLOOKUP(C24,Resources!B:G,6,FALSE)</f>
        <v>60</v>
      </c>
      <c r="J24" s="21">
        <f t="shared" si="17"/>
        <v>3000</v>
      </c>
      <c r="K24" s="21">
        <f>IF(E24="M"," ",L24*F24)</f>
        <v>50</v>
      </c>
      <c r="L24" s="24">
        <f>IF(E24="M"," ",H24/G24)</f>
        <v>50</v>
      </c>
      <c r="M24" s="24">
        <f t="shared" ref="M24:M26" si="18">IF($E24="L",$J24,0)</f>
        <v>0</v>
      </c>
      <c r="N24" s="24">
        <f t="shared" ref="N24:N26" si="19">IF($E24="M",$J24,0)</f>
        <v>0</v>
      </c>
      <c r="O24" s="24">
        <f t="shared" ref="O24:O26" si="20">IF($E24="P",$J24,0)</f>
        <v>3000</v>
      </c>
      <c r="P24" s="24">
        <f t="shared" ref="P24:P26" si="21">IF($E24="S",$J24,0)</f>
        <v>0</v>
      </c>
      <c r="Q24" s="24">
        <f t="shared" ref="Q24:Q26" si="22">SUM(M24:P24)</f>
        <v>3000</v>
      </c>
      <c r="R24" s="87">
        <v>141</v>
      </c>
      <c r="T24" s="235" t="str">
        <f t="shared" si="9"/>
        <v xml:space="preserve"> </v>
      </c>
    </row>
    <row r="25" spans="1:21" x14ac:dyDescent="0.25">
      <c r="A25" s="157"/>
      <c r="B25" s="6">
        <v>3</v>
      </c>
      <c r="C25" s="9" t="s">
        <v>483</v>
      </c>
      <c r="D25" s="6" t="s">
        <v>32</v>
      </c>
      <c r="E25" s="17" t="str">
        <f>VLOOKUP(C25,Resources!B:G,3,FALSE)</f>
        <v>M</v>
      </c>
      <c r="F25" s="12">
        <v>1</v>
      </c>
      <c r="G25" s="12">
        <v>1</v>
      </c>
      <c r="H25" s="12">
        <f>H22*2000</f>
        <v>2000</v>
      </c>
      <c r="I25" s="12">
        <f>VLOOKUP(C25,Resources!B:G,6,FALSE)</f>
        <v>2</v>
      </c>
      <c r="J25" s="21">
        <f t="shared" si="17"/>
        <v>4000</v>
      </c>
      <c r="K25" s="21" t="str">
        <f t="shared" ref="K25:K26" si="23">IF(E25="M"," ",L25*F25)</f>
        <v xml:space="preserve"> </v>
      </c>
      <c r="L25" s="24" t="str">
        <f t="shared" ref="L25:L26" si="24">IF(E25="M"," ",H25/G25)</f>
        <v xml:space="preserve"> </v>
      </c>
      <c r="M25" s="24">
        <f t="shared" si="18"/>
        <v>0</v>
      </c>
      <c r="N25" s="24">
        <f t="shared" si="19"/>
        <v>4000</v>
      </c>
      <c r="O25" s="24">
        <f t="shared" si="20"/>
        <v>0</v>
      </c>
      <c r="P25" s="24">
        <f t="shared" si="21"/>
        <v>0</v>
      </c>
      <c r="Q25" s="24">
        <f t="shared" si="22"/>
        <v>4000</v>
      </c>
      <c r="R25" s="87">
        <v>141</v>
      </c>
      <c r="T25" s="235" t="str">
        <f t="shared" si="9"/>
        <v xml:space="preserve"> </v>
      </c>
    </row>
    <row r="26" spans="1:21" x14ac:dyDescent="0.25">
      <c r="A26" s="157"/>
      <c r="B26" s="6">
        <v>4</v>
      </c>
      <c r="C26" s="9" t="s">
        <v>8</v>
      </c>
      <c r="D26" s="6" t="s">
        <v>26</v>
      </c>
      <c r="E26" s="17" t="str">
        <f>VLOOKUP(C26,Resources!B:G,3,FALSE)</f>
        <v>L</v>
      </c>
      <c r="F26" s="12">
        <v>2</v>
      </c>
      <c r="G26" s="12">
        <v>1</v>
      </c>
      <c r="H26" s="12">
        <f>H22*70.6667*9</f>
        <v>636.00030000000004</v>
      </c>
      <c r="I26" s="12">
        <f>VLOOKUP(C26,Resources!B:G,6,FALSE)</f>
        <v>51.9</v>
      </c>
      <c r="J26" s="21">
        <f t="shared" si="17"/>
        <v>66016.831140000009</v>
      </c>
      <c r="K26" s="21">
        <f t="shared" si="23"/>
        <v>1272.0006000000001</v>
      </c>
      <c r="L26" s="24">
        <f t="shared" si="24"/>
        <v>636.00030000000004</v>
      </c>
      <c r="M26" s="24">
        <f t="shared" si="18"/>
        <v>66016.831140000009</v>
      </c>
      <c r="N26" s="24">
        <f t="shared" si="19"/>
        <v>0</v>
      </c>
      <c r="O26" s="24">
        <f t="shared" si="20"/>
        <v>0</v>
      </c>
      <c r="P26" s="24">
        <f t="shared" si="21"/>
        <v>0</v>
      </c>
      <c r="Q26" s="24">
        <f t="shared" si="22"/>
        <v>66016.831140000009</v>
      </c>
      <c r="R26" s="87">
        <v>141</v>
      </c>
      <c r="T26" s="235" t="str">
        <f t="shared" si="9"/>
        <v xml:space="preserve"> </v>
      </c>
    </row>
    <row r="27" spans="1:21" x14ac:dyDescent="0.25">
      <c r="F27" s="11"/>
      <c r="G27" s="11"/>
      <c r="H27" s="11"/>
      <c r="I27" s="11"/>
      <c r="J27" s="11"/>
      <c r="K27" s="11"/>
      <c r="R27" s="88"/>
      <c r="T27" s="235" t="str">
        <f t="shared" si="9"/>
        <v xml:space="preserve"> </v>
      </c>
    </row>
    <row r="28" spans="1:21" ht="30" x14ac:dyDescent="0.25">
      <c r="A28" s="156">
        <v>7</v>
      </c>
      <c r="B28" s="3" t="s">
        <v>33</v>
      </c>
      <c r="C28" s="3" t="s">
        <v>34</v>
      </c>
      <c r="D28" s="4" t="s">
        <v>18</v>
      </c>
      <c r="E28" s="15"/>
      <c r="F28" s="10"/>
      <c r="G28" s="10"/>
      <c r="H28" s="26">
        <f>VLOOKUP($A28,'Model Inputs'!$A:$C,3,FALSE)</f>
        <v>1</v>
      </c>
      <c r="I28" s="10"/>
      <c r="J28" s="10">
        <f>SUBTOTAL(9,J29:J31)</f>
        <v>23680</v>
      </c>
      <c r="K28" s="10"/>
      <c r="L28" s="10">
        <f>ROUNDUP(MAX(L29:L31)/Workhrs,0)</f>
        <v>9</v>
      </c>
      <c r="M28" s="10">
        <f>SUBTOTAL(9,M29:M31)</f>
        <v>23680</v>
      </c>
      <c r="N28" s="10">
        <f t="shared" ref="N28:Q28" si="25">SUBTOTAL(9,N29:N31)</f>
        <v>0</v>
      </c>
      <c r="O28" s="10">
        <f t="shared" si="25"/>
        <v>0</v>
      </c>
      <c r="P28" s="10">
        <f t="shared" si="25"/>
        <v>0</v>
      </c>
      <c r="Q28" s="10">
        <f t="shared" si="25"/>
        <v>23680</v>
      </c>
      <c r="R28" s="86"/>
      <c r="T28" s="235" t="str">
        <f t="shared" si="9"/>
        <v xml:space="preserve"> </v>
      </c>
    </row>
    <row r="29" spans="1:21" s="18" customFormat="1" x14ac:dyDescent="0.25">
      <c r="A29" s="157"/>
      <c r="B29" s="6">
        <v>1</v>
      </c>
      <c r="C29" s="9" t="s">
        <v>35</v>
      </c>
      <c r="D29" s="6" t="s">
        <v>26</v>
      </c>
      <c r="E29" s="17" t="str">
        <f>VLOOKUP(C29,Resources!B:G,3,FALSE)</f>
        <v>L</v>
      </c>
      <c r="F29" s="12">
        <v>1</v>
      </c>
      <c r="G29" s="12">
        <v>1</v>
      </c>
      <c r="H29" s="12">
        <f>H28*24</f>
        <v>24</v>
      </c>
      <c r="I29" s="12">
        <f>VLOOKUP(C29,Resources!B:G,6,FALSE)</f>
        <v>185</v>
      </c>
      <c r="J29" s="21">
        <f t="shared" ref="J29:J31" si="26">(H29/G29)*I29*F29</f>
        <v>4440</v>
      </c>
      <c r="K29" s="21">
        <f t="shared" ref="K29:K31" si="27">IF(E29="M"," ",L29*F29)</f>
        <v>24</v>
      </c>
      <c r="L29" s="24">
        <f t="shared" ref="L29:L31" si="28">IF(E29="M"," ",H29/G29)</f>
        <v>24</v>
      </c>
      <c r="M29" s="24">
        <f t="shared" ref="M29:M31" si="29">IF($E29="L",$J29,0)</f>
        <v>4440</v>
      </c>
      <c r="N29" s="24">
        <f t="shared" ref="N29:N31" si="30">IF($E29="M",$J29,0)</f>
        <v>0</v>
      </c>
      <c r="O29" s="24">
        <f t="shared" ref="O29:O31" si="31">IF($E29="P",$J29,0)</f>
        <v>0</v>
      </c>
      <c r="P29" s="24">
        <f t="shared" ref="P29:P31" si="32">IF($E29="S",$J29,0)</f>
        <v>0</v>
      </c>
      <c r="Q29" s="24">
        <f t="shared" ref="Q29:Q31" si="33">SUM(M29:P29)</f>
        <v>4440</v>
      </c>
      <c r="R29" s="87">
        <v>11</v>
      </c>
      <c r="T29" s="235" t="str">
        <f t="shared" si="9"/>
        <v xml:space="preserve"> </v>
      </c>
      <c r="U29" s="232"/>
    </row>
    <row r="30" spans="1:21" s="18" customFormat="1" x14ac:dyDescent="0.25">
      <c r="A30" s="157"/>
      <c r="B30" s="6">
        <v>2</v>
      </c>
      <c r="C30" s="9" t="s">
        <v>35</v>
      </c>
      <c r="D30" s="6" t="s">
        <v>26</v>
      </c>
      <c r="E30" s="17" t="str">
        <f>VLOOKUP(C30,Resources!B:G,3,FALSE)</f>
        <v>L</v>
      </c>
      <c r="F30" s="12">
        <v>1</v>
      </c>
      <c r="G30" s="12">
        <v>1</v>
      </c>
      <c r="H30" s="12">
        <f>H28*24</f>
        <v>24</v>
      </c>
      <c r="I30" s="12">
        <f>VLOOKUP(C30,Resources!B:G,6,FALSE)</f>
        <v>185</v>
      </c>
      <c r="J30" s="21">
        <f t="shared" si="26"/>
        <v>4440</v>
      </c>
      <c r="K30" s="21">
        <f t="shared" si="27"/>
        <v>24</v>
      </c>
      <c r="L30" s="24">
        <f t="shared" si="28"/>
        <v>24</v>
      </c>
      <c r="M30" s="24">
        <f t="shared" si="29"/>
        <v>4440</v>
      </c>
      <c r="N30" s="24">
        <f t="shared" si="30"/>
        <v>0</v>
      </c>
      <c r="O30" s="24">
        <f t="shared" si="31"/>
        <v>0</v>
      </c>
      <c r="P30" s="24">
        <f t="shared" si="32"/>
        <v>0</v>
      </c>
      <c r="Q30" s="24">
        <f t="shared" si="33"/>
        <v>4440</v>
      </c>
      <c r="R30" s="87">
        <v>11</v>
      </c>
      <c r="T30" s="235" t="str">
        <f t="shared" si="9"/>
        <v xml:space="preserve"> </v>
      </c>
      <c r="U30" s="232"/>
    </row>
    <row r="31" spans="1:21" s="18" customFormat="1" x14ac:dyDescent="0.25">
      <c r="A31" s="157"/>
      <c r="B31" s="6">
        <v>3</v>
      </c>
      <c r="C31" s="9" t="s">
        <v>35</v>
      </c>
      <c r="D31" s="6" t="s">
        <v>26</v>
      </c>
      <c r="E31" s="17" t="str">
        <f>VLOOKUP(C31,Resources!B:G,3,FALSE)</f>
        <v>L</v>
      </c>
      <c r="F31" s="12">
        <v>1</v>
      </c>
      <c r="G31" s="12">
        <v>1</v>
      </c>
      <c r="H31" s="12">
        <f>H28*80</f>
        <v>80</v>
      </c>
      <c r="I31" s="12">
        <f>VLOOKUP(C31,Resources!B:G,6,FALSE)</f>
        <v>185</v>
      </c>
      <c r="J31" s="21">
        <f t="shared" si="26"/>
        <v>14800</v>
      </c>
      <c r="K31" s="21">
        <f t="shared" si="27"/>
        <v>80</v>
      </c>
      <c r="L31" s="24">
        <f t="shared" si="28"/>
        <v>80</v>
      </c>
      <c r="M31" s="24">
        <f t="shared" si="29"/>
        <v>14800</v>
      </c>
      <c r="N31" s="24">
        <f t="shared" si="30"/>
        <v>0</v>
      </c>
      <c r="O31" s="24">
        <f t="shared" si="31"/>
        <v>0</v>
      </c>
      <c r="P31" s="24">
        <f t="shared" si="32"/>
        <v>0</v>
      </c>
      <c r="Q31" s="24">
        <f t="shared" si="33"/>
        <v>14800</v>
      </c>
      <c r="R31" s="87">
        <v>11</v>
      </c>
      <c r="T31" s="235" t="str">
        <f t="shared" si="9"/>
        <v xml:space="preserve"> </v>
      </c>
      <c r="U31" s="232"/>
    </row>
    <row r="32" spans="1:21" x14ac:dyDescent="0.25">
      <c r="F32" s="11"/>
      <c r="G32" s="11"/>
      <c r="H32" s="11"/>
      <c r="I32" s="11"/>
      <c r="J32" s="11"/>
      <c r="K32" s="11"/>
      <c r="R32" s="88"/>
      <c r="T32" s="235" t="str">
        <f t="shared" si="9"/>
        <v xml:space="preserve"> </v>
      </c>
    </row>
    <row r="33" spans="1:21" ht="45" x14ac:dyDescent="0.25">
      <c r="A33" s="156"/>
      <c r="B33" s="3" t="s">
        <v>36</v>
      </c>
      <c r="C33" s="3" t="s">
        <v>37</v>
      </c>
      <c r="D33" s="4"/>
      <c r="E33" s="15"/>
      <c r="F33" s="10"/>
      <c r="G33" s="10"/>
      <c r="H33" s="10"/>
      <c r="I33" s="10"/>
      <c r="J33" s="10"/>
      <c r="K33" s="10"/>
      <c r="L33" s="23"/>
      <c r="M33" s="23"/>
      <c r="N33" s="23"/>
      <c r="O33" s="23"/>
      <c r="P33" s="23"/>
      <c r="Q33" s="23"/>
      <c r="R33" s="86"/>
      <c r="T33" s="235" t="str">
        <f t="shared" si="9"/>
        <v xml:space="preserve"> </v>
      </c>
    </row>
    <row r="34" spans="1:21" ht="45" x14ac:dyDescent="0.25">
      <c r="A34" s="156">
        <v>8</v>
      </c>
      <c r="B34" s="3" t="s">
        <v>38</v>
      </c>
      <c r="C34" s="3" t="s">
        <v>39</v>
      </c>
      <c r="D34" s="4" t="s">
        <v>18</v>
      </c>
      <c r="E34" s="15"/>
      <c r="F34" s="10"/>
      <c r="G34" s="10"/>
      <c r="H34" s="26">
        <f>VLOOKUP($A34,'Model Inputs'!$A:$C,3,FALSE)</f>
        <v>1</v>
      </c>
      <c r="I34" s="10"/>
      <c r="J34" s="10">
        <f>SUBTOTAL(9,J35)</f>
        <v>10400</v>
      </c>
      <c r="K34" s="10"/>
      <c r="L34" s="10">
        <v>1</v>
      </c>
      <c r="M34" s="10">
        <f>SUBTOTAL(9,M35)</f>
        <v>0</v>
      </c>
      <c r="N34" s="10">
        <f t="shared" ref="N34:Q34" si="34">SUBTOTAL(9,N35)</f>
        <v>0</v>
      </c>
      <c r="O34" s="10">
        <f t="shared" si="34"/>
        <v>0</v>
      </c>
      <c r="P34" s="10">
        <f t="shared" si="34"/>
        <v>10400</v>
      </c>
      <c r="Q34" s="10">
        <f t="shared" si="34"/>
        <v>10400</v>
      </c>
      <c r="R34" s="86"/>
      <c r="T34" s="235" t="str">
        <f t="shared" si="9"/>
        <v xml:space="preserve"> </v>
      </c>
    </row>
    <row r="35" spans="1:21" s="18" customFormat="1" x14ac:dyDescent="0.25">
      <c r="A35" s="157"/>
      <c r="B35" s="6">
        <v>1</v>
      </c>
      <c r="C35" s="9" t="s">
        <v>40</v>
      </c>
      <c r="D35" s="6" t="s">
        <v>18</v>
      </c>
      <c r="E35" s="17" t="str">
        <f>VLOOKUP(C35,Resources!B:G,3,FALSE)</f>
        <v>S</v>
      </c>
      <c r="F35" s="12">
        <v>1</v>
      </c>
      <c r="G35" s="12">
        <v>1</v>
      </c>
      <c r="H35" s="12">
        <f>H34*10400</f>
        <v>10400</v>
      </c>
      <c r="I35" s="12">
        <f>VLOOKUP(C35,Resources!B:G,6,FALSE)</f>
        <v>1</v>
      </c>
      <c r="J35" s="21">
        <f t="shared" ref="J35" si="35">(H35/G35)*I35*F35</f>
        <v>10400</v>
      </c>
      <c r="K35" s="21">
        <f>IF(E35="M"," ",L35*F35)</f>
        <v>10400</v>
      </c>
      <c r="L35" s="24">
        <f>IF(E35="M"," ",H35/G35)</f>
        <v>10400</v>
      </c>
      <c r="M35" s="24">
        <f>IF($E35="L",$J35,0)</f>
        <v>0</v>
      </c>
      <c r="N35" s="24">
        <f>IF($E35="M",$J35,0)</f>
        <v>0</v>
      </c>
      <c r="O35" s="24">
        <f>IF($E35="P",$J35,0)</f>
        <v>0</v>
      </c>
      <c r="P35" s="24">
        <f>IF($E35="S",$J35,0)</f>
        <v>10400</v>
      </c>
      <c r="Q35" s="24">
        <f>SUM(M35:P35)</f>
        <v>10400</v>
      </c>
      <c r="R35" s="87">
        <v>904</v>
      </c>
      <c r="T35" s="235" t="str">
        <f t="shared" si="9"/>
        <v xml:space="preserve"> </v>
      </c>
      <c r="U35" s="232"/>
    </row>
    <row r="36" spans="1:21" x14ac:dyDescent="0.25">
      <c r="F36" s="11"/>
      <c r="G36" s="11"/>
      <c r="H36" s="11"/>
      <c r="I36" s="11"/>
      <c r="J36" s="11"/>
      <c r="K36" s="11"/>
      <c r="R36" s="88"/>
      <c r="T36" s="235" t="str">
        <f t="shared" si="9"/>
        <v xml:space="preserve"> </v>
      </c>
    </row>
    <row r="37" spans="1:21" ht="30" x14ac:dyDescent="0.25">
      <c r="A37" s="156">
        <v>9</v>
      </c>
      <c r="B37" s="3" t="s">
        <v>41</v>
      </c>
      <c r="C37" s="3" t="s">
        <v>42</v>
      </c>
      <c r="D37" s="4" t="s">
        <v>18</v>
      </c>
      <c r="E37" s="15"/>
      <c r="F37" s="10"/>
      <c r="G37" s="10"/>
      <c r="H37" s="26">
        <f>VLOOKUP($A37,'Model Inputs'!$A:$C,3,FALSE)</f>
        <v>1</v>
      </c>
      <c r="I37" s="10"/>
      <c r="J37" s="10">
        <f>SUBTOTAL(9,J38:J39)</f>
        <v>6800</v>
      </c>
      <c r="K37" s="10"/>
      <c r="L37" s="10">
        <f>ROUNDUP(MAX(L38:L39)/Workhrs,0)</f>
        <v>2</v>
      </c>
      <c r="M37" s="10">
        <f>SUBTOTAL(9,M38:M39)</f>
        <v>3200</v>
      </c>
      <c r="N37" s="10">
        <f t="shared" ref="N37:Q37" si="36">SUBTOTAL(9,N38:N39)</f>
        <v>0</v>
      </c>
      <c r="O37" s="10">
        <f t="shared" si="36"/>
        <v>0</v>
      </c>
      <c r="P37" s="10">
        <f t="shared" si="36"/>
        <v>3600</v>
      </c>
      <c r="Q37" s="10">
        <f t="shared" si="36"/>
        <v>6800</v>
      </c>
      <c r="R37" s="86"/>
      <c r="T37" s="235" t="str">
        <f t="shared" si="9"/>
        <v xml:space="preserve"> </v>
      </c>
    </row>
    <row r="38" spans="1:21" x14ac:dyDescent="0.25">
      <c r="A38" s="157"/>
      <c r="B38" s="6">
        <v>1</v>
      </c>
      <c r="C38" s="9" t="s">
        <v>43</v>
      </c>
      <c r="D38" s="6" t="s">
        <v>20</v>
      </c>
      <c r="E38" s="17" t="str">
        <f>VLOOKUP(C38,Resources!B:G,3,FALSE)</f>
        <v>L</v>
      </c>
      <c r="F38" s="12">
        <v>1</v>
      </c>
      <c r="G38" s="12">
        <v>1</v>
      </c>
      <c r="H38" s="12">
        <f>H37</f>
        <v>1</v>
      </c>
      <c r="I38" s="12">
        <f>VLOOKUP(C38,Resources!B:G,6,FALSE)</f>
        <v>3200</v>
      </c>
      <c r="J38" s="21">
        <f t="shared" ref="J38:J39" si="37">(H38/G38)*I38*F38</f>
        <v>3200</v>
      </c>
      <c r="K38" s="21">
        <f t="shared" ref="K38:K39" si="38">IF(E38="M"," ",L38*F38)</f>
        <v>1</v>
      </c>
      <c r="L38" s="24">
        <f t="shared" ref="L38:L39" si="39">IF(E38="M"," ",H38/G38)</f>
        <v>1</v>
      </c>
      <c r="M38" s="24">
        <f t="shared" ref="M38:M39" si="40">IF($E38="L",$J38,0)</f>
        <v>3200</v>
      </c>
      <c r="N38" s="24">
        <f t="shared" ref="N38:N39" si="41">IF($E38="M",$J38,0)</f>
        <v>0</v>
      </c>
      <c r="O38" s="24">
        <f t="shared" ref="O38:O39" si="42">IF($E38="P",$J38,0)</f>
        <v>0</v>
      </c>
      <c r="P38" s="24">
        <f t="shared" ref="P38:P39" si="43">IF($E38="S",$J38,0)</f>
        <v>0</v>
      </c>
      <c r="Q38" s="24">
        <f t="shared" ref="Q38:Q39" si="44">SUM(M38:P38)</f>
        <v>3200</v>
      </c>
      <c r="R38" s="87">
        <v>901</v>
      </c>
      <c r="T38" s="235" t="str">
        <f t="shared" si="9"/>
        <v xml:space="preserve"> </v>
      </c>
    </row>
    <row r="39" spans="1:21" x14ac:dyDescent="0.25">
      <c r="A39" s="157"/>
      <c r="B39" s="6">
        <v>2</v>
      </c>
      <c r="C39" s="9" t="s">
        <v>44</v>
      </c>
      <c r="D39" s="6" t="s">
        <v>26</v>
      </c>
      <c r="E39" s="17" t="str">
        <f>VLOOKUP(C39,Resources!B:G,3,FALSE)</f>
        <v>S</v>
      </c>
      <c r="F39" s="12">
        <v>1</v>
      </c>
      <c r="G39" s="12">
        <v>1</v>
      </c>
      <c r="H39" s="12">
        <f>H37*18</f>
        <v>18</v>
      </c>
      <c r="I39" s="12">
        <f>VLOOKUP(C39,Resources!B:G,6,FALSE)</f>
        <v>200</v>
      </c>
      <c r="J39" s="21">
        <f t="shared" si="37"/>
        <v>3600</v>
      </c>
      <c r="K39" s="21">
        <f t="shared" si="38"/>
        <v>18</v>
      </c>
      <c r="L39" s="24">
        <f t="shared" si="39"/>
        <v>18</v>
      </c>
      <c r="M39" s="24">
        <f t="shared" si="40"/>
        <v>0</v>
      </c>
      <c r="N39" s="24">
        <f t="shared" si="41"/>
        <v>0</v>
      </c>
      <c r="O39" s="24">
        <f t="shared" si="42"/>
        <v>0</v>
      </c>
      <c r="P39" s="24">
        <f t="shared" si="43"/>
        <v>3600</v>
      </c>
      <c r="Q39" s="24">
        <f t="shared" si="44"/>
        <v>3600</v>
      </c>
      <c r="R39" s="87">
        <v>15</v>
      </c>
      <c r="T39" s="235" t="str">
        <f t="shared" si="9"/>
        <v xml:space="preserve"> </v>
      </c>
    </row>
    <row r="40" spans="1:21" x14ac:dyDescent="0.25">
      <c r="F40" s="11"/>
      <c r="G40" s="11"/>
      <c r="H40" s="11"/>
      <c r="I40" s="11"/>
      <c r="J40" s="11"/>
      <c r="K40" s="11"/>
      <c r="R40" s="88"/>
      <c r="T40" s="235" t="str">
        <f t="shared" si="9"/>
        <v xml:space="preserve"> </v>
      </c>
    </row>
    <row r="41" spans="1:21" ht="30" x14ac:dyDescent="0.25">
      <c r="A41" s="156">
        <v>10</v>
      </c>
      <c r="B41" s="3" t="s">
        <v>45</v>
      </c>
      <c r="C41" s="3" t="s">
        <v>46</v>
      </c>
      <c r="D41" s="4" t="s">
        <v>18</v>
      </c>
      <c r="E41" s="15"/>
      <c r="F41" s="10"/>
      <c r="G41" s="10"/>
      <c r="H41" s="26">
        <f>VLOOKUP($A41,'Model Inputs'!$A:$C,3,FALSE)</f>
        <v>1</v>
      </c>
      <c r="I41" s="10"/>
      <c r="J41" s="10">
        <f>SUBTOTAL(9,J42:J43)</f>
        <v>8880</v>
      </c>
      <c r="K41" s="10"/>
      <c r="L41" s="10">
        <v>6</v>
      </c>
      <c r="M41" s="10">
        <f>SUBTOTAL(9,M42:M43)</f>
        <v>8880</v>
      </c>
      <c r="N41" s="10">
        <f t="shared" ref="N41:Q41" si="45">SUBTOTAL(9,N42:N43)</f>
        <v>0</v>
      </c>
      <c r="O41" s="10">
        <f t="shared" si="45"/>
        <v>0</v>
      </c>
      <c r="P41" s="10">
        <f t="shared" si="45"/>
        <v>0</v>
      </c>
      <c r="Q41" s="10">
        <f t="shared" si="45"/>
        <v>8880</v>
      </c>
      <c r="R41" s="86"/>
      <c r="T41" s="235" t="str">
        <f t="shared" si="9"/>
        <v xml:space="preserve"> </v>
      </c>
    </row>
    <row r="42" spans="1:21" s="18" customFormat="1" x14ac:dyDescent="0.25">
      <c r="A42" s="157"/>
      <c r="B42" s="6">
        <v>1</v>
      </c>
      <c r="C42" s="9" t="s">
        <v>35</v>
      </c>
      <c r="D42" s="6" t="s">
        <v>26</v>
      </c>
      <c r="E42" s="17" t="str">
        <f>VLOOKUP(C42,Resources!B:G,3,FALSE)</f>
        <v>L</v>
      </c>
      <c r="F42" s="12">
        <f>H40*10</f>
        <v>0</v>
      </c>
      <c r="G42" s="12">
        <v>1</v>
      </c>
      <c r="H42" s="12">
        <v>1</v>
      </c>
      <c r="I42" s="12">
        <f>VLOOKUP(C42,Resources!B:G,6,FALSE)</f>
        <v>185</v>
      </c>
      <c r="J42" s="21">
        <f t="shared" ref="J42:J43" si="46">(H42/G42)*I42*F42</f>
        <v>0</v>
      </c>
      <c r="K42" s="21">
        <f t="shared" ref="K42:K43" si="47">IF(E42="M"," ",L42*F42)</f>
        <v>0</v>
      </c>
      <c r="L42" s="24">
        <f t="shared" ref="L42:L43" si="48">IF(E42="M"," ",H42/G42)</f>
        <v>1</v>
      </c>
      <c r="M42" s="24">
        <f t="shared" ref="M42:M43" si="49">IF($E42="L",$J42,0)</f>
        <v>0</v>
      </c>
      <c r="N42" s="24">
        <f t="shared" ref="N42:N43" si="50">IF($E42="M",$J42,0)</f>
        <v>0</v>
      </c>
      <c r="O42" s="24">
        <f t="shared" ref="O42:O43" si="51">IF($E42="P",$J42,0)</f>
        <v>0</v>
      </c>
      <c r="P42" s="24">
        <f t="shared" ref="P42:P43" si="52">IF($E42="S",$J42,0)</f>
        <v>0</v>
      </c>
      <c r="Q42" s="24">
        <f t="shared" ref="Q42:Q43" si="53">SUM(M42:P42)</f>
        <v>0</v>
      </c>
      <c r="R42" s="87">
        <v>11</v>
      </c>
      <c r="T42" s="235" t="str">
        <f t="shared" si="9"/>
        <v xml:space="preserve"> </v>
      </c>
      <c r="U42" s="232"/>
    </row>
    <row r="43" spans="1:21" s="18" customFormat="1" x14ac:dyDescent="0.25">
      <c r="A43" s="157"/>
      <c r="B43" s="6">
        <v>2</v>
      </c>
      <c r="C43" s="9" t="s">
        <v>35</v>
      </c>
      <c r="D43" s="6" t="s">
        <v>26</v>
      </c>
      <c r="E43" s="17" t="str">
        <f>VLOOKUP(C43,Resources!B:G,3,FALSE)</f>
        <v>L</v>
      </c>
      <c r="F43" s="12">
        <f>H41*48</f>
        <v>48</v>
      </c>
      <c r="G43" s="12">
        <v>1</v>
      </c>
      <c r="H43" s="12">
        <v>1</v>
      </c>
      <c r="I43" s="12">
        <f>VLOOKUP(C43,Resources!B:G,6,FALSE)</f>
        <v>185</v>
      </c>
      <c r="J43" s="21">
        <f t="shared" si="46"/>
        <v>8880</v>
      </c>
      <c r="K43" s="21">
        <f t="shared" si="47"/>
        <v>48</v>
      </c>
      <c r="L43" s="24">
        <f t="shared" si="48"/>
        <v>1</v>
      </c>
      <c r="M43" s="24">
        <f t="shared" si="49"/>
        <v>8880</v>
      </c>
      <c r="N43" s="24">
        <f t="shared" si="50"/>
        <v>0</v>
      </c>
      <c r="O43" s="24">
        <f t="shared" si="51"/>
        <v>0</v>
      </c>
      <c r="P43" s="24">
        <f t="shared" si="52"/>
        <v>0</v>
      </c>
      <c r="Q43" s="24">
        <f t="shared" si="53"/>
        <v>8880</v>
      </c>
      <c r="R43" s="87">
        <v>11</v>
      </c>
      <c r="T43" s="235" t="str">
        <f t="shared" si="9"/>
        <v xml:space="preserve"> </v>
      </c>
      <c r="U43" s="232"/>
    </row>
    <row r="44" spans="1:21" x14ac:dyDescent="0.25">
      <c r="F44" s="11"/>
      <c r="G44" s="11"/>
      <c r="H44" s="11"/>
      <c r="I44" s="11"/>
      <c r="J44" s="11"/>
      <c r="K44" s="11"/>
      <c r="R44" s="88"/>
      <c r="T44" s="235" t="str">
        <f t="shared" si="9"/>
        <v xml:space="preserve"> </v>
      </c>
    </row>
    <row r="45" spans="1:21" ht="30" x14ac:dyDescent="0.25">
      <c r="A45" s="156"/>
      <c r="B45" s="3" t="s">
        <v>47</v>
      </c>
      <c r="C45" s="3" t="s">
        <v>48</v>
      </c>
      <c r="D45" s="4"/>
      <c r="E45" s="15"/>
      <c r="F45" s="10"/>
      <c r="G45" s="10"/>
      <c r="H45" s="10"/>
      <c r="I45" s="10"/>
      <c r="J45" s="10"/>
      <c r="K45" s="10"/>
      <c r="L45" s="23"/>
      <c r="M45" s="23"/>
      <c r="N45" s="23"/>
      <c r="O45" s="23"/>
      <c r="P45" s="23"/>
      <c r="Q45" s="23"/>
      <c r="R45" s="86"/>
      <c r="T45" s="235" t="str">
        <f t="shared" si="9"/>
        <v xml:space="preserve"> </v>
      </c>
    </row>
    <row r="46" spans="1:21" ht="60" x14ac:dyDescent="0.25">
      <c r="A46" s="156">
        <v>11</v>
      </c>
      <c r="B46" s="3" t="s">
        <v>49</v>
      </c>
      <c r="C46" s="3" t="s">
        <v>555</v>
      </c>
      <c r="D46" s="4" t="s">
        <v>50</v>
      </c>
      <c r="E46" s="15"/>
      <c r="F46" s="10"/>
      <c r="G46" s="10"/>
      <c r="H46" s="26">
        <f>VLOOKUP($A46,'Model Inputs'!$A:$C,3,FALSE)</f>
        <v>3</v>
      </c>
      <c r="I46" s="10"/>
      <c r="J46" s="10">
        <f>SUBTOTAL(9,J47:J48)</f>
        <v>2700</v>
      </c>
      <c r="K46" s="10"/>
      <c r="L46" s="10">
        <v>0</v>
      </c>
      <c r="M46" s="10">
        <f>SUBTOTAL(9,M47:M48)</f>
        <v>0</v>
      </c>
      <c r="N46" s="10">
        <f t="shared" ref="N46:Q46" si="54">SUBTOTAL(9,N47:N48)</f>
        <v>0</v>
      </c>
      <c r="O46" s="10">
        <f t="shared" si="54"/>
        <v>0</v>
      </c>
      <c r="P46" s="10">
        <f t="shared" si="54"/>
        <v>2700</v>
      </c>
      <c r="Q46" s="10">
        <f t="shared" si="54"/>
        <v>2700</v>
      </c>
      <c r="R46" s="86"/>
      <c r="T46" s="235" t="str">
        <f t="shared" si="9"/>
        <v xml:space="preserve"> </v>
      </c>
    </row>
    <row r="47" spans="1:21" x14ac:dyDescent="0.25">
      <c r="A47" s="157"/>
      <c r="B47" s="6">
        <v>1</v>
      </c>
      <c r="C47" s="9" t="s">
        <v>51</v>
      </c>
      <c r="D47" s="6" t="s">
        <v>52</v>
      </c>
      <c r="E47" s="17" t="str">
        <f>VLOOKUP(C47,Resources!B:G,3,FALSE)</f>
        <v>S</v>
      </c>
      <c r="F47" s="12">
        <v>250</v>
      </c>
      <c r="G47" s="12">
        <v>1</v>
      </c>
      <c r="H47" s="12">
        <f>H46</f>
        <v>3</v>
      </c>
      <c r="I47" s="12">
        <f>VLOOKUP(C47,Resources!B:G,6,FALSE)</f>
        <v>2</v>
      </c>
      <c r="J47" s="21">
        <f t="shared" ref="J47:J48" si="55">(H47/G47)*I47*F47</f>
        <v>1500</v>
      </c>
      <c r="K47" s="21">
        <f t="shared" ref="K47:K48" si="56">IF(E47="M"," ",L47*F47)</f>
        <v>750</v>
      </c>
      <c r="L47" s="24">
        <f t="shared" ref="L47:L48" si="57">IF(E47="M"," ",H47/G47)</f>
        <v>3</v>
      </c>
      <c r="M47" s="24">
        <f t="shared" ref="M47:M48" si="58">IF($E47="L",$J47,0)</f>
        <v>0</v>
      </c>
      <c r="N47" s="24">
        <f t="shared" ref="N47:N48" si="59">IF($E47="M",$J47,0)</f>
        <v>0</v>
      </c>
      <c r="O47" s="24">
        <f t="shared" ref="O47:O48" si="60">IF($E47="P",$J47,0)</f>
        <v>0</v>
      </c>
      <c r="P47" s="24">
        <f t="shared" ref="P47:P48" si="61">IF($E47="S",$J47,0)</f>
        <v>1500</v>
      </c>
      <c r="Q47" s="24">
        <f t="shared" ref="Q47:Q48" si="62">SUM(M47:P47)</f>
        <v>1500</v>
      </c>
      <c r="R47" s="87">
        <v>13</v>
      </c>
      <c r="T47" s="235" t="str">
        <f t="shared" si="9"/>
        <v xml:space="preserve"> </v>
      </c>
    </row>
    <row r="48" spans="1:21" x14ac:dyDescent="0.25">
      <c r="A48" s="157"/>
      <c r="B48" s="6">
        <v>2</v>
      </c>
      <c r="C48" s="9" t="s">
        <v>53</v>
      </c>
      <c r="D48" s="6" t="s">
        <v>31</v>
      </c>
      <c r="E48" s="17" t="str">
        <f>VLOOKUP(C48,Resources!B:G,3,FALSE)</f>
        <v>S</v>
      </c>
      <c r="F48" s="12">
        <v>1</v>
      </c>
      <c r="G48" s="12">
        <v>1</v>
      </c>
      <c r="H48" s="12">
        <f>H47</f>
        <v>3</v>
      </c>
      <c r="I48" s="12">
        <f>VLOOKUP(C48,Resources!B:G,6,FALSE)</f>
        <v>400</v>
      </c>
      <c r="J48" s="21">
        <f t="shared" si="55"/>
        <v>1200</v>
      </c>
      <c r="K48" s="21">
        <f t="shared" si="56"/>
        <v>3</v>
      </c>
      <c r="L48" s="24">
        <f t="shared" si="57"/>
        <v>3</v>
      </c>
      <c r="M48" s="24">
        <f t="shared" si="58"/>
        <v>0</v>
      </c>
      <c r="N48" s="24">
        <f t="shared" si="59"/>
        <v>0</v>
      </c>
      <c r="O48" s="24">
        <f t="shared" si="60"/>
        <v>0</v>
      </c>
      <c r="P48" s="24">
        <f t="shared" si="61"/>
        <v>1200</v>
      </c>
      <c r="Q48" s="24">
        <f t="shared" si="62"/>
        <v>1200</v>
      </c>
      <c r="R48" s="87">
        <v>13</v>
      </c>
      <c r="T48" s="235" t="str">
        <f t="shared" si="9"/>
        <v xml:space="preserve"> </v>
      </c>
    </row>
    <row r="49" spans="1:20" x14ac:dyDescent="0.25">
      <c r="F49" s="11"/>
      <c r="G49" s="11"/>
      <c r="H49" s="11"/>
      <c r="I49" s="11"/>
      <c r="J49" s="11"/>
      <c r="K49" s="11"/>
      <c r="R49" s="88"/>
      <c r="T49" s="235" t="str">
        <f t="shared" si="9"/>
        <v xml:space="preserve"> </v>
      </c>
    </row>
    <row r="50" spans="1:20" ht="30" x14ac:dyDescent="0.25">
      <c r="A50" s="156">
        <v>12</v>
      </c>
      <c r="B50" s="3" t="s">
        <v>54</v>
      </c>
      <c r="C50" s="3" t="s">
        <v>55</v>
      </c>
      <c r="D50" s="4" t="s">
        <v>50</v>
      </c>
      <c r="E50" s="15"/>
      <c r="F50" s="10"/>
      <c r="G50" s="10"/>
      <c r="H50" s="26">
        <f>VLOOKUP($A50,'Model Inputs'!$A:$C,3,FALSE)</f>
        <v>28</v>
      </c>
      <c r="I50" s="10"/>
      <c r="J50" s="10">
        <f>SUBTOTAL(9,J51:J52)</f>
        <v>5926.666666666667</v>
      </c>
      <c r="K50" s="10"/>
      <c r="L50" s="10">
        <v>0</v>
      </c>
      <c r="M50" s="10">
        <f>SUBTOTAL(9,M51:M52)</f>
        <v>0</v>
      </c>
      <c r="N50" s="10">
        <f t="shared" ref="N50:Q50" si="63">SUBTOTAL(9,N51:N52)</f>
        <v>0</v>
      </c>
      <c r="O50" s="10">
        <f t="shared" si="63"/>
        <v>0</v>
      </c>
      <c r="P50" s="10">
        <f t="shared" si="63"/>
        <v>5926.666666666667</v>
      </c>
      <c r="Q50" s="10">
        <f t="shared" si="63"/>
        <v>5926.666666666667</v>
      </c>
      <c r="R50" s="86"/>
      <c r="T50" s="235" t="str">
        <f t="shared" si="9"/>
        <v xml:space="preserve"> </v>
      </c>
    </row>
    <row r="51" spans="1:20" x14ac:dyDescent="0.25">
      <c r="A51" s="157"/>
      <c r="B51" s="6">
        <v>1</v>
      </c>
      <c r="C51" s="9" t="s">
        <v>51</v>
      </c>
      <c r="D51" s="6" t="s">
        <v>52</v>
      </c>
      <c r="E51" s="17" t="str">
        <f>VLOOKUP(C51,Resources!B:G,3,FALSE)</f>
        <v>S</v>
      </c>
      <c r="F51" s="12">
        <v>250</v>
      </c>
      <c r="G51" s="12">
        <v>1</v>
      </c>
      <c r="H51" s="12">
        <f>H50/3</f>
        <v>9.3333333333333339</v>
      </c>
      <c r="I51" s="12">
        <f>VLOOKUP(C51,Resources!B:G,6,FALSE)</f>
        <v>2</v>
      </c>
      <c r="J51" s="21">
        <f t="shared" ref="J51:J52" si="64">(H51/G51)*I51*F51</f>
        <v>4666.666666666667</v>
      </c>
      <c r="K51" s="21">
        <f t="shared" ref="K51:K52" si="65">IF(E51="M"," ",L51*F51)</f>
        <v>2333.3333333333335</v>
      </c>
      <c r="L51" s="24">
        <f t="shared" ref="L51:L52" si="66">IF(E51="M"," ",H51/G51)</f>
        <v>9.3333333333333339</v>
      </c>
      <c r="M51" s="24">
        <f t="shared" ref="M51:M52" si="67">IF($E51="L",$J51,0)</f>
        <v>0</v>
      </c>
      <c r="N51" s="24">
        <f t="shared" ref="N51:N52" si="68">IF($E51="M",$J51,0)</f>
        <v>0</v>
      </c>
      <c r="O51" s="24">
        <f t="shared" ref="O51:O52" si="69">IF($E51="P",$J51,0)</f>
        <v>0</v>
      </c>
      <c r="P51" s="24">
        <f t="shared" ref="P51:P52" si="70">IF($E51="S",$J51,0)</f>
        <v>4666.666666666667</v>
      </c>
      <c r="Q51" s="24">
        <f t="shared" ref="Q51:Q52" si="71">SUM(M51:P51)</f>
        <v>4666.666666666667</v>
      </c>
      <c r="R51" s="87">
        <v>13</v>
      </c>
      <c r="T51" s="235" t="str">
        <f t="shared" si="9"/>
        <v xml:space="preserve"> </v>
      </c>
    </row>
    <row r="52" spans="1:20" x14ac:dyDescent="0.25">
      <c r="A52" s="157"/>
      <c r="B52" s="6">
        <v>2</v>
      </c>
      <c r="C52" s="9" t="s">
        <v>56</v>
      </c>
      <c r="D52" s="6" t="s">
        <v>31</v>
      </c>
      <c r="E52" s="17" t="str">
        <f>VLOOKUP(C52,Resources!B:G,3,FALSE)</f>
        <v>S</v>
      </c>
      <c r="F52" s="12">
        <v>1</v>
      </c>
      <c r="G52" s="12">
        <v>1</v>
      </c>
      <c r="H52" s="12">
        <f>H50</f>
        <v>28</v>
      </c>
      <c r="I52" s="12">
        <f>VLOOKUP(C52,Resources!B:G,6,FALSE)</f>
        <v>45</v>
      </c>
      <c r="J52" s="21">
        <f t="shared" si="64"/>
        <v>1260</v>
      </c>
      <c r="K52" s="21">
        <f t="shared" si="65"/>
        <v>28</v>
      </c>
      <c r="L52" s="24">
        <f t="shared" si="66"/>
        <v>28</v>
      </c>
      <c r="M52" s="24">
        <f t="shared" si="67"/>
        <v>0</v>
      </c>
      <c r="N52" s="24">
        <f t="shared" si="68"/>
        <v>0</v>
      </c>
      <c r="O52" s="24">
        <f t="shared" si="69"/>
        <v>0</v>
      </c>
      <c r="P52" s="24">
        <f t="shared" si="70"/>
        <v>1260</v>
      </c>
      <c r="Q52" s="24">
        <f t="shared" si="71"/>
        <v>1260</v>
      </c>
      <c r="R52" s="87">
        <v>13</v>
      </c>
      <c r="T52" s="235" t="str">
        <f t="shared" si="9"/>
        <v xml:space="preserve"> </v>
      </c>
    </row>
    <row r="53" spans="1:20" x14ac:dyDescent="0.25">
      <c r="F53" s="11"/>
      <c r="G53" s="11"/>
      <c r="H53" s="11"/>
      <c r="I53" s="11"/>
      <c r="J53" s="11"/>
      <c r="K53" s="11"/>
      <c r="R53" s="88"/>
      <c r="T53" s="235" t="str">
        <f t="shared" si="9"/>
        <v xml:space="preserve"> </v>
      </c>
    </row>
    <row r="54" spans="1:20" ht="30" x14ac:dyDescent="0.25">
      <c r="A54" s="156">
        <v>13</v>
      </c>
      <c r="B54" s="3" t="s">
        <v>57</v>
      </c>
      <c r="C54" s="3" t="s">
        <v>58</v>
      </c>
      <c r="D54" s="4" t="s">
        <v>50</v>
      </c>
      <c r="E54" s="15"/>
      <c r="F54" s="10"/>
      <c r="G54" s="10"/>
      <c r="H54" s="26">
        <f>VLOOKUP($A54,'Model Inputs'!$A:$C,3,FALSE)</f>
        <v>28</v>
      </c>
      <c r="I54" s="10"/>
      <c r="J54" s="10">
        <f>SUBTOTAL(9,J55:J56)</f>
        <v>5926.666666666667</v>
      </c>
      <c r="K54" s="10"/>
      <c r="L54" s="10">
        <v>0</v>
      </c>
      <c r="M54" s="10">
        <f>SUBTOTAL(9,M55:M56)</f>
        <v>0</v>
      </c>
      <c r="N54" s="10">
        <f t="shared" ref="N54:Q54" si="72">SUBTOTAL(9,N55:N56)</f>
        <v>0</v>
      </c>
      <c r="O54" s="10">
        <f t="shared" si="72"/>
        <v>0</v>
      </c>
      <c r="P54" s="10">
        <f t="shared" si="72"/>
        <v>5926.666666666667</v>
      </c>
      <c r="Q54" s="10">
        <f t="shared" si="72"/>
        <v>5926.666666666667</v>
      </c>
      <c r="R54" s="86"/>
      <c r="T54" s="235" t="str">
        <f t="shared" si="9"/>
        <v xml:space="preserve"> </v>
      </c>
    </row>
    <row r="55" spans="1:20" x14ac:dyDescent="0.25">
      <c r="A55" s="157"/>
      <c r="B55" s="6">
        <v>1</v>
      </c>
      <c r="C55" s="9" t="s">
        <v>51</v>
      </c>
      <c r="D55" s="6" t="s">
        <v>52</v>
      </c>
      <c r="E55" s="17" t="str">
        <f>VLOOKUP(C55,Resources!B:G,3,FALSE)</f>
        <v>S</v>
      </c>
      <c r="F55" s="12">
        <v>250</v>
      </c>
      <c r="G55" s="12">
        <v>1</v>
      </c>
      <c r="H55" s="12">
        <f>H54/3</f>
        <v>9.3333333333333339</v>
      </c>
      <c r="I55" s="12">
        <f>VLOOKUP(C55,Resources!B:G,6,FALSE)</f>
        <v>2</v>
      </c>
      <c r="J55" s="21">
        <f t="shared" ref="J55:J56" si="73">(H55/G55)*I55*F55</f>
        <v>4666.666666666667</v>
      </c>
      <c r="K55" s="21">
        <f t="shared" ref="K55:K56" si="74">IF(E55="M"," ",L55*F55)</f>
        <v>2333.3333333333335</v>
      </c>
      <c r="L55" s="24">
        <f t="shared" ref="L55:L56" si="75">IF(E55="M"," ",H55/G55)</f>
        <v>9.3333333333333339</v>
      </c>
      <c r="M55" s="24">
        <f t="shared" ref="M55:M56" si="76">IF($E55="L",$J55,0)</f>
        <v>0</v>
      </c>
      <c r="N55" s="24">
        <f t="shared" ref="N55:N56" si="77">IF($E55="M",$J55,0)</f>
        <v>0</v>
      </c>
      <c r="O55" s="24">
        <f t="shared" ref="O55:O56" si="78">IF($E55="P",$J55,0)</f>
        <v>0</v>
      </c>
      <c r="P55" s="24">
        <f t="shared" ref="P55:P56" si="79">IF($E55="S",$J55,0)</f>
        <v>4666.666666666667</v>
      </c>
      <c r="Q55" s="24">
        <f t="shared" ref="Q55:Q56" si="80">SUM(M55:P55)</f>
        <v>4666.666666666667</v>
      </c>
      <c r="R55" s="87">
        <v>13</v>
      </c>
      <c r="T55" s="235" t="str">
        <f t="shared" si="9"/>
        <v xml:space="preserve"> </v>
      </c>
    </row>
    <row r="56" spans="1:20" x14ac:dyDescent="0.25">
      <c r="A56" s="157"/>
      <c r="B56" s="6">
        <v>2</v>
      </c>
      <c r="C56" s="9" t="s">
        <v>56</v>
      </c>
      <c r="D56" s="6" t="s">
        <v>31</v>
      </c>
      <c r="E56" s="17" t="str">
        <f>VLOOKUP(C56,Resources!B:G,3,FALSE)</f>
        <v>S</v>
      </c>
      <c r="F56" s="12">
        <v>1</v>
      </c>
      <c r="G56" s="12">
        <v>1</v>
      </c>
      <c r="H56" s="12">
        <f>H54</f>
        <v>28</v>
      </c>
      <c r="I56" s="12">
        <f>VLOOKUP(C56,Resources!B:G,6,FALSE)</f>
        <v>45</v>
      </c>
      <c r="J56" s="21">
        <f t="shared" si="73"/>
        <v>1260</v>
      </c>
      <c r="K56" s="21">
        <f t="shared" si="74"/>
        <v>28</v>
      </c>
      <c r="L56" s="24">
        <f t="shared" si="75"/>
        <v>28</v>
      </c>
      <c r="M56" s="24">
        <f t="shared" si="76"/>
        <v>0</v>
      </c>
      <c r="N56" s="24">
        <f t="shared" si="77"/>
        <v>0</v>
      </c>
      <c r="O56" s="24">
        <f t="shared" si="78"/>
        <v>0</v>
      </c>
      <c r="P56" s="24">
        <f t="shared" si="79"/>
        <v>1260</v>
      </c>
      <c r="Q56" s="24">
        <f t="shared" si="80"/>
        <v>1260</v>
      </c>
      <c r="R56" s="87">
        <v>13</v>
      </c>
      <c r="T56" s="235" t="str">
        <f t="shared" si="9"/>
        <v xml:space="preserve"> </v>
      </c>
    </row>
    <row r="57" spans="1:20" x14ac:dyDescent="0.25">
      <c r="F57" s="11"/>
      <c r="G57" s="11"/>
      <c r="H57" s="11"/>
      <c r="I57" s="11"/>
      <c r="J57" s="11"/>
      <c r="K57" s="11"/>
      <c r="R57" s="88"/>
      <c r="T57" s="235" t="str">
        <f t="shared" si="9"/>
        <v xml:space="preserve"> </v>
      </c>
    </row>
    <row r="58" spans="1:20" ht="30" x14ac:dyDescent="0.25">
      <c r="A58" s="156">
        <v>14</v>
      </c>
      <c r="B58" s="3" t="s">
        <v>59</v>
      </c>
      <c r="C58" s="3" t="s">
        <v>60</v>
      </c>
      <c r="D58" s="4" t="s">
        <v>50</v>
      </c>
      <c r="E58" s="15"/>
      <c r="F58" s="10"/>
      <c r="G58" s="10"/>
      <c r="H58" s="26">
        <f>VLOOKUP($A58,'Model Inputs'!$A:$C,3,FALSE)</f>
        <v>28</v>
      </c>
      <c r="I58" s="10"/>
      <c r="J58" s="10">
        <f>SUBTOTAL(9,J59:J60)</f>
        <v>5926.666666666667</v>
      </c>
      <c r="K58" s="10"/>
      <c r="L58" s="10">
        <v>0</v>
      </c>
      <c r="M58" s="10">
        <f>SUBTOTAL(9,M59:M60)</f>
        <v>0</v>
      </c>
      <c r="N58" s="10">
        <f t="shared" ref="N58:Q58" si="81">SUBTOTAL(9,N59:N60)</f>
        <v>0</v>
      </c>
      <c r="O58" s="10">
        <f t="shared" si="81"/>
        <v>0</v>
      </c>
      <c r="P58" s="10">
        <f t="shared" si="81"/>
        <v>5926.666666666667</v>
      </c>
      <c r="Q58" s="10">
        <f t="shared" si="81"/>
        <v>5926.666666666667</v>
      </c>
      <c r="R58" s="86"/>
      <c r="T58" s="235" t="str">
        <f t="shared" si="9"/>
        <v xml:space="preserve"> </v>
      </c>
    </row>
    <row r="59" spans="1:20" x14ac:dyDescent="0.25">
      <c r="A59" s="157"/>
      <c r="B59" s="6">
        <v>1</v>
      </c>
      <c r="C59" s="9" t="s">
        <v>51</v>
      </c>
      <c r="D59" s="6" t="s">
        <v>52</v>
      </c>
      <c r="E59" s="17" t="str">
        <f>VLOOKUP(C59,Resources!B:G,3,FALSE)</f>
        <v>S</v>
      </c>
      <c r="F59" s="12">
        <v>250</v>
      </c>
      <c r="G59" s="12">
        <v>1</v>
      </c>
      <c r="H59" s="12">
        <f>H58/3</f>
        <v>9.3333333333333339</v>
      </c>
      <c r="I59" s="12">
        <f>VLOOKUP(C59,Resources!B:G,6,FALSE)</f>
        <v>2</v>
      </c>
      <c r="J59" s="21">
        <f t="shared" ref="J59:J60" si="82">(H59/G59)*I59*F59</f>
        <v>4666.666666666667</v>
      </c>
      <c r="K59" s="21">
        <f t="shared" ref="K59:K60" si="83">IF(E59="M"," ",L59*F59)</f>
        <v>2333.3333333333335</v>
      </c>
      <c r="L59" s="24">
        <f t="shared" ref="L59:L60" si="84">IF(E59="M"," ",H59/G59)</f>
        <v>9.3333333333333339</v>
      </c>
      <c r="M59" s="24">
        <f t="shared" ref="M59:M60" si="85">IF($E59="L",$J59,0)</f>
        <v>0</v>
      </c>
      <c r="N59" s="24">
        <f t="shared" ref="N59:N60" si="86">IF($E59="M",$J59,0)</f>
        <v>0</v>
      </c>
      <c r="O59" s="24">
        <f t="shared" ref="O59:O60" si="87">IF($E59="P",$J59,0)</f>
        <v>0</v>
      </c>
      <c r="P59" s="24">
        <f t="shared" ref="P59:P60" si="88">IF($E59="S",$J59,0)</f>
        <v>4666.666666666667</v>
      </c>
      <c r="Q59" s="24">
        <f t="shared" ref="Q59:Q60" si="89">SUM(M59:P59)</f>
        <v>4666.666666666667</v>
      </c>
      <c r="R59" s="87">
        <v>13</v>
      </c>
      <c r="T59" s="235" t="str">
        <f t="shared" si="9"/>
        <v xml:space="preserve"> </v>
      </c>
    </row>
    <row r="60" spans="1:20" x14ac:dyDescent="0.25">
      <c r="A60" s="157"/>
      <c r="B60" s="6">
        <v>2</v>
      </c>
      <c r="C60" s="9" t="s">
        <v>56</v>
      </c>
      <c r="D60" s="6" t="s">
        <v>31</v>
      </c>
      <c r="E60" s="17" t="str">
        <f>VLOOKUP(C60,Resources!B:G,3,FALSE)</f>
        <v>S</v>
      </c>
      <c r="F60" s="12">
        <v>1</v>
      </c>
      <c r="G60" s="12">
        <v>1</v>
      </c>
      <c r="H60" s="12">
        <f>H58</f>
        <v>28</v>
      </c>
      <c r="I60" s="12">
        <f>VLOOKUP(C60,Resources!B:G,6,FALSE)</f>
        <v>45</v>
      </c>
      <c r="J60" s="21">
        <f t="shared" si="82"/>
        <v>1260</v>
      </c>
      <c r="K60" s="21">
        <f t="shared" si="83"/>
        <v>28</v>
      </c>
      <c r="L60" s="24">
        <f t="shared" si="84"/>
        <v>28</v>
      </c>
      <c r="M60" s="24">
        <f t="shared" si="85"/>
        <v>0</v>
      </c>
      <c r="N60" s="24">
        <f t="shared" si="86"/>
        <v>0</v>
      </c>
      <c r="O60" s="24">
        <f t="shared" si="87"/>
        <v>0</v>
      </c>
      <c r="P60" s="24">
        <f t="shared" si="88"/>
        <v>1260</v>
      </c>
      <c r="Q60" s="24">
        <f t="shared" si="89"/>
        <v>1260</v>
      </c>
      <c r="R60" s="87">
        <v>13</v>
      </c>
      <c r="T60" s="235" t="str">
        <f t="shared" si="9"/>
        <v xml:space="preserve"> </v>
      </c>
    </row>
    <row r="61" spans="1:20" x14ac:dyDescent="0.25">
      <c r="F61" s="11"/>
      <c r="G61" s="11"/>
      <c r="H61" s="11"/>
      <c r="I61" s="11"/>
      <c r="J61" s="11"/>
      <c r="K61" s="11"/>
      <c r="R61" s="88"/>
      <c r="T61" s="235" t="str">
        <f t="shared" si="9"/>
        <v xml:space="preserve"> </v>
      </c>
    </row>
    <row r="62" spans="1:20" ht="45" x14ac:dyDescent="0.25">
      <c r="A62" s="156">
        <v>15</v>
      </c>
      <c r="B62" s="3" t="s">
        <v>61</v>
      </c>
      <c r="C62" s="3" t="s">
        <v>62</v>
      </c>
      <c r="D62" s="4" t="s">
        <v>50</v>
      </c>
      <c r="E62" s="15"/>
      <c r="F62" s="10"/>
      <c r="G62" s="10"/>
      <c r="H62" s="26">
        <f>VLOOKUP($A62,'Model Inputs'!$A:$C,3,FALSE)</f>
        <v>2</v>
      </c>
      <c r="I62" s="10"/>
      <c r="J62" s="10">
        <f>SUBTOTAL(9,J63:J65)</f>
        <v>2580</v>
      </c>
      <c r="K62" s="10"/>
      <c r="L62" s="10">
        <v>0</v>
      </c>
      <c r="M62" s="10">
        <f>SUBTOTAL(9,M63:M65)</f>
        <v>0</v>
      </c>
      <c r="N62" s="10">
        <f t="shared" ref="N62:Q62" si="90">SUBTOTAL(9,N63:N65)</f>
        <v>0</v>
      </c>
      <c r="O62" s="10">
        <f t="shared" si="90"/>
        <v>0</v>
      </c>
      <c r="P62" s="10">
        <f t="shared" si="90"/>
        <v>2580</v>
      </c>
      <c r="Q62" s="10">
        <f t="shared" si="90"/>
        <v>2580</v>
      </c>
      <c r="R62" s="86"/>
      <c r="T62" s="235" t="str">
        <f t="shared" si="9"/>
        <v xml:space="preserve"> </v>
      </c>
    </row>
    <row r="63" spans="1:20" x14ac:dyDescent="0.25">
      <c r="A63" s="157"/>
      <c r="B63" s="6">
        <v>1</v>
      </c>
      <c r="C63" s="9" t="s">
        <v>51</v>
      </c>
      <c r="D63" s="6" t="s">
        <v>52</v>
      </c>
      <c r="E63" s="17" t="str">
        <f>VLOOKUP(C63,Resources!B:G,3,FALSE)</f>
        <v>S</v>
      </c>
      <c r="F63" s="12">
        <v>250</v>
      </c>
      <c r="G63" s="12">
        <v>1</v>
      </c>
      <c r="H63" s="12">
        <f>H62</f>
        <v>2</v>
      </c>
      <c r="I63" s="12">
        <f>VLOOKUP(C63,Resources!B:G,6,FALSE)</f>
        <v>2</v>
      </c>
      <c r="J63" s="21">
        <f t="shared" ref="J63:J65" si="91">(H63/G63)*I63*F63</f>
        <v>1000</v>
      </c>
      <c r="K63" s="21">
        <f t="shared" ref="K63:K65" si="92">IF(E63="M"," ",L63*F63)</f>
        <v>500</v>
      </c>
      <c r="L63" s="24">
        <f t="shared" ref="L63:L65" si="93">IF(E63="M"," ",H63/G63)</f>
        <v>2</v>
      </c>
      <c r="M63" s="24">
        <f t="shared" ref="M63:M65" si="94">IF($E63="L",$J63,0)</f>
        <v>0</v>
      </c>
      <c r="N63" s="24">
        <f t="shared" ref="N63:N65" si="95">IF($E63="M",$J63,0)</f>
        <v>0</v>
      </c>
      <c r="O63" s="24">
        <f t="shared" ref="O63:O65" si="96">IF($E63="P",$J63,0)</f>
        <v>0</v>
      </c>
      <c r="P63" s="24">
        <f t="shared" ref="P63:P65" si="97">IF($E63="S",$J63,0)</f>
        <v>1000</v>
      </c>
      <c r="Q63" s="24">
        <f t="shared" ref="Q63:Q65" si="98">SUM(M63:P63)</f>
        <v>1000</v>
      </c>
      <c r="R63" s="87">
        <v>13</v>
      </c>
      <c r="T63" s="235" t="str">
        <f t="shared" si="9"/>
        <v xml:space="preserve"> </v>
      </c>
    </row>
    <row r="64" spans="1:20" x14ac:dyDescent="0.25">
      <c r="A64" s="157"/>
      <c r="B64" s="6">
        <v>2</v>
      </c>
      <c r="C64" s="9" t="s">
        <v>63</v>
      </c>
      <c r="D64" s="6" t="s">
        <v>31</v>
      </c>
      <c r="E64" s="17" t="str">
        <f>VLOOKUP(C64,Resources!B:G,3,FALSE)</f>
        <v>S</v>
      </c>
      <c r="F64" s="12">
        <v>1</v>
      </c>
      <c r="G64" s="12">
        <v>1</v>
      </c>
      <c r="H64" s="12">
        <f>H62</f>
        <v>2</v>
      </c>
      <c r="I64" s="12">
        <f>VLOOKUP(C64,Resources!B:G,6,FALSE)</f>
        <v>390</v>
      </c>
      <c r="J64" s="21">
        <f t="shared" si="91"/>
        <v>780</v>
      </c>
      <c r="K64" s="21">
        <f t="shared" si="92"/>
        <v>2</v>
      </c>
      <c r="L64" s="24">
        <f t="shared" si="93"/>
        <v>2</v>
      </c>
      <c r="M64" s="24">
        <f t="shared" si="94"/>
        <v>0</v>
      </c>
      <c r="N64" s="24">
        <f t="shared" si="95"/>
        <v>0</v>
      </c>
      <c r="O64" s="24">
        <f t="shared" si="96"/>
        <v>0</v>
      </c>
      <c r="P64" s="24">
        <f t="shared" si="97"/>
        <v>780</v>
      </c>
      <c r="Q64" s="24">
        <f t="shared" si="98"/>
        <v>780</v>
      </c>
      <c r="R64" s="87">
        <v>13</v>
      </c>
      <c r="T64" s="235" t="str">
        <f t="shared" si="9"/>
        <v xml:space="preserve"> </v>
      </c>
    </row>
    <row r="65" spans="1:21" x14ac:dyDescent="0.25">
      <c r="A65" s="157"/>
      <c r="B65" s="6">
        <v>3</v>
      </c>
      <c r="C65" s="9" t="s">
        <v>53</v>
      </c>
      <c r="D65" s="6" t="s">
        <v>31</v>
      </c>
      <c r="E65" s="17" t="str">
        <f>VLOOKUP(C65,Resources!B:G,3,FALSE)</f>
        <v>S</v>
      </c>
      <c r="F65" s="12">
        <v>1</v>
      </c>
      <c r="G65" s="12">
        <v>1</v>
      </c>
      <c r="H65" s="12">
        <f>H62</f>
        <v>2</v>
      </c>
      <c r="I65" s="12">
        <f>VLOOKUP(C65,Resources!B:G,6,FALSE)</f>
        <v>400</v>
      </c>
      <c r="J65" s="21">
        <f t="shared" si="91"/>
        <v>800</v>
      </c>
      <c r="K65" s="21">
        <f t="shared" si="92"/>
        <v>2</v>
      </c>
      <c r="L65" s="24">
        <f t="shared" si="93"/>
        <v>2</v>
      </c>
      <c r="M65" s="24">
        <f t="shared" si="94"/>
        <v>0</v>
      </c>
      <c r="N65" s="24">
        <f t="shared" si="95"/>
        <v>0</v>
      </c>
      <c r="O65" s="24">
        <f t="shared" si="96"/>
        <v>0</v>
      </c>
      <c r="P65" s="24">
        <f t="shared" si="97"/>
        <v>800</v>
      </c>
      <c r="Q65" s="24">
        <f t="shared" si="98"/>
        <v>800</v>
      </c>
      <c r="R65" s="87">
        <v>13</v>
      </c>
      <c r="T65" s="235" t="str">
        <f t="shared" si="9"/>
        <v xml:space="preserve"> </v>
      </c>
    </row>
    <row r="66" spans="1:21" x14ac:dyDescent="0.25">
      <c r="F66" s="11"/>
      <c r="G66" s="11"/>
      <c r="H66" s="11"/>
      <c r="I66" s="11"/>
      <c r="J66" s="11"/>
      <c r="K66" s="11"/>
      <c r="R66" s="88"/>
      <c r="T66" s="235" t="str">
        <f t="shared" si="9"/>
        <v xml:space="preserve"> </v>
      </c>
    </row>
    <row r="67" spans="1:21" ht="30" x14ac:dyDescent="0.25">
      <c r="A67" s="156">
        <v>16</v>
      </c>
      <c r="B67" s="3" t="s">
        <v>64</v>
      </c>
      <c r="C67" s="3" t="s">
        <v>65</v>
      </c>
      <c r="D67" s="4" t="s">
        <v>50</v>
      </c>
      <c r="E67" s="15"/>
      <c r="F67" s="10"/>
      <c r="G67" s="10"/>
      <c r="H67" s="26">
        <f>VLOOKUP($A67,'Model Inputs'!$A:$C,3,FALSE)</f>
        <v>2</v>
      </c>
      <c r="I67" s="10"/>
      <c r="J67" s="10">
        <f>SUBTOTAL(9,J68:J70)</f>
        <v>2580</v>
      </c>
      <c r="K67" s="10"/>
      <c r="L67" s="10">
        <v>0</v>
      </c>
      <c r="M67" s="10">
        <f>SUBTOTAL(9,M68:M70)</f>
        <v>0</v>
      </c>
      <c r="N67" s="10">
        <f t="shared" ref="N67:Q67" si="99">SUBTOTAL(9,N68:N70)</f>
        <v>0</v>
      </c>
      <c r="O67" s="10">
        <f t="shared" si="99"/>
        <v>0</v>
      </c>
      <c r="P67" s="10">
        <f t="shared" si="99"/>
        <v>2580</v>
      </c>
      <c r="Q67" s="10">
        <f t="shared" si="99"/>
        <v>2580</v>
      </c>
      <c r="R67" s="86"/>
      <c r="T67" s="235" t="str">
        <f t="shared" si="9"/>
        <v xml:space="preserve"> </v>
      </c>
    </row>
    <row r="68" spans="1:21" x14ac:dyDescent="0.25">
      <c r="A68" s="157"/>
      <c r="B68" s="6">
        <v>1</v>
      </c>
      <c r="C68" s="9" t="s">
        <v>51</v>
      </c>
      <c r="D68" s="6" t="s">
        <v>52</v>
      </c>
      <c r="E68" s="17" t="str">
        <f>VLOOKUP(C68,Resources!B:G,3,FALSE)</f>
        <v>S</v>
      </c>
      <c r="F68" s="12">
        <v>250</v>
      </c>
      <c r="G68" s="12">
        <v>1</v>
      </c>
      <c r="H68" s="12">
        <f>H67</f>
        <v>2</v>
      </c>
      <c r="I68" s="12">
        <f>VLOOKUP(C68,Resources!B:G,6,FALSE)</f>
        <v>2</v>
      </c>
      <c r="J68" s="21">
        <f t="shared" ref="J68:J70" si="100">(H68/G68)*I68*F68</f>
        <v>1000</v>
      </c>
      <c r="K68" s="21">
        <f t="shared" ref="K68:K70" si="101">IF(E68="M"," ",L68*F68)</f>
        <v>500</v>
      </c>
      <c r="L68" s="24">
        <f t="shared" ref="L68:L70" si="102">IF(E68="M"," ",H68/G68)</f>
        <v>2</v>
      </c>
      <c r="M68" s="24">
        <f t="shared" ref="M68:M70" si="103">IF($E68="L",$J68,0)</f>
        <v>0</v>
      </c>
      <c r="N68" s="24">
        <f t="shared" ref="N68:N70" si="104">IF($E68="M",$J68,0)</f>
        <v>0</v>
      </c>
      <c r="O68" s="24">
        <f t="shared" ref="O68:O70" si="105">IF($E68="P",$J68,0)</f>
        <v>0</v>
      </c>
      <c r="P68" s="24">
        <f t="shared" ref="P68:P70" si="106">IF($E68="S",$J68,0)</f>
        <v>1000</v>
      </c>
      <c r="Q68" s="24">
        <f t="shared" ref="Q68:Q70" si="107">SUM(M68:P68)</f>
        <v>1000</v>
      </c>
      <c r="R68" s="87">
        <v>13</v>
      </c>
      <c r="T68" s="235" t="str">
        <f t="shared" si="9"/>
        <v xml:space="preserve"> </v>
      </c>
    </row>
    <row r="69" spans="1:21" x14ac:dyDescent="0.25">
      <c r="A69" s="157"/>
      <c r="B69" s="6">
        <v>2</v>
      </c>
      <c r="C69" s="9" t="s">
        <v>63</v>
      </c>
      <c r="D69" s="6" t="s">
        <v>31</v>
      </c>
      <c r="E69" s="17" t="str">
        <f>VLOOKUP(C69,Resources!B:G,3,FALSE)</f>
        <v>S</v>
      </c>
      <c r="F69" s="12">
        <v>1</v>
      </c>
      <c r="G69" s="12">
        <v>1</v>
      </c>
      <c r="H69" s="12">
        <f>H67</f>
        <v>2</v>
      </c>
      <c r="I69" s="12">
        <f>VLOOKUP(C69,Resources!B:G,6,FALSE)</f>
        <v>390</v>
      </c>
      <c r="J69" s="21">
        <f t="shared" si="100"/>
        <v>780</v>
      </c>
      <c r="K69" s="21">
        <f t="shared" si="101"/>
        <v>2</v>
      </c>
      <c r="L69" s="24">
        <f t="shared" si="102"/>
        <v>2</v>
      </c>
      <c r="M69" s="24">
        <f t="shared" si="103"/>
        <v>0</v>
      </c>
      <c r="N69" s="24">
        <f t="shared" si="104"/>
        <v>0</v>
      </c>
      <c r="O69" s="24">
        <f t="shared" si="105"/>
        <v>0</v>
      </c>
      <c r="P69" s="24">
        <f t="shared" si="106"/>
        <v>780</v>
      </c>
      <c r="Q69" s="24">
        <f t="shared" si="107"/>
        <v>780</v>
      </c>
      <c r="R69" s="87">
        <v>13</v>
      </c>
      <c r="T69" s="235" t="str">
        <f t="shared" si="9"/>
        <v xml:space="preserve"> </v>
      </c>
    </row>
    <row r="70" spans="1:21" x14ac:dyDescent="0.25">
      <c r="A70" s="157"/>
      <c r="B70" s="6">
        <v>3</v>
      </c>
      <c r="C70" s="9" t="s">
        <v>53</v>
      </c>
      <c r="D70" s="6" t="s">
        <v>31</v>
      </c>
      <c r="E70" s="17" t="str">
        <f>VLOOKUP(C70,Resources!B:G,3,FALSE)</f>
        <v>S</v>
      </c>
      <c r="F70" s="12">
        <v>1</v>
      </c>
      <c r="G70" s="12">
        <v>1</v>
      </c>
      <c r="H70" s="12">
        <f>H67</f>
        <v>2</v>
      </c>
      <c r="I70" s="12">
        <f>VLOOKUP(C70,Resources!B:G,6,FALSE)</f>
        <v>400</v>
      </c>
      <c r="J70" s="21">
        <f t="shared" si="100"/>
        <v>800</v>
      </c>
      <c r="K70" s="21">
        <f t="shared" si="101"/>
        <v>2</v>
      </c>
      <c r="L70" s="24">
        <f t="shared" si="102"/>
        <v>2</v>
      </c>
      <c r="M70" s="24">
        <f t="shared" si="103"/>
        <v>0</v>
      </c>
      <c r="N70" s="24">
        <f t="shared" si="104"/>
        <v>0</v>
      </c>
      <c r="O70" s="24">
        <f t="shared" si="105"/>
        <v>0</v>
      </c>
      <c r="P70" s="24">
        <f t="shared" si="106"/>
        <v>800</v>
      </c>
      <c r="Q70" s="24">
        <f t="shared" si="107"/>
        <v>800</v>
      </c>
      <c r="R70" s="87">
        <v>13</v>
      </c>
      <c r="T70" s="235" t="str">
        <f t="shared" si="9"/>
        <v xml:space="preserve"> </v>
      </c>
    </row>
    <row r="71" spans="1:21" x14ac:dyDescent="0.25">
      <c r="F71" s="11"/>
      <c r="G71" s="11"/>
      <c r="H71" s="11"/>
      <c r="I71" s="11"/>
      <c r="J71" s="11"/>
      <c r="K71" s="11"/>
      <c r="R71" s="88"/>
      <c r="T71" s="235" t="str">
        <f t="shared" si="9"/>
        <v xml:space="preserve"> </v>
      </c>
    </row>
    <row r="72" spans="1:21" ht="30" x14ac:dyDescent="0.25">
      <c r="A72" s="156">
        <v>17</v>
      </c>
      <c r="B72" s="3" t="s">
        <v>66</v>
      </c>
      <c r="C72" s="3" t="s">
        <v>67</v>
      </c>
      <c r="D72" s="4" t="s">
        <v>50</v>
      </c>
      <c r="E72" s="15"/>
      <c r="F72" s="10"/>
      <c r="G72" s="10"/>
      <c r="H72" s="26">
        <f>VLOOKUP($A72,'Model Inputs'!$A:$C,3,FALSE)</f>
        <v>11</v>
      </c>
      <c r="I72" s="10"/>
      <c r="J72" s="10">
        <f>SUBTOTAL(9,J73:J74)</f>
        <v>2328.333333333333</v>
      </c>
      <c r="K72" s="10"/>
      <c r="L72" s="10">
        <v>0</v>
      </c>
      <c r="M72" s="10">
        <f>SUBTOTAL(9,M73:M74)</f>
        <v>0</v>
      </c>
      <c r="N72" s="10">
        <f t="shared" ref="N72:Q72" si="108">SUBTOTAL(9,N73:N74)</f>
        <v>0</v>
      </c>
      <c r="O72" s="10">
        <f t="shared" si="108"/>
        <v>0</v>
      </c>
      <c r="P72" s="10">
        <f t="shared" si="108"/>
        <v>2328.333333333333</v>
      </c>
      <c r="Q72" s="10">
        <f t="shared" si="108"/>
        <v>2328.333333333333</v>
      </c>
      <c r="R72" s="86"/>
      <c r="T72" s="235" t="str">
        <f t="shared" ref="T72:T135" si="109">IF(R72=$U$7,"y"," ")</f>
        <v xml:space="preserve"> </v>
      </c>
    </row>
    <row r="73" spans="1:21" x14ac:dyDescent="0.25">
      <c r="A73" s="157"/>
      <c r="B73" s="6">
        <v>1</v>
      </c>
      <c r="C73" s="9" t="s">
        <v>51</v>
      </c>
      <c r="D73" s="6" t="s">
        <v>52</v>
      </c>
      <c r="E73" s="17" t="str">
        <f>VLOOKUP(C73,Resources!B:G,3,FALSE)</f>
        <v>S</v>
      </c>
      <c r="F73" s="12">
        <v>250</v>
      </c>
      <c r="G73" s="12">
        <v>1</v>
      </c>
      <c r="H73" s="12">
        <f>H72/3</f>
        <v>3.6666666666666665</v>
      </c>
      <c r="I73" s="12">
        <f>VLOOKUP(C73,Resources!B:G,6,FALSE)</f>
        <v>2</v>
      </c>
      <c r="J73" s="21">
        <f t="shared" ref="J73:J74" si="110">(H73/G73)*I73*F73</f>
        <v>1833.3333333333333</v>
      </c>
      <c r="K73" s="21">
        <f t="shared" ref="K73:K74" si="111">IF(E73="M"," ",L73*F73)</f>
        <v>916.66666666666663</v>
      </c>
      <c r="L73" s="24">
        <f t="shared" ref="L73:L74" si="112">IF(E73="M"," ",H73/G73)</f>
        <v>3.6666666666666665</v>
      </c>
      <c r="M73" s="24">
        <f t="shared" ref="M73:M74" si="113">IF($E73="L",$J73,0)</f>
        <v>0</v>
      </c>
      <c r="N73" s="24">
        <f t="shared" ref="N73:N74" si="114">IF($E73="M",$J73,0)</f>
        <v>0</v>
      </c>
      <c r="O73" s="24">
        <f t="shared" ref="O73:O74" si="115">IF($E73="P",$J73,0)</f>
        <v>0</v>
      </c>
      <c r="P73" s="24">
        <f t="shared" ref="P73:P74" si="116">IF($E73="S",$J73,0)</f>
        <v>1833.3333333333333</v>
      </c>
      <c r="Q73" s="24">
        <f t="shared" ref="Q73:Q74" si="117">SUM(M73:P73)</f>
        <v>1833.3333333333333</v>
      </c>
      <c r="R73" s="87">
        <v>13</v>
      </c>
      <c r="T73" s="235" t="str">
        <f t="shared" si="109"/>
        <v xml:space="preserve"> </v>
      </c>
    </row>
    <row r="74" spans="1:21" x14ac:dyDescent="0.25">
      <c r="A74" s="157"/>
      <c r="B74" s="6">
        <v>2</v>
      </c>
      <c r="C74" s="9" t="s">
        <v>56</v>
      </c>
      <c r="D74" s="6" t="s">
        <v>31</v>
      </c>
      <c r="E74" s="17" t="str">
        <f>VLOOKUP(C74,Resources!B:G,3,FALSE)</f>
        <v>S</v>
      </c>
      <c r="F74" s="12">
        <v>1</v>
      </c>
      <c r="G74" s="12">
        <v>1</v>
      </c>
      <c r="H74" s="12">
        <f>H72</f>
        <v>11</v>
      </c>
      <c r="I74" s="12">
        <f>VLOOKUP(C74,Resources!B:G,6,FALSE)</f>
        <v>45</v>
      </c>
      <c r="J74" s="21">
        <f t="shared" si="110"/>
        <v>495</v>
      </c>
      <c r="K74" s="21">
        <f t="shared" si="111"/>
        <v>11</v>
      </c>
      <c r="L74" s="24">
        <f t="shared" si="112"/>
        <v>11</v>
      </c>
      <c r="M74" s="24">
        <f t="shared" si="113"/>
        <v>0</v>
      </c>
      <c r="N74" s="24">
        <f t="shared" si="114"/>
        <v>0</v>
      </c>
      <c r="O74" s="24">
        <f t="shared" si="115"/>
        <v>0</v>
      </c>
      <c r="P74" s="24">
        <f t="shared" si="116"/>
        <v>495</v>
      </c>
      <c r="Q74" s="24">
        <f t="shared" si="117"/>
        <v>495</v>
      </c>
      <c r="R74" s="87">
        <v>13</v>
      </c>
      <c r="T74" s="235" t="str">
        <f t="shared" si="109"/>
        <v xml:space="preserve"> </v>
      </c>
    </row>
    <row r="75" spans="1:21" x14ac:dyDescent="0.25">
      <c r="F75" s="11"/>
      <c r="G75" s="11"/>
      <c r="H75" s="11"/>
      <c r="I75" s="11"/>
      <c r="J75" s="11"/>
      <c r="K75" s="11"/>
      <c r="R75" s="88"/>
      <c r="T75" s="235" t="str">
        <f t="shared" si="109"/>
        <v xml:space="preserve"> </v>
      </c>
    </row>
    <row r="76" spans="1:21" ht="30" x14ac:dyDescent="0.25">
      <c r="A76" s="156">
        <v>18</v>
      </c>
      <c r="B76" s="3" t="s">
        <v>68</v>
      </c>
      <c r="C76" s="3" t="s">
        <v>69</v>
      </c>
      <c r="D76" s="4" t="s">
        <v>18</v>
      </c>
      <c r="E76" s="15"/>
      <c r="F76" s="10"/>
      <c r="G76" s="10"/>
      <c r="H76" s="26">
        <f>VLOOKUP($A76,'Model Inputs'!$A:$C,3,FALSE)</f>
        <v>1</v>
      </c>
      <c r="I76" s="10"/>
      <c r="J76" s="10">
        <f>SUBTOTAL(9,J78:J81)</f>
        <v>12317.333333333334</v>
      </c>
      <c r="K76" s="10"/>
      <c r="L76" s="10">
        <f>ROUNDUP(MAX(L78:L81)/Workhrs,0)</f>
        <v>3</v>
      </c>
      <c r="M76" s="10">
        <f>SUBTOTAL(9,M78:M81)</f>
        <v>1384</v>
      </c>
      <c r="N76" s="10">
        <f t="shared" ref="N76:Q76" si="118">SUBTOTAL(9,N78:N81)</f>
        <v>0</v>
      </c>
      <c r="O76" s="10">
        <f t="shared" si="118"/>
        <v>10933.333333333334</v>
      </c>
      <c r="P76" s="10">
        <f t="shared" si="118"/>
        <v>0</v>
      </c>
      <c r="Q76" s="10">
        <f t="shared" si="118"/>
        <v>12317.333333333334</v>
      </c>
      <c r="R76" s="86"/>
      <c r="T76" s="235" t="str">
        <f t="shared" si="109"/>
        <v xml:space="preserve"> </v>
      </c>
    </row>
    <row r="77" spans="1:21" s="18" customFormat="1" x14ac:dyDescent="0.25">
      <c r="A77" s="157">
        <v>18.100000000000001</v>
      </c>
      <c r="B77" s="6">
        <v>1</v>
      </c>
      <c r="C77" s="9" t="s">
        <v>475</v>
      </c>
      <c r="D77" s="6"/>
      <c r="E77" s="17"/>
      <c r="F77" s="12"/>
      <c r="G77" s="12"/>
      <c r="H77" s="26">
        <f>VLOOKUP($A77,'Model Inputs'!$A:$C,3,FALSE)</f>
        <v>16000</v>
      </c>
      <c r="I77" s="12"/>
      <c r="J77" s="21"/>
      <c r="K77" s="21"/>
      <c r="L77" s="24"/>
      <c r="M77" s="24"/>
      <c r="N77" s="24"/>
      <c r="O77" s="24"/>
      <c r="P77" s="24"/>
      <c r="Q77" s="24"/>
      <c r="R77" s="87"/>
      <c r="T77" s="235" t="str">
        <f t="shared" si="109"/>
        <v xml:space="preserve"> </v>
      </c>
      <c r="U77" s="232"/>
    </row>
    <row r="78" spans="1:21" x14ac:dyDescent="0.25">
      <c r="A78" s="157">
        <v>18.2</v>
      </c>
      <c r="B78" s="6">
        <v>2</v>
      </c>
      <c r="C78" s="9" t="s">
        <v>70</v>
      </c>
      <c r="D78" s="6" t="s">
        <v>26</v>
      </c>
      <c r="E78" s="17" t="str">
        <f>VLOOKUP(C78,Resources!B:G,3,FALSE)</f>
        <v>P</v>
      </c>
      <c r="F78" s="12">
        <v>1</v>
      </c>
      <c r="G78" s="26">
        <f>VLOOKUP($A78,'Model Inputs'!$A:$C,3,FALSE)</f>
        <v>60</v>
      </c>
      <c r="H78" s="12">
        <f>H77*0.1</f>
        <v>1600</v>
      </c>
      <c r="I78" s="12">
        <f>VLOOKUP(C78,Resources!B:G,6,FALSE)</f>
        <v>135</v>
      </c>
      <c r="J78" s="21">
        <f t="shared" ref="J78:J81" si="119">(H78/G78)*I78*F78</f>
        <v>3600</v>
      </c>
      <c r="K78" s="21">
        <f t="shared" ref="K78:K81" si="120">IF(E78="M"," ",L78*F78)</f>
        <v>26.666666666666668</v>
      </c>
      <c r="L78" s="24">
        <f t="shared" ref="L78:L81" si="121">IF(E78="M"," ",H78/G78)</f>
        <v>26.666666666666668</v>
      </c>
      <c r="M78" s="24">
        <f t="shared" ref="M78:M81" si="122">IF($E78="L",$J78,0)</f>
        <v>0</v>
      </c>
      <c r="N78" s="24">
        <f t="shared" ref="N78:N81" si="123">IF($E78="M",$J78,0)</f>
        <v>0</v>
      </c>
      <c r="O78" s="24">
        <f t="shared" ref="O78:O81" si="124">IF($E78="P",$J78,0)</f>
        <v>3600</v>
      </c>
      <c r="P78" s="24">
        <f t="shared" ref="P78:P81" si="125">IF($E78="S",$J78,0)</f>
        <v>0</v>
      </c>
      <c r="Q78" s="24">
        <f t="shared" ref="Q78:Q81" si="126">SUM(M78:P78)</f>
        <v>3600</v>
      </c>
      <c r="R78" s="87">
        <v>21</v>
      </c>
      <c r="T78" s="235" t="str">
        <f t="shared" si="109"/>
        <v xml:space="preserve"> </v>
      </c>
    </row>
    <row r="79" spans="1:21" x14ac:dyDescent="0.25">
      <c r="A79" s="157"/>
      <c r="B79" s="6">
        <v>3</v>
      </c>
      <c r="C79" s="9" t="s">
        <v>27</v>
      </c>
      <c r="D79" s="6" t="s">
        <v>26</v>
      </c>
      <c r="E79" s="17" t="str">
        <f>VLOOKUP(C79,Resources!B:G,3,FALSE)</f>
        <v>P</v>
      </c>
      <c r="F79" s="12">
        <v>2</v>
      </c>
      <c r="G79" s="12">
        <f>G78</f>
        <v>60</v>
      </c>
      <c r="H79" s="12">
        <f>H78</f>
        <v>1600</v>
      </c>
      <c r="I79" s="12">
        <f>VLOOKUP(C79,Resources!B:G,6,FALSE)</f>
        <v>90</v>
      </c>
      <c r="J79" s="21">
        <f t="shared" si="119"/>
        <v>4800</v>
      </c>
      <c r="K79" s="21">
        <f t="shared" si="120"/>
        <v>53.333333333333336</v>
      </c>
      <c r="L79" s="24">
        <f t="shared" si="121"/>
        <v>26.666666666666668</v>
      </c>
      <c r="M79" s="24">
        <f t="shared" si="122"/>
        <v>0</v>
      </c>
      <c r="N79" s="24">
        <f t="shared" si="123"/>
        <v>0</v>
      </c>
      <c r="O79" s="24">
        <f t="shared" si="124"/>
        <v>4800</v>
      </c>
      <c r="P79" s="24">
        <f t="shared" si="125"/>
        <v>0</v>
      </c>
      <c r="Q79" s="24">
        <f t="shared" si="126"/>
        <v>4800</v>
      </c>
      <c r="R79" s="87">
        <v>21</v>
      </c>
      <c r="T79" s="235" t="str">
        <f t="shared" si="109"/>
        <v xml:space="preserve"> </v>
      </c>
    </row>
    <row r="80" spans="1:21" x14ac:dyDescent="0.25">
      <c r="A80" s="157"/>
      <c r="B80" s="6">
        <v>4</v>
      </c>
      <c r="C80" s="9" t="s">
        <v>8</v>
      </c>
      <c r="D80" s="6" t="s">
        <v>26</v>
      </c>
      <c r="E80" s="17" t="str">
        <f>VLOOKUP(C80,Resources!B:G,3,FALSE)</f>
        <v>L</v>
      </c>
      <c r="F80" s="12">
        <v>1</v>
      </c>
      <c r="G80" s="12">
        <f>G78</f>
        <v>60</v>
      </c>
      <c r="H80" s="12">
        <f>H78</f>
        <v>1600</v>
      </c>
      <c r="I80" s="12">
        <f>VLOOKUP(C80,Resources!B:G,6,FALSE)</f>
        <v>51.9</v>
      </c>
      <c r="J80" s="21">
        <f t="shared" si="119"/>
        <v>1384</v>
      </c>
      <c r="K80" s="21">
        <f t="shared" si="120"/>
        <v>26.666666666666668</v>
      </c>
      <c r="L80" s="24">
        <f t="shared" si="121"/>
        <v>26.666666666666668</v>
      </c>
      <c r="M80" s="24">
        <f t="shared" si="122"/>
        <v>1384</v>
      </c>
      <c r="N80" s="24">
        <f t="shared" si="123"/>
        <v>0</v>
      </c>
      <c r="O80" s="24">
        <f t="shared" si="124"/>
        <v>0</v>
      </c>
      <c r="P80" s="24">
        <f t="shared" si="125"/>
        <v>0</v>
      </c>
      <c r="Q80" s="24">
        <f t="shared" si="126"/>
        <v>1384</v>
      </c>
      <c r="R80" s="87">
        <v>21</v>
      </c>
      <c r="T80" s="235" t="str">
        <f t="shared" si="109"/>
        <v xml:space="preserve"> </v>
      </c>
    </row>
    <row r="81" spans="1:21" x14ac:dyDescent="0.25">
      <c r="A81" s="157"/>
      <c r="B81" s="6">
        <v>5</v>
      </c>
      <c r="C81" s="9" t="s">
        <v>28</v>
      </c>
      <c r="D81" s="6" t="s">
        <v>26</v>
      </c>
      <c r="E81" s="17" t="str">
        <f>VLOOKUP(C81,Resources!B:G,3,FALSE)</f>
        <v>P</v>
      </c>
      <c r="F81" s="12">
        <v>1</v>
      </c>
      <c r="G81" s="12">
        <f>G78</f>
        <v>60</v>
      </c>
      <c r="H81" s="12">
        <f>H78</f>
        <v>1600</v>
      </c>
      <c r="I81" s="12">
        <f>VLOOKUP(C81,Resources!B:G,6,FALSE)</f>
        <v>95</v>
      </c>
      <c r="J81" s="21">
        <f t="shared" si="119"/>
        <v>2533.3333333333335</v>
      </c>
      <c r="K81" s="21">
        <f t="shared" si="120"/>
        <v>26.666666666666668</v>
      </c>
      <c r="L81" s="24">
        <f t="shared" si="121"/>
        <v>26.666666666666668</v>
      </c>
      <c r="M81" s="24">
        <f t="shared" si="122"/>
        <v>0</v>
      </c>
      <c r="N81" s="24">
        <f t="shared" si="123"/>
        <v>0</v>
      </c>
      <c r="O81" s="24">
        <f t="shared" si="124"/>
        <v>2533.3333333333335</v>
      </c>
      <c r="P81" s="24">
        <f t="shared" si="125"/>
        <v>0</v>
      </c>
      <c r="Q81" s="24">
        <f t="shared" si="126"/>
        <v>2533.3333333333335</v>
      </c>
      <c r="R81" s="87">
        <v>21</v>
      </c>
      <c r="T81" s="235" t="str">
        <f t="shared" si="109"/>
        <v xml:space="preserve"> </v>
      </c>
    </row>
    <row r="82" spans="1:21" x14ac:dyDescent="0.25">
      <c r="F82" s="11"/>
      <c r="G82" s="11"/>
      <c r="H82" s="11"/>
      <c r="I82" s="11"/>
      <c r="J82" s="11"/>
      <c r="K82" s="11"/>
      <c r="R82" s="88"/>
      <c r="T82" s="235" t="str">
        <f t="shared" si="109"/>
        <v xml:space="preserve"> </v>
      </c>
    </row>
    <row r="83" spans="1:21" ht="30" x14ac:dyDescent="0.25">
      <c r="A83" s="156"/>
      <c r="B83" s="3" t="s">
        <v>71</v>
      </c>
      <c r="C83" s="3" t="s">
        <v>72</v>
      </c>
      <c r="D83" s="4"/>
      <c r="E83" s="15"/>
      <c r="F83" s="10"/>
      <c r="G83" s="10"/>
      <c r="H83" s="10"/>
      <c r="I83" s="10"/>
      <c r="J83" s="10"/>
      <c r="K83" s="10"/>
      <c r="L83" s="23"/>
      <c r="M83" s="23"/>
      <c r="N83" s="23"/>
      <c r="O83" s="23"/>
      <c r="P83" s="23"/>
      <c r="Q83" s="23"/>
      <c r="R83" s="86"/>
      <c r="T83" s="235" t="str">
        <f t="shared" si="109"/>
        <v xml:space="preserve"> </v>
      </c>
    </row>
    <row r="84" spans="1:21" ht="90" x14ac:dyDescent="0.25">
      <c r="A84" s="156">
        <v>19</v>
      </c>
      <c r="B84" s="3" t="s">
        <v>73</v>
      </c>
      <c r="C84" s="3" t="s">
        <v>556</v>
      </c>
      <c r="D84" s="4" t="s">
        <v>74</v>
      </c>
      <c r="E84" s="15"/>
      <c r="F84" s="10"/>
      <c r="G84" s="10"/>
      <c r="H84" s="26">
        <f>VLOOKUP($A84,'Model Inputs'!$A:$C,3,FALSE)</f>
        <v>2804</v>
      </c>
      <c r="I84" s="10"/>
      <c r="J84" s="10">
        <f>SUBTOTAL(9,J86:J89,J91:J93)</f>
        <v>33689.751999999993</v>
      </c>
      <c r="K84" s="10"/>
      <c r="L84" s="10">
        <f>ROUNDUP(MAX(L86:L89,L91:L93)/Workhrs,0)</f>
        <v>7</v>
      </c>
      <c r="M84" s="10">
        <f>SUBTOTAL(9,M86:M89,M91:M93)</f>
        <v>3844.7519999999995</v>
      </c>
      <c r="N84" s="10">
        <f t="shared" ref="N84:Q84" si="127">SUBTOTAL(9,N86:N89,N91:N93)</f>
        <v>0</v>
      </c>
      <c r="O84" s="10">
        <f t="shared" si="127"/>
        <v>29844.999999999996</v>
      </c>
      <c r="P84" s="10">
        <f t="shared" si="127"/>
        <v>0</v>
      </c>
      <c r="Q84" s="10">
        <f t="shared" si="127"/>
        <v>33689.751999999993</v>
      </c>
      <c r="R84" s="86"/>
      <c r="T84" s="235" t="str">
        <f t="shared" si="109"/>
        <v xml:space="preserve"> </v>
      </c>
    </row>
    <row r="85" spans="1:21" s="18" customFormat="1" x14ac:dyDescent="0.25">
      <c r="A85" s="157"/>
      <c r="B85" s="6">
        <v>1</v>
      </c>
      <c r="C85" s="9" t="s">
        <v>75</v>
      </c>
      <c r="D85" s="6"/>
      <c r="E85" s="17"/>
      <c r="F85" s="12"/>
      <c r="G85" s="12"/>
      <c r="H85" s="12"/>
      <c r="I85" s="12"/>
      <c r="J85" s="21"/>
      <c r="K85" s="21"/>
      <c r="L85" s="24"/>
      <c r="M85" s="24"/>
      <c r="N85" s="24"/>
      <c r="O85" s="24"/>
      <c r="P85" s="24"/>
      <c r="Q85" s="24"/>
      <c r="R85" s="87"/>
      <c r="T85" s="235" t="str">
        <f t="shared" si="109"/>
        <v xml:space="preserve"> </v>
      </c>
      <c r="U85" s="232"/>
    </row>
    <row r="86" spans="1:21" s="18" customFormat="1" x14ac:dyDescent="0.25">
      <c r="A86" s="157">
        <v>19.100000000000001</v>
      </c>
      <c r="B86" s="6">
        <v>2</v>
      </c>
      <c r="C86" s="9" t="s">
        <v>70</v>
      </c>
      <c r="D86" s="6" t="s">
        <v>26</v>
      </c>
      <c r="E86" s="17" t="str">
        <f>VLOOKUP(C86,Resources!B:G,3,FALSE)</f>
        <v>P</v>
      </c>
      <c r="F86" s="12">
        <v>1</v>
      </c>
      <c r="G86" s="26">
        <f>VLOOKUP($A86,'Model Inputs'!$A:$C,3,FALSE)</f>
        <v>50</v>
      </c>
      <c r="H86" s="12">
        <f>H84</f>
        <v>2804</v>
      </c>
      <c r="I86" s="12">
        <f>VLOOKUP(C86,Resources!B:G,6,FALSE)</f>
        <v>135</v>
      </c>
      <c r="J86" s="21">
        <f t="shared" ref="J86:J89" si="128">(H86/G86)*I86*F86</f>
        <v>7570.8</v>
      </c>
      <c r="K86" s="21">
        <f t="shared" ref="K86:K89" si="129">IF(E86="M"," ",L86*F86)</f>
        <v>56.08</v>
      </c>
      <c r="L86" s="24">
        <f t="shared" ref="L86:L89" si="130">IF(E86="M"," ",H86/G86)</f>
        <v>56.08</v>
      </c>
      <c r="M86" s="24">
        <f t="shared" ref="M86:M89" si="131">IF($E86="L",$J86,0)</f>
        <v>0</v>
      </c>
      <c r="N86" s="24">
        <f t="shared" ref="N86:N89" si="132">IF($E86="M",$J86,0)</f>
        <v>0</v>
      </c>
      <c r="O86" s="24">
        <f t="shared" ref="O86:O89" si="133">IF($E86="P",$J86,0)</f>
        <v>7570.8</v>
      </c>
      <c r="P86" s="24">
        <f t="shared" ref="P86:P89" si="134">IF($E86="S",$J86,0)</f>
        <v>0</v>
      </c>
      <c r="Q86" s="24">
        <f t="shared" ref="Q86:Q89" si="135">SUM(M86:P86)</f>
        <v>7570.8</v>
      </c>
      <c r="R86" s="87">
        <v>53</v>
      </c>
      <c r="T86" s="235" t="str">
        <f t="shared" si="109"/>
        <v xml:space="preserve"> </v>
      </c>
      <c r="U86" s="232"/>
    </row>
    <row r="87" spans="1:21" s="18" customFormat="1" x14ac:dyDescent="0.25">
      <c r="A87" s="157"/>
      <c r="B87" s="6">
        <v>3</v>
      </c>
      <c r="C87" s="9" t="s">
        <v>27</v>
      </c>
      <c r="D87" s="6" t="s">
        <v>26</v>
      </c>
      <c r="E87" s="17" t="str">
        <f>VLOOKUP(C87,Resources!B:G,3,FALSE)</f>
        <v>P</v>
      </c>
      <c r="F87" s="12">
        <v>3</v>
      </c>
      <c r="G87" s="12">
        <f>G86</f>
        <v>50</v>
      </c>
      <c r="H87" s="12">
        <f>H84</f>
        <v>2804</v>
      </c>
      <c r="I87" s="12">
        <f>VLOOKUP(C87,Resources!B:G,6,FALSE)</f>
        <v>90</v>
      </c>
      <c r="J87" s="21">
        <f t="shared" si="128"/>
        <v>15141.599999999999</v>
      </c>
      <c r="K87" s="21">
        <f t="shared" si="129"/>
        <v>168.24</v>
      </c>
      <c r="L87" s="24">
        <f t="shared" si="130"/>
        <v>56.08</v>
      </c>
      <c r="M87" s="24">
        <f t="shared" si="131"/>
        <v>0</v>
      </c>
      <c r="N87" s="24">
        <f t="shared" si="132"/>
        <v>0</v>
      </c>
      <c r="O87" s="24">
        <f t="shared" si="133"/>
        <v>15141.599999999999</v>
      </c>
      <c r="P87" s="24">
        <f t="shared" si="134"/>
        <v>0</v>
      </c>
      <c r="Q87" s="24">
        <f t="shared" si="135"/>
        <v>15141.599999999999</v>
      </c>
      <c r="R87" s="87">
        <v>53</v>
      </c>
      <c r="T87" s="235" t="str">
        <f t="shared" si="109"/>
        <v xml:space="preserve"> </v>
      </c>
      <c r="U87" s="232"/>
    </row>
    <row r="88" spans="1:21" s="18" customFormat="1" x14ac:dyDescent="0.25">
      <c r="A88" s="157"/>
      <c r="B88" s="6">
        <v>4</v>
      </c>
      <c r="C88" s="9" t="s">
        <v>28</v>
      </c>
      <c r="D88" s="6" t="s">
        <v>26</v>
      </c>
      <c r="E88" s="17" t="str">
        <f>VLOOKUP(C88,Resources!B:G,3,FALSE)</f>
        <v>P</v>
      </c>
      <c r="F88" s="12">
        <v>1</v>
      </c>
      <c r="G88" s="12">
        <f>G86</f>
        <v>50</v>
      </c>
      <c r="H88" s="12">
        <f>H84</f>
        <v>2804</v>
      </c>
      <c r="I88" s="12">
        <f>VLOOKUP(C88,Resources!B:G,6,FALSE)</f>
        <v>95</v>
      </c>
      <c r="J88" s="21">
        <f t="shared" si="128"/>
        <v>5327.5999999999995</v>
      </c>
      <c r="K88" s="21">
        <f t="shared" si="129"/>
        <v>56.08</v>
      </c>
      <c r="L88" s="24">
        <f t="shared" si="130"/>
        <v>56.08</v>
      </c>
      <c r="M88" s="24">
        <f t="shared" si="131"/>
        <v>0</v>
      </c>
      <c r="N88" s="24">
        <f t="shared" si="132"/>
        <v>0</v>
      </c>
      <c r="O88" s="24">
        <f t="shared" si="133"/>
        <v>5327.5999999999995</v>
      </c>
      <c r="P88" s="24">
        <f t="shared" si="134"/>
        <v>0</v>
      </c>
      <c r="Q88" s="24">
        <f t="shared" si="135"/>
        <v>5327.5999999999995</v>
      </c>
      <c r="R88" s="87">
        <v>53</v>
      </c>
      <c r="T88" s="235" t="str">
        <f t="shared" si="109"/>
        <v xml:space="preserve"> </v>
      </c>
      <c r="U88" s="232"/>
    </row>
    <row r="89" spans="1:21" s="18" customFormat="1" x14ac:dyDescent="0.25">
      <c r="A89" s="157"/>
      <c r="B89" s="6">
        <v>5</v>
      </c>
      <c r="C89" s="9" t="s">
        <v>8</v>
      </c>
      <c r="D89" s="6" t="s">
        <v>26</v>
      </c>
      <c r="E89" s="17" t="str">
        <f>VLOOKUP(C89,Resources!B:G,3,FALSE)</f>
        <v>L</v>
      </c>
      <c r="F89" s="12">
        <v>1</v>
      </c>
      <c r="G89" s="12">
        <f>G86</f>
        <v>50</v>
      </c>
      <c r="H89" s="12">
        <f>H84</f>
        <v>2804</v>
      </c>
      <c r="I89" s="12">
        <f>VLOOKUP(C89,Resources!B:G,6,FALSE)</f>
        <v>51.9</v>
      </c>
      <c r="J89" s="21">
        <f t="shared" si="128"/>
        <v>2910.5519999999997</v>
      </c>
      <c r="K89" s="21">
        <f t="shared" si="129"/>
        <v>56.08</v>
      </c>
      <c r="L89" s="24">
        <f t="shared" si="130"/>
        <v>56.08</v>
      </c>
      <c r="M89" s="24">
        <f t="shared" si="131"/>
        <v>2910.5519999999997</v>
      </c>
      <c r="N89" s="24">
        <f t="shared" si="132"/>
        <v>0</v>
      </c>
      <c r="O89" s="24">
        <f t="shared" si="133"/>
        <v>0</v>
      </c>
      <c r="P89" s="24">
        <f t="shared" si="134"/>
        <v>0</v>
      </c>
      <c r="Q89" s="24">
        <f t="shared" si="135"/>
        <v>2910.5519999999997</v>
      </c>
      <c r="R89" s="87">
        <v>53</v>
      </c>
      <c r="T89" s="235" t="str">
        <f t="shared" si="109"/>
        <v xml:space="preserve"> </v>
      </c>
      <c r="U89" s="232"/>
    </row>
    <row r="90" spans="1:21" s="18" customFormat="1" x14ac:dyDescent="0.25">
      <c r="A90" s="157"/>
      <c r="B90" s="6">
        <v>6</v>
      </c>
      <c r="C90" s="9" t="s">
        <v>76</v>
      </c>
      <c r="D90" s="6"/>
      <c r="E90" s="17"/>
      <c r="F90" s="12"/>
      <c r="G90" s="12"/>
      <c r="H90" s="12"/>
      <c r="I90" s="12"/>
      <c r="J90" s="21"/>
      <c r="K90" s="21"/>
      <c r="L90" s="24"/>
      <c r="M90" s="24"/>
      <c r="N90" s="24"/>
      <c r="O90" s="24"/>
      <c r="P90" s="24"/>
      <c r="Q90" s="24"/>
      <c r="R90" s="87"/>
      <c r="T90" s="235" t="str">
        <f t="shared" si="109"/>
        <v xml:space="preserve"> </v>
      </c>
      <c r="U90" s="232"/>
    </row>
    <row r="91" spans="1:21" x14ac:dyDescent="0.25">
      <c r="A91" s="157"/>
      <c r="B91" s="6">
        <v>7</v>
      </c>
      <c r="C91" s="9" t="s">
        <v>77</v>
      </c>
      <c r="D91" s="6" t="s">
        <v>25</v>
      </c>
      <c r="E91" s="17" t="str">
        <f>VLOOKUP(C91,Resources!B:G,3,FALSE)</f>
        <v>P</v>
      </c>
      <c r="F91" s="12">
        <v>1</v>
      </c>
      <c r="G91" s="12">
        <v>225</v>
      </c>
      <c r="H91" s="12">
        <v>225</v>
      </c>
      <c r="I91" s="12">
        <f>VLOOKUP(C91,Resources!B:G,6,FALSE)</f>
        <v>365</v>
      </c>
      <c r="J91" s="21">
        <f t="shared" ref="J91:J93" si="136">(H91/G91)*I91*F91</f>
        <v>365</v>
      </c>
      <c r="K91" s="21">
        <f t="shared" ref="K91:K93" si="137">IF(E91="M"," ",L91*F91)</f>
        <v>1</v>
      </c>
      <c r="L91" s="24">
        <f t="shared" ref="L91:L93" si="138">IF(E91="M"," ",H91/G91)</f>
        <v>1</v>
      </c>
      <c r="M91" s="24">
        <f t="shared" ref="M91:M93" si="139">IF($E91="L",$J91,0)</f>
        <v>0</v>
      </c>
      <c r="N91" s="24">
        <f t="shared" ref="N91:N93" si="140">IF($E91="M",$J91,0)</f>
        <v>0</v>
      </c>
      <c r="O91" s="24">
        <f t="shared" ref="O91:O93" si="141">IF($E91="P",$J91,0)</f>
        <v>365</v>
      </c>
      <c r="P91" s="24">
        <f t="shared" ref="P91:P93" si="142">IF($E91="S",$J91,0)</f>
        <v>0</v>
      </c>
      <c r="Q91" s="24">
        <f t="shared" ref="Q91:Q93" si="143">SUM(M91:P91)</f>
        <v>365</v>
      </c>
      <c r="R91" s="87">
        <v>53</v>
      </c>
      <c r="T91" s="235" t="str">
        <f t="shared" si="109"/>
        <v xml:space="preserve"> </v>
      </c>
    </row>
    <row r="92" spans="1:21" x14ac:dyDescent="0.25">
      <c r="A92" s="157"/>
      <c r="B92" s="6">
        <v>8</v>
      </c>
      <c r="C92" s="9" t="s">
        <v>78</v>
      </c>
      <c r="D92" s="6" t="s">
        <v>26</v>
      </c>
      <c r="E92" s="17" t="str">
        <f>VLOOKUP(C92,Resources!B:G,3,FALSE)</f>
        <v>P</v>
      </c>
      <c r="F92" s="12">
        <v>1</v>
      </c>
      <c r="G92" s="12">
        <v>25</v>
      </c>
      <c r="H92" s="12">
        <v>225</v>
      </c>
      <c r="I92" s="12">
        <f>VLOOKUP(C92,Resources!B:G,6,FALSE)</f>
        <v>160</v>
      </c>
      <c r="J92" s="21">
        <f t="shared" si="136"/>
        <v>1440</v>
      </c>
      <c r="K92" s="21">
        <f t="shared" si="137"/>
        <v>9</v>
      </c>
      <c r="L92" s="24">
        <f t="shared" si="138"/>
        <v>9</v>
      </c>
      <c r="M92" s="24">
        <f t="shared" si="139"/>
        <v>0</v>
      </c>
      <c r="N92" s="24">
        <f t="shared" si="140"/>
        <v>0</v>
      </c>
      <c r="O92" s="24">
        <f t="shared" si="141"/>
        <v>1440</v>
      </c>
      <c r="P92" s="24">
        <f t="shared" si="142"/>
        <v>0</v>
      </c>
      <c r="Q92" s="24">
        <f t="shared" si="143"/>
        <v>1440</v>
      </c>
      <c r="R92" s="87">
        <v>53</v>
      </c>
      <c r="T92" s="235" t="str">
        <f t="shared" si="109"/>
        <v xml:space="preserve"> </v>
      </c>
    </row>
    <row r="93" spans="1:21" x14ac:dyDescent="0.25">
      <c r="A93" s="157"/>
      <c r="B93" s="6">
        <v>9</v>
      </c>
      <c r="C93" s="9" t="s">
        <v>8</v>
      </c>
      <c r="D93" s="6" t="s">
        <v>26</v>
      </c>
      <c r="E93" s="17" t="str">
        <f>VLOOKUP(C93,Resources!B:G,3,FALSE)</f>
        <v>L</v>
      </c>
      <c r="F93" s="12">
        <v>2</v>
      </c>
      <c r="G93" s="12">
        <v>25</v>
      </c>
      <c r="H93" s="12">
        <v>225</v>
      </c>
      <c r="I93" s="12">
        <f>VLOOKUP(C93,Resources!B:G,6,FALSE)</f>
        <v>51.9</v>
      </c>
      <c r="J93" s="21">
        <f t="shared" si="136"/>
        <v>934.19999999999993</v>
      </c>
      <c r="K93" s="21">
        <f t="shared" si="137"/>
        <v>18</v>
      </c>
      <c r="L93" s="24">
        <f t="shared" si="138"/>
        <v>9</v>
      </c>
      <c r="M93" s="24">
        <f t="shared" si="139"/>
        <v>934.19999999999993</v>
      </c>
      <c r="N93" s="24">
        <f t="shared" si="140"/>
        <v>0</v>
      </c>
      <c r="O93" s="24">
        <f t="shared" si="141"/>
        <v>0</v>
      </c>
      <c r="P93" s="24">
        <f t="shared" si="142"/>
        <v>0</v>
      </c>
      <c r="Q93" s="24">
        <f t="shared" si="143"/>
        <v>934.19999999999993</v>
      </c>
      <c r="R93" s="87">
        <v>53</v>
      </c>
      <c r="T93" s="235" t="str">
        <f t="shared" si="109"/>
        <v xml:space="preserve"> </v>
      </c>
    </row>
    <row r="94" spans="1:21" x14ac:dyDescent="0.25">
      <c r="F94" s="11"/>
      <c r="G94" s="11"/>
      <c r="H94" s="11"/>
      <c r="I94" s="11"/>
      <c r="J94" s="11"/>
      <c r="K94" s="11"/>
      <c r="R94" s="88"/>
      <c r="T94" s="235" t="str">
        <f t="shared" si="109"/>
        <v xml:space="preserve"> </v>
      </c>
    </row>
    <row r="95" spans="1:21" ht="30" x14ac:dyDescent="0.25">
      <c r="A95" s="156">
        <v>20</v>
      </c>
      <c r="B95" s="3" t="s">
        <v>79</v>
      </c>
      <c r="C95" s="3" t="s">
        <v>80</v>
      </c>
      <c r="D95" s="4" t="s">
        <v>74</v>
      </c>
      <c r="E95" s="15"/>
      <c r="F95" s="10"/>
      <c r="G95" s="10"/>
      <c r="H95" s="26">
        <f>VLOOKUP($A95,'Model Inputs'!$A:$C,3,FALSE)</f>
        <v>40</v>
      </c>
      <c r="I95" s="10"/>
      <c r="J95" s="10">
        <f>SUBTOTAL(9,J96:J101)</f>
        <v>2514.8000000000002</v>
      </c>
      <c r="K95" s="10"/>
      <c r="L95" s="10">
        <f>ROUNDUP(MAX(L96:L101)/Workhrs,0)</f>
        <v>1</v>
      </c>
      <c r="M95" s="10">
        <f>SUBTOTAL(9,M96:M101)</f>
        <v>622.79999999999995</v>
      </c>
      <c r="N95" s="10">
        <f t="shared" ref="N95:Q95" si="144">SUBTOTAL(9,N96:N101)</f>
        <v>0</v>
      </c>
      <c r="O95" s="10">
        <f t="shared" si="144"/>
        <v>1892</v>
      </c>
      <c r="P95" s="10">
        <f t="shared" si="144"/>
        <v>0</v>
      </c>
      <c r="Q95" s="10">
        <f t="shared" si="144"/>
        <v>2514.8000000000002</v>
      </c>
      <c r="R95" s="86"/>
      <c r="T95" s="235" t="str">
        <f t="shared" si="109"/>
        <v xml:space="preserve"> </v>
      </c>
    </row>
    <row r="96" spans="1:21" x14ac:dyDescent="0.25">
      <c r="A96" s="157">
        <v>20.100000000000001</v>
      </c>
      <c r="B96" s="6">
        <v>1</v>
      </c>
      <c r="C96" s="9" t="s">
        <v>70</v>
      </c>
      <c r="D96" s="6" t="s">
        <v>26</v>
      </c>
      <c r="E96" s="17" t="str">
        <f>VLOOKUP(C96,Resources!B:G,3,FALSE)</f>
        <v>P</v>
      </c>
      <c r="F96" s="12">
        <v>1</v>
      </c>
      <c r="G96" s="26">
        <f>VLOOKUP($A96,'Model Inputs'!$A:$C,3,FALSE)</f>
        <v>10</v>
      </c>
      <c r="H96" s="12">
        <f>H95</f>
        <v>40</v>
      </c>
      <c r="I96" s="12">
        <f>VLOOKUP(C96,Resources!B:G,6,FALSE)</f>
        <v>135</v>
      </c>
      <c r="J96" s="21">
        <f t="shared" ref="J96:J101" si="145">(H96/G96)*I96*F96</f>
        <v>540</v>
      </c>
      <c r="K96" s="21">
        <f t="shared" ref="K96:K101" si="146">IF(E96="M"," ",L96*F96)</f>
        <v>4</v>
      </c>
      <c r="L96" s="24">
        <f t="shared" ref="L96:L101" si="147">IF(E96="M"," ",H96/G96)</f>
        <v>4</v>
      </c>
      <c r="M96" s="24">
        <f t="shared" ref="M96:M101" si="148">IF($E96="L",$J96,0)</f>
        <v>0</v>
      </c>
      <c r="N96" s="24">
        <f t="shared" ref="N96:N101" si="149">IF($E96="M",$J96,0)</f>
        <v>0</v>
      </c>
      <c r="O96" s="24">
        <f t="shared" ref="O96:O101" si="150">IF($E96="P",$J96,0)</f>
        <v>540</v>
      </c>
      <c r="P96" s="24">
        <f t="shared" ref="P96:P101" si="151">IF($E96="S",$J96,0)</f>
        <v>0</v>
      </c>
      <c r="Q96" s="24">
        <f t="shared" ref="Q96:Q101" si="152">SUM(M96:P96)</f>
        <v>540</v>
      </c>
      <c r="R96" s="87">
        <v>57</v>
      </c>
      <c r="T96" s="235" t="str">
        <f t="shared" si="109"/>
        <v xml:space="preserve"> </v>
      </c>
    </row>
    <row r="97" spans="1:21" x14ac:dyDescent="0.25">
      <c r="A97" s="157"/>
      <c r="B97" s="6">
        <v>2</v>
      </c>
      <c r="C97" s="9" t="s">
        <v>27</v>
      </c>
      <c r="D97" s="6" t="s">
        <v>26</v>
      </c>
      <c r="E97" s="17" t="str">
        <f>VLOOKUP(C97,Resources!B:G,3,FALSE)</f>
        <v>P</v>
      </c>
      <c r="F97" s="12">
        <v>1</v>
      </c>
      <c r="G97" s="12">
        <f>G96</f>
        <v>10</v>
      </c>
      <c r="H97" s="12">
        <f>H95</f>
        <v>40</v>
      </c>
      <c r="I97" s="12">
        <f>VLOOKUP(C97,Resources!B:G,6,FALSE)</f>
        <v>90</v>
      </c>
      <c r="J97" s="21">
        <f t="shared" si="145"/>
        <v>360</v>
      </c>
      <c r="K97" s="21">
        <f t="shared" si="146"/>
        <v>4</v>
      </c>
      <c r="L97" s="24">
        <f t="shared" si="147"/>
        <v>4</v>
      </c>
      <c r="M97" s="24">
        <f t="shared" si="148"/>
        <v>0</v>
      </c>
      <c r="N97" s="24">
        <f t="shared" si="149"/>
        <v>0</v>
      </c>
      <c r="O97" s="24">
        <f t="shared" si="150"/>
        <v>360</v>
      </c>
      <c r="P97" s="24">
        <f t="shared" si="151"/>
        <v>0</v>
      </c>
      <c r="Q97" s="24">
        <f t="shared" si="152"/>
        <v>360</v>
      </c>
      <c r="R97" s="87">
        <v>57</v>
      </c>
      <c r="T97" s="235" t="str">
        <f t="shared" si="109"/>
        <v xml:space="preserve"> </v>
      </c>
    </row>
    <row r="98" spans="1:21" x14ac:dyDescent="0.25">
      <c r="A98" s="157"/>
      <c r="B98" s="6">
        <v>3</v>
      </c>
      <c r="C98" s="9" t="s">
        <v>81</v>
      </c>
      <c r="D98" s="6" t="s">
        <v>26</v>
      </c>
      <c r="E98" s="17" t="str">
        <f>VLOOKUP(C98,Resources!B:G,3,FALSE)</f>
        <v>P</v>
      </c>
      <c r="F98" s="12">
        <v>1</v>
      </c>
      <c r="G98" s="12">
        <f>G96</f>
        <v>10</v>
      </c>
      <c r="H98" s="12">
        <f>H95</f>
        <v>40</v>
      </c>
      <c r="I98" s="12">
        <f>VLOOKUP(C98,Resources!B:G,6,FALSE)</f>
        <v>58</v>
      </c>
      <c r="J98" s="21">
        <f t="shared" si="145"/>
        <v>232</v>
      </c>
      <c r="K98" s="21">
        <f t="shared" si="146"/>
        <v>4</v>
      </c>
      <c r="L98" s="24">
        <f t="shared" si="147"/>
        <v>4</v>
      </c>
      <c r="M98" s="24">
        <f t="shared" si="148"/>
        <v>0</v>
      </c>
      <c r="N98" s="24">
        <f t="shared" si="149"/>
        <v>0</v>
      </c>
      <c r="O98" s="24">
        <f t="shared" si="150"/>
        <v>232</v>
      </c>
      <c r="P98" s="24">
        <f t="shared" si="151"/>
        <v>0</v>
      </c>
      <c r="Q98" s="24">
        <f t="shared" si="152"/>
        <v>232</v>
      </c>
      <c r="R98" s="87">
        <v>57</v>
      </c>
      <c r="T98" s="235" t="str">
        <f t="shared" si="109"/>
        <v xml:space="preserve"> </v>
      </c>
    </row>
    <row r="99" spans="1:21" x14ac:dyDescent="0.25">
      <c r="A99" s="157"/>
      <c r="B99" s="6">
        <v>4</v>
      </c>
      <c r="C99" s="9" t="s">
        <v>28</v>
      </c>
      <c r="D99" s="6" t="s">
        <v>26</v>
      </c>
      <c r="E99" s="17" t="str">
        <f>VLOOKUP(C99,Resources!B:G,3,FALSE)</f>
        <v>P</v>
      </c>
      <c r="F99" s="12">
        <v>1</v>
      </c>
      <c r="G99" s="12">
        <f>G96</f>
        <v>10</v>
      </c>
      <c r="H99" s="12">
        <f>H95</f>
        <v>40</v>
      </c>
      <c r="I99" s="12">
        <f>VLOOKUP(C99,Resources!B:G,6,FALSE)</f>
        <v>95</v>
      </c>
      <c r="J99" s="21">
        <f t="shared" si="145"/>
        <v>380</v>
      </c>
      <c r="K99" s="21">
        <f t="shared" si="146"/>
        <v>4</v>
      </c>
      <c r="L99" s="24">
        <f t="shared" si="147"/>
        <v>4</v>
      </c>
      <c r="M99" s="24">
        <f t="shared" si="148"/>
        <v>0</v>
      </c>
      <c r="N99" s="24">
        <f t="shared" si="149"/>
        <v>0</v>
      </c>
      <c r="O99" s="24">
        <f t="shared" si="150"/>
        <v>380</v>
      </c>
      <c r="P99" s="24">
        <f t="shared" si="151"/>
        <v>0</v>
      </c>
      <c r="Q99" s="24">
        <f t="shared" si="152"/>
        <v>380</v>
      </c>
      <c r="R99" s="87">
        <v>57</v>
      </c>
      <c r="T99" s="235" t="str">
        <f t="shared" si="109"/>
        <v xml:space="preserve"> </v>
      </c>
    </row>
    <row r="100" spans="1:21" x14ac:dyDescent="0.25">
      <c r="A100" s="157"/>
      <c r="B100" s="6">
        <v>5</v>
      </c>
      <c r="C100" s="9" t="s">
        <v>8</v>
      </c>
      <c r="D100" s="6" t="s">
        <v>26</v>
      </c>
      <c r="E100" s="17" t="str">
        <f>VLOOKUP(C100,Resources!B:G,3,FALSE)</f>
        <v>L</v>
      </c>
      <c r="F100" s="12">
        <v>3</v>
      </c>
      <c r="G100" s="12">
        <f>G96</f>
        <v>10</v>
      </c>
      <c r="H100" s="12">
        <f>H95</f>
        <v>40</v>
      </c>
      <c r="I100" s="12">
        <f>VLOOKUP(C100,Resources!B:G,6,FALSE)</f>
        <v>51.9</v>
      </c>
      <c r="J100" s="21">
        <f t="shared" si="145"/>
        <v>622.79999999999995</v>
      </c>
      <c r="K100" s="21">
        <f t="shared" si="146"/>
        <v>12</v>
      </c>
      <c r="L100" s="24">
        <f t="shared" si="147"/>
        <v>4</v>
      </c>
      <c r="M100" s="24">
        <f t="shared" si="148"/>
        <v>622.79999999999995</v>
      </c>
      <c r="N100" s="24">
        <f t="shared" si="149"/>
        <v>0</v>
      </c>
      <c r="O100" s="24">
        <f t="shared" si="150"/>
        <v>0</v>
      </c>
      <c r="P100" s="24">
        <f t="shared" si="151"/>
        <v>0</v>
      </c>
      <c r="Q100" s="24">
        <f t="shared" si="152"/>
        <v>622.79999999999995</v>
      </c>
      <c r="R100" s="87">
        <v>57</v>
      </c>
      <c r="T100" s="235" t="str">
        <f t="shared" si="109"/>
        <v xml:space="preserve"> </v>
      </c>
    </row>
    <row r="101" spans="1:21" x14ac:dyDescent="0.25">
      <c r="A101" s="157"/>
      <c r="B101" s="6">
        <v>6</v>
      </c>
      <c r="C101" s="9" t="s">
        <v>82</v>
      </c>
      <c r="D101" s="6" t="s">
        <v>26</v>
      </c>
      <c r="E101" s="17" t="str">
        <f>VLOOKUP(C101,Resources!B:G,3,FALSE)</f>
        <v>P</v>
      </c>
      <c r="F101" s="12">
        <v>1</v>
      </c>
      <c r="G101" s="12">
        <f>G96</f>
        <v>10</v>
      </c>
      <c r="H101" s="12">
        <f>H95</f>
        <v>40</v>
      </c>
      <c r="I101" s="12">
        <f>VLOOKUP(C101,Resources!B:G,6,FALSE)</f>
        <v>95</v>
      </c>
      <c r="J101" s="21">
        <f t="shared" si="145"/>
        <v>380</v>
      </c>
      <c r="K101" s="21">
        <f t="shared" si="146"/>
        <v>4</v>
      </c>
      <c r="L101" s="24">
        <f t="shared" si="147"/>
        <v>4</v>
      </c>
      <c r="M101" s="24">
        <f t="shared" si="148"/>
        <v>0</v>
      </c>
      <c r="N101" s="24">
        <f t="shared" si="149"/>
        <v>0</v>
      </c>
      <c r="O101" s="24">
        <f t="shared" si="150"/>
        <v>380</v>
      </c>
      <c r="P101" s="24">
        <f t="shared" si="151"/>
        <v>0</v>
      </c>
      <c r="Q101" s="24">
        <f t="shared" si="152"/>
        <v>380</v>
      </c>
      <c r="R101" s="87">
        <v>57</v>
      </c>
      <c r="T101" s="235" t="str">
        <f t="shared" si="109"/>
        <v xml:space="preserve"> </v>
      </c>
    </row>
    <row r="102" spans="1:21" x14ac:dyDescent="0.25">
      <c r="F102" s="11"/>
      <c r="G102" s="11"/>
      <c r="H102" s="11"/>
      <c r="I102" s="11"/>
      <c r="J102" s="11"/>
      <c r="K102" s="11"/>
      <c r="R102" s="88"/>
      <c r="T102" s="235" t="str">
        <f t="shared" si="109"/>
        <v xml:space="preserve"> </v>
      </c>
    </row>
    <row r="103" spans="1:21" ht="60" x14ac:dyDescent="0.25">
      <c r="A103" s="156">
        <v>21</v>
      </c>
      <c r="B103" s="3" t="s">
        <v>83</v>
      </c>
      <c r="C103" s="3" t="s">
        <v>84</v>
      </c>
      <c r="D103" s="4" t="s">
        <v>74</v>
      </c>
      <c r="E103" s="15"/>
      <c r="F103" s="10"/>
      <c r="G103" s="10"/>
      <c r="H103" s="26">
        <f>VLOOKUP($A103,'Model Inputs'!$A:$C,3,FALSE)</f>
        <v>423</v>
      </c>
      <c r="I103" s="10"/>
      <c r="J103" s="10">
        <f>SUBTOTAL(9,J105:J108)</f>
        <v>9338.1479999999992</v>
      </c>
      <c r="K103" s="10"/>
      <c r="L103" s="10">
        <f>ROUNDUP(MAX(L105:L108)/Workhrs,0)</f>
        <v>2</v>
      </c>
      <c r="M103" s="10">
        <f>SUBTOTAL(9,M105:M108)</f>
        <v>878.14800000000002</v>
      </c>
      <c r="N103" s="10">
        <f t="shared" ref="N103:Q103" si="153">SUBTOTAL(9,N105:N108)</f>
        <v>0</v>
      </c>
      <c r="O103" s="10">
        <f t="shared" si="153"/>
        <v>8460</v>
      </c>
      <c r="P103" s="10">
        <f t="shared" si="153"/>
        <v>0</v>
      </c>
      <c r="Q103" s="10">
        <f t="shared" si="153"/>
        <v>9338.1479999999992</v>
      </c>
      <c r="R103" s="86"/>
      <c r="T103" s="235" t="str">
        <f t="shared" si="109"/>
        <v xml:space="preserve"> </v>
      </c>
    </row>
    <row r="104" spans="1:21" s="18" customFormat="1" x14ac:dyDescent="0.25">
      <c r="A104" s="157"/>
      <c r="B104" s="6">
        <v>1</v>
      </c>
      <c r="C104" s="9" t="s">
        <v>75</v>
      </c>
      <c r="D104" s="6"/>
      <c r="E104" s="17"/>
      <c r="F104" s="12"/>
      <c r="G104" s="12"/>
      <c r="H104" s="12"/>
      <c r="I104" s="12"/>
      <c r="J104" s="21"/>
      <c r="K104" s="21"/>
      <c r="L104" s="24"/>
      <c r="M104" s="24"/>
      <c r="N104" s="24"/>
      <c r="O104" s="24"/>
      <c r="P104" s="24"/>
      <c r="Q104" s="24"/>
      <c r="R104" s="87"/>
      <c r="T104" s="235" t="str">
        <f t="shared" si="109"/>
        <v xml:space="preserve"> </v>
      </c>
      <c r="U104" s="232"/>
    </row>
    <row r="105" spans="1:21" x14ac:dyDescent="0.25">
      <c r="A105" s="157">
        <v>21.1</v>
      </c>
      <c r="B105" s="6">
        <v>2</v>
      </c>
      <c r="C105" s="9" t="s">
        <v>70</v>
      </c>
      <c r="D105" s="6" t="s">
        <v>26</v>
      </c>
      <c r="E105" s="17" t="str">
        <f>VLOOKUP(C105,Resources!B:G,3,FALSE)</f>
        <v>P</v>
      </c>
      <c r="F105" s="12">
        <v>1</v>
      </c>
      <c r="G105" s="26">
        <f>VLOOKUP($A105,'Model Inputs'!$A:$C,3,FALSE)</f>
        <v>25</v>
      </c>
      <c r="H105" s="12">
        <f>H103</f>
        <v>423</v>
      </c>
      <c r="I105" s="12">
        <f>VLOOKUP(C105,Resources!B:G,6,FALSE)</f>
        <v>135</v>
      </c>
      <c r="J105" s="21">
        <f t="shared" ref="J105:J108" si="154">(H105/G105)*I105*F105</f>
        <v>2284.2000000000003</v>
      </c>
      <c r="K105" s="21">
        <f t="shared" ref="K105:K108" si="155">IF(E105="M"," ",L105*F105)</f>
        <v>16.920000000000002</v>
      </c>
      <c r="L105" s="24">
        <f t="shared" ref="L105:L108" si="156">IF(E105="M"," ",H105/G105)</f>
        <v>16.920000000000002</v>
      </c>
      <c r="M105" s="24">
        <f t="shared" ref="M105:M108" si="157">IF($E105="L",$J105,0)</f>
        <v>0</v>
      </c>
      <c r="N105" s="24">
        <f t="shared" ref="N105:N108" si="158">IF($E105="M",$J105,0)</f>
        <v>0</v>
      </c>
      <c r="O105" s="24">
        <f t="shared" ref="O105:O108" si="159">IF($E105="P",$J105,0)</f>
        <v>2284.2000000000003</v>
      </c>
      <c r="P105" s="24">
        <f t="shared" ref="P105:P108" si="160">IF($E105="S",$J105,0)</f>
        <v>0</v>
      </c>
      <c r="Q105" s="24">
        <f t="shared" ref="Q105:Q108" si="161">SUM(M105:P105)</f>
        <v>2284.2000000000003</v>
      </c>
      <c r="R105" s="87">
        <v>53</v>
      </c>
      <c r="T105" s="235" t="str">
        <f t="shared" si="109"/>
        <v xml:space="preserve"> </v>
      </c>
    </row>
    <row r="106" spans="1:21" x14ac:dyDescent="0.25">
      <c r="A106" s="157"/>
      <c r="B106" s="6">
        <v>3</v>
      </c>
      <c r="C106" s="9" t="s">
        <v>27</v>
      </c>
      <c r="D106" s="6" t="s">
        <v>26</v>
      </c>
      <c r="E106" s="17" t="str">
        <f>VLOOKUP(C106,Resources!B:G,3,FALSE)</f>
        <v>P</v>
      </c>
      <c r="F106" s="12">
        <v>3</v>
      </c>
      <c r="G106" s="12">
        <f>G105</f>
        <v>25</v>
      </c>
      <c r="H106" s="12">
        <f>H103</f>
        <v>423</v>
      </c>
      <c r="I106" s="12">
        <f>VLOOKUP(C106,Resources!B:G,6,FALSE)</f>
        <v>90</v>
      </c>
      <c r="J106" s="21">
        <f t="shared" si="154"/>
        <v>4568.4000000000005</v>
      </c>
      <c r="K106" s="21">
        <f t="shared" si="155"/>
        <v>50.760000000000005</v>
      </c>
      <c r="L106" s="24">
        <f t="shared" si="156"/>
        <v>16.920000000000002</v>
      </c>
      <c r="M106" s="24">
        <f t="shared" si="157"/>
        <v>0</v>
      </c>
      <c r="N106" s="24">
        <f t="shared" si="158"/>
        <v>0</v>
      </c>
      <c r="O106" s="24">
        <f t="shared" si="159"/>
        <v>4568.4000000000005</v>
      </c>
      <c r="P106" s="24">
        <f t="shared" si="160"/>
        <v>0</v>
      </c>
      <c r="Q106" s="24">
        <f t="shared" si="161"/>
        <v>4568.4000000000005</v>
      </c>
      <c r="R106" s="87">
        <v>53</v>
      </c>
      <c r="T106" s="235" t="str">
        <f t="shared" si="109"/>
        <v xml:space="preserve"> </v>
      </c>
    </row>
    <row r="107" spans="1:21" x14ac:dyDescent="0.25">
      <c r="A107" s="157"/>
      <c r="B107" s="6">
        <v>4</v>
      </c>
      <c r="C107" s="9" t="s">
        <v>28</v>
      </c>
      <c r="D107" s="6" t="s">
        <v>26</v>
      </c>
      <c r="E107" s="17" t="str">
        <f>VLOOKUP(C107,Resources!B:G,3,FALSE)</f>
        <v>P</v>
      </c>
      <c r="F107" s="12">
        <v>1</v>
      </c>
      <c r="G107" s="12">
        <f>G105</f>
        <v>25</v>
      </c>
      <c r="H107" s="12">
        <f>H103</f>
        <v>423</v>
      </c>
      <c r="I107" s="12">
        <f>VLOOKUP(C107,Resources!B:G,6,FALSE)</f>
        <v>95</v>
      </c>
      <c r="J107" s="21">
        <f t="shared" si="154"/>
        <v>1607.4</v>
      </c>
      <c r="K107" s="21">
        <f t="shared" si="155"/>
        <v>16.920000000000002</v>
      </c>
      <c r="L107" s="24">
        <f t="shared" si="156"/>
        <v>16.920000000000002</v>
      </c>
      <c r="M107" s="24">
        <f t="shared" si="157"/>
        <v>0</v>
      </c>
      <c r="N107" s="24">
        <f t="shared" si="158"/>
        <v>0</v>
      </c>
      <c r="O107" s="24">
        <f t="shared" si="159"/>
        <v>1607.4</v>
      </c>
      <c r="P107" s="24">
        <f t="shared" si="160"/>
        <v>0</v>
      </c>
      <c r="Q107" s="24">
        <f t="shared" si="161"/>
        <v>1607.4</v>
      </c>
      <c r="R107" s="87">
        <v>53</v>
      </c>
      <c r="T107" s="235" t="str">
        <f t="shared" si="109"/>
        <v xml:space="preserve"> </v>
      </c>
    </row>
    <row r="108" spans="1:21" x14ac:dyDescent="0.25">
      <c r="A108" s="157"/>
      <c r="B108" s="6">
        <v>5</v>
      </c>
      <c r="C108" s="9" t="s">
        <v>8</v>
      </c>
      <c r="D108" s="6" t="s">
        <v>26</v>
      </c>
      <c r="E108" s="17" t="str">
        <f>VLOOKUP(C108,Resources!B:G,3,FALSE)</f>
        <v>L</v>
      </c>
      <c r="F108" s="12">
        <v>1</v>
      </c>
      <c r="G108" s="12">
        <f>G105</f>
        <v>25</v>
      </c>
      <c r="H108" s="12">
        <f>H103</f>
        <v>423</v>
      </c>
      <c r="I108" s="12">
        <f>VLOOKUP(C108,Resources!B:G,6,FALSE)</f>
        <v>51.9</v>
      </c>
      <c r="J108" s="21">
        <f t="shared" si="154"/>
        <v>878.14800000000002</v>
      </c>
      <c r="K108" s="21">
        <f t="shared" si="155"/>
        <v>16.920000000000002</v>
      </c>
      <c r="L108" s="24">
        <f t="shared" si="156"/>
        <v>16.920000000000002</v>
      </c>
      <c r="M108" s="24">
        <f t="shared" si="157"/>
        <v>878.14800000000002</v>
      </c>
      <c r="N108" s="24">
        <f t="shared" si="158"/>
        <v>0</v>
      </c>
      <c r="O108" s="24">
        <f t="shared" si="159"/>
        <v>0</v>
      </c>
      <c r="P108" s="24">
        <f t="shared" si="160"/>
        <v>0</v>
      </c>
      <c r="Q108" s="24">
        <f t="shared" si="161"/>
        <v>878.14800000000002</v>
      </c>
      <c r="R108" s="87">
        <v>53</v>
      </c>
      <c r="T108" s="235" t="str">
        <f t="shared" si="109"/>
        <v xml:space="preserve"> </v>
      </c>
    </row>
    <row r="109" spans="1:21" x14ac:dyDescent="0.25">
      <c r="F109" s="11"/>
      <c r="G109" s="11"/>
      <c r="H109" s="11"/>
      <c r="I109" s="11"/>
      <c r="J109" s="11"/>
      <c r="K109" s="11"/>
      <c r="R109" s="88"/>
      <c r="T109" s="235" t="str">
        <f t="shared" si="109"/>
        <v xml:space="preserve"> </v>
      </c>
    </row>
    <row r="110" spans="1:21" ht="45" x14ac:dyDescent="0.25">
      <c r="A110" s="156"/>
      <c r="B110" s="3" t="s">
        <v>85</v>
      </c>
      <c r="C110" s="3" t="s">
        <v>86</v>
      </c>
      <c r="D110" s="4"/>
      <c r="E110" s="15"/>
      <c r="F110" s="10"/>
      <c r="G110" s="10"/>
      <c r="H110" s="10"/>
      <c r="I110" s="10"/>
      <c r="J110" s="10"/>
      <c r="K110" s="10"/>
      <c r="L110" s="23"/>
      <c r="M110" s="23"/>
      <c r="N110" s="23"/>
      <c r="O110" s="23"/>
      <c r="P110" s="23"/>
      <c r="Q110" s="23"/>
      <c r="R110" s="86"/>
      <c r="T110" s="235" t="str">
        <f t="shared" si="109"/>
        <v xml:space="preserve"> </v>
      </c>
    </row>
    <row r="111" spans="1:21" ht="60" x14ac:dyDescent="0.25">
      <c r="A111" s="156">
        <v>22</v>
      </c>
      <c r="B111" s="3" t="s">
        <v>87</v>
      </c>
      <c r="C111" s="3" t="s">
        <v>557</v>
      </c>
      <c r="D111" s="4" t="s">
        <v>88</v>
      </c>
      <c r="E111" s="15"/>
      <c r="F111" s="10"/>
      <c r="G111" s="10"/>
      <c r="H111" s="26">
        <f>VLOOKUP($A111,'Model Inputs'!$A:$C,3,FALSE)</f>
        <v>11271</v>
      </c>
      <c r="I111" s="10"/>
      <c r="J111" s="10">
        <f>SUBTOTAL(9,J112:J118)</f>
        <v>32988.338499999998</v>
      </c>
      <c r="K111" s="10"/>
      <c r="L111" s="10">
        <f>ROUNDUP(MAX(L112:L118)/Workhrs,0)</f>
        <v>7</v>
      </c>
      <c r="M111" s="10">
        <f>SUBTOTAL(9,M112:M118)</f>
        <v>8774.4735000000001</v>
      </c>
      <c r="N111" s="10">
        <f t="shared" ref="N111:Q111" si="162">SUBTOTAL(9,N112:N118)</f>
        <v>0</v>
      </c>
      <c r="O111" s="10">
        <f t="shared" si="162"/>
        <v>24213.865000000002</v>
      </c>
      <c r="P111" s="10">
        <f t="shared" si="162"/>
        <v>0</v>
      </c>
      <c r="Q111" s="10">
        <f t="shared" si="162"/>
        <v>32988.338499999998</v>
      </c>
      <c r="R111" s="86"/>
      <c r="T111" s="235" t="str">
        <f t="shared" si="109"/>
        <v xml:space="preserve"> </v>
      </c>
    </row>
    <row r="112" spans="1:21" x14ac:dyDescent="0.25">
      <c r="A112" s="157">
        <v>22.1</v>
      </c>
      <c r="B112" s="6">
        <v>1</v>
      </c>
      <c r="C112" s="9" t="s">
        <v>78</v>
      </c>
      <c r="D112" s="6" t="s">
        <v>26</v>
      </c>
      <c r="E112" s="17" t="str">
        <f>VLOOKUP(C112,Resources!B:G,3,FALSE)</f>
        <v>P</v>
      </c>
      <c r="F112" s="12">
        <v>1</v>
      </c>
      <c r="G112" s="26">
        <f>VLOOKUP($A112,'Model Inputs'!$A:$C,3,FALSE)</f>
        <v>200</v>
      </c>
      <c r="H112" s="12">
        <f>H111</f>
        <v>11271</v>
      </c>
      <c r="I112" s="12">
        <f>VLOOKUP(C112,Resources!B:G,6,FALSE)</f>
        <v>160</v>
      </c>
      <c r="J112" s="21">
        <f t="shared" ref="J112:J118" si="163">(H112/G112)*I112*F112</f>
        <v>9016.7999999999993</v>
      </c>
      <c r="K112" s="21">
        <f t="shared" ref="K112:K118" si="164">IF(E112="M"," ",L112*F112)</f>
        <v>56.354999999999997</v>
      </c>
      <c r="L112" s="24">
        <f t="shared" ref="L112:L118" si="165">IF(E112="M"," ",H112/G112)</f>
        <v>56.354999999999997</v>
      </c>
      <c r="M112" s="24">
        <f t="shared" ref="M112:M118" si="166">IF($E112="L",$J112,0)</f>
        <v>0</v>
      </c>
      <c r="N112" s="24">
        <f t="shared" ref="N112:N118" si="167">IF($E112="M",$J112,0)</f>
        <v>0</v>
      </c>
      <c r="O112" s="24">
        <f t="shared" ref="O112:O118" si="168">IF($E112="P",$J112,0)</f>
        <v>9016.7999999999993</v>
      </c>
      <c r="P112" s="24">
        <f t="shared" ref="P112:P118" si="169">IF($E112="S",$J112,0)</f>
        <v>0</v>
      </c>
      <c r="Q112" s="24">
        <f t="shared" ref="Q112:Q118" si="170">SUM(M112:P112)</f>
        <v>9016.7999999999993</v>
      </c>
      <c r="R112" s="87">
        <v>61</v>
      </c>
      <c r="T112" s="235" t="str">
        <f t="shared" si="109"/>
        <v xml:space="preserve"> </v>
      </c>
    </row>
    <row r="113" spans="1:20" x14ac:dyDescent="0.25">
      <c r="A113" s="157"/>
      <c r="B113" s="6">
        <v>2</v>
      </c>
      <c r="C113" s="9" t="s">
        <v>89</v>
      </c>
      <c r="D113" s="6" t="s">
        <v>26</v>
      </c>
      <c r="E113" s="17" t="str">
        <f>VLOOKUP(C113,Resources!B:G,3,FALSE)</f>
        <v>P</v>
      </c>
      <c r="F113" s="12">
        <v>1</v>
      </c>
      <c r="G113" s="12">
        <f>G112</f>
        <v>200</v>
      </c>
      <c r="H113" s="12">
        <f>H111</f>
        <v>11271</v>
      </c>
      <c r="I113" s="12">
        <f>VLOOKUP(C113,Resources!B:G,6,FALSE)</f>
        <v>55</v>
      </c>
      <c r="J113" s="21">
        <f t="shared" si="163"/>
        <v>3099.5249999999996</v>
      </c>
      <c r="K113" s="21">
        <f t="shared" si="164"/>
        <v>56.354999999999997</v>
      </c>
      <c r="L113" s="24">
        <f t="shared" si="165"/>
        <v>56.354999999999997</v>
      </c>
      <c r="M113" s="24">
        <f t="shared" si="166"/>
        <v>0</v>
      </c>
      <c r="N113" s="24">
        <f t="shared" si="167"/>
        <v>0</v>
      </c>
      <c r="O113" s="24">
        <f t="shared" si="168"/>
        <v>3099.5249999999996</v>
      </c>
      <c r="P113" s="24">
        <f t="shared" si="169"/>
        <v>0</v>
      </c>
      <c r="Q113" s="24">
        <f t="shared" si="170"/>
        <v>3099.5249999999996</v>
      </c>
      <c r="R113" s="87">
        <v>61</v>
      </c>
      <c r="T113" s="235" t="str">
        <f t="shared" si="109"/>
        <v xml:space="preserve"> </v>
      </c>
    </row>
    <row r="114" spans="1:20" x14ac:dyDescent="0.25">
      <c r="A114" s="157"/>
      <c r="B114" s="6">
        <v>3</v>
      </c>
      <c r="C114" s="9" t="s">
        <v>81</v>
      </c>
      <c r="D114" s="6" t="s">
        <v>26</v>
      </c>
      <c r="E114" s="17" t="str">
        <f>VLOOKUP(C114,Resources!B:G,3,FALSE)</f>
        <v>P</v>
      </c>
      <c r="F114" s="12">
        <v>1</v>
      </c>
      <c r="G114" s="12">
        <f>G112</f>
        <v>200</v>
      </c>
      <c r="H114" s="12">
        <f>H111</f>
        <v>11271</v>
      </c>
      <c r="I114" s="12">
        <f>VLOOKUP(C114,Resources!B:G,6,FALSE)</f>
        <v>58</v>
      </c>
      <c r="J114" s="21">
        <f t="shared" si="163"/>
        <v>3268.5899999999997</v>
      </c>
      <c r="K114" s="21">
        <f t="shared" si="164"/>
        <v>56.354999999999997</v>
      </c>
      <c r="L114" s="24">
        <f t="shared" si="165"/>
        <v>56.354999999999997</v>
      </c>
      <c r="M114" s="24">
        <f t="shared" si="166"/>
        <v>0</v>
      </c>
      <c r="N114" s="24">
        <f t="shared" si="167"/>
        <v>0</v>
      </c>
      <c r="O114" s="24">
        <f t="shared" si="168"/>
        <v>3268.5899999999997</v>
      </c>
      <c r="P114" s="24">
        <f t="shared" si="169"/>
        <v>0</v>
      </c>
      <c r="Q114" s="24">
        <f t="shared" si="170"/>
        <v>3268.5899999999997</v>
      </c>
      <c r="R114" s="87">
        <v>61</v>
      </c>
      <c r="T114" s="235" t="str">
        <f t="shared" si="109"/>
        <v xml:space="preserve"> </v>
      </c>
    </row>
    <row r="115" spans="1:20" x14ac:dyDescent="0.25">
      <c r="A115" s="157"/>
      <c r="B115" s="6">
        <v>4</v>
      </c>
      <c r="C115" s="9" t="s">
        <v>28</v>
      </c>
      <c r="D115" s="6" t="s">
        <v>26</v>
      </c>
      <c r="E115" s="17" t="str">
        <f>VLOOKUP(C115,Resources!B:G,3,FALSE)</f>
        <v>P</v>
      </c>
      <c r="F115" s="12">
        <v>1</v>
      </c>
      <c r="G115" s="12">
        <f>G112</f>
        <v>200</v>
      </c>
      <c r="H115" s="12">
        <f>H111</f>
        <v>11271</v>
      </c>
      <c r="I115" s="12">
        <f>VLOOKUP(C115,Resources!B:G,6,FALSE)</f>
        <v>95</v>
      </c>
      <c r="J115" s="21">
        <f t="shared" si="163"/>
        <v>5353.7249999999995</v>
      </c>
      <c r="K115" s="21">
        <f t="shared" si="164"/>
        <v>56.354999999999997</v>
      </c>
      <c r="L115" s="24">
        <f t="shared" si="165"/>
        <v>56.354999999999997</v>
      </c>
      <c r="M115" s="24">
        <f t="shared" si="166"/>
        <v>0</v>
      </c>
      <c r="N115" s="24">
        <f t="shared" si="167"/>
        <v>0</v>
      </c>
      <c r="O115" s="24">
        <f t="shared" si="168"/>
        <v>5353.7249999999995</v>
      </c>
      <c r="P115" s="24">
        <f t="shared" si="169"/>
        <v>0</v>
      </c>
      <c r="Q115" s="24">
        <f t="shared" si="170"/>
        <v>5353.7249999999995</v>
      </c>
      <c r="R115" s="87">
        <v>61</v>
      </c>
      <c r="T115" s="235" t="str">
        <f t="shared" si="109"/>
        <v xml:space="preserve"> </v>
      </c>
    </row>
    <row r="116" spans="1:20" x14ac:dyDescent="0.25">
      <c r="A116" s="157"/>
      <c r="B116" s="6">
        <v>5</v>
      </c>
      <c r="C116" s="9" t="s">
        <v>8</v>
      </c>
      <c r="D116" s="6" t="s">
        <v>26</v>
      </c>
      <c r="E116" s="17" t="str">
        <f>VLOOKUP(C116,Resources!B:G,3,FALSE)</f>
        <v>L</v>
      </c>
      <c r="F116" s="12">
        <v>3</v>
      </c>
      <c r="G116" s="12">
        <f>G112</f>
        <v>200</v>
      </c>
      <c r="H116" s="12">
        <f>H111</f>
        <v>11271</v>
      </c>
      <c r="I116" s="12">
        <f>VLOOKUP(C116,Resources!B:G,6,FALSE)</f>
        <v>51.9</v>
      </c>
      <c r="J116" s="21">
        <f t="shared" si="163"/>
        <v>8774.4735000000001</v>
      </c>
      <c r="K116" s="21">
        <f t="shared" si="164"/>
        <v>169.065</v>
      </c>
      <c r="L116" s="24">
        <f t="shared" si="165"/>
        <v>56.354999999999997</v>
      </c>
      <c r="M116" s="24">
        <f t="shared" si="166"/>
        <v>8774.4735000000001</v>
      </c>
      <c r="N116" s="24">
        <f t="shared" si="167"/>
        <v>0</v>
      </c>
      <c r="O116" s="24">
        <f t="shared" si="168"/>
        <v>0</v>
      </c>
      <c r="P116" s="24">
        <f t="shared" si="169"/>
        <v>0</v>
      </c>
      <c r="Q116" s="24">
        <f t="shared" si="170"/>
        <v>8774.4735000000001</v>
      </c>
      <c r="R116" s="87">
        <v>61</v>
      </c>
      <c r="T116" s="235" t="str">
        <f t="shared" si="109"/>
        <v xml:space="preserve"> </v>
      </c>
    </row>
    <row r="117" spans="1:20" x14ac:dyDescent="0.25">
      <c r="A117" s="157"/>
      <c r="B117" s="6">
        <v>6</v>
      </c>
      <c r="C117" s="9" t="s">
        <v>82</v>
      </c>
      <c r="D117" s="6" t="s">
        <v>26</v>
      </c>
      <c r="E117" s="17" t="str">
        <f>VLOOKUP(C117,Resources!B:G,3,FALSE)</f>
        <v>P</v>
      </c>
      <c r="F117" s="12">
        <v>1</v>
      </c>
      <c r="G117" s="12">
        <f>G112*3</f>
        <v>600</v>
      </c>
      <c r="H117" s="12">
        <f>H111</f>
        <v>11271</v>
      </c>
      <c r="I117" s="12">
        <f>VLOOKUP(C117,Resources!B:G,6,FALSE)</f>
        <v>95</v>
      </c>
      <c r="J117" s="21">
        <f t="shared" si="163"/>
        <v>1784.575</v>
      </c>
      <c r="K117" s="21">
        <f t="shared" si="164"/>
        <v>18.785</v>
      </c>
      <c r="L117" s="24">
        <f t="shared" si="165"/>
        <v>18.785</v>
      </c>
      <c r="M117" s="24">
        <f t="shared" si="166"/>
        <v>0</v>
      </c>
      <c r="N117" s="24">
        <f t="shared" si="167"/>
        <v>0</v>
      </c>
      <c r="O117" s="24">
        <f t="shared" si="168"/>
        <v>1784.575</v>
      </c>
      <c r="P117" s="24">
        <f t="shared" si="169"/>
        <v>0</v>
      </c>
      <c r="Q117" s="24">
        <f t="shared" si="170"/>
        <v>1784.575</v>
      </c>
      <c r="R117" s="87">
        <v>61</v>
      </c>
      <c r="T117" s="235" t="str">
        <f t="shared" si="109"/>
        <v xml:space="preserve"> </v>
      </c>
    </row>
    <row r="118" spans="1:20" x14ac:dyDescent="0.25">
      <c r="A118" s="157"/>
      <c r="B118" s="6">
        <v>7</v>
      </c>
      <c r="C118" s="9" t="s">
        <v>27</v>
      </c>
      <c r="D118" s="6" t="s">
        <v>26</v>
      </c>
      <c r="E118" s="17" t="str">
        <f>VLOOKUP(C118,Resources!B:G,3,FALSE)</f>
        <v>P</v>
      </c>
      <c r="F118" s="12">
        <v>1</v>
      </c>
      <c r="G118" s="12">
        <f>G117</f>
        <v>600</v>
      </c>
      <c r="H118" s="12">
        <f>H111</f>
        <v>11271</v>
      </c>
      <c r="I118" s="12">
        <f>VLOOKUP(C118,Resources!B:G,6,FALSE)</f>
        <v>90</v>
      </c>
      <c r="J118" s="21">
        <f t="shared" si="163"/>
        <v>1690.65</v>
      </c>
      <c r="K118" s="21">
        <f t="shared" si="164"/>
        <v>18.785</v>
      </c>
      <c r="L118" s="24">
        <f t="shared" si="165"/>
        <v>18.785</v>
      </c>
      <c r="M118" s="24">
        <f t="shared" si="166"/>
        <v>0</v>
      </c>
      <c r="N118" s="24">
        <f t="shared" si="167"/>
        <v>0</v>
      </c>
      <c r="O118" s="24">
        <f t="shared" si="168"/>
        <v>1690.65</v>
      </c>
      <c r="P118" s="24">
        <f t="shared" si="169"/>
        <v>0</v>
      </c>
      <c r="Q118" s="24">
        <f t="shared" si="170"/>
        <v>1690.65</v>
      </c>
      <c r="R118" s="87">
        <v>61</v>
      </c>
      <c r="T118" s="235" t="str">
        <f t="shared" si="109"/>
        <v xml:space="preserve"> </v>
      </c>
    </row>
    <row r="119" spans="1:20" x14ac:dyDescent="0.25">
      <c r="F119" s="11"/>
      <c r="G119" s="11"/>
      <c r="H119" s="11"/>
      <c r="I119" s="11"/>
      <c r="J119" s="11"/>
      <c r="K119" s="11"/>
      <c r="R119" s="88"/>
      <c r="T119" s="235" t="str">
        <f t="shared" si="109"/>
        <v xml:space="preserve"> </v>
      </c>
    </row>
    <row r="120" spans="1:20" ht="45" x14ac:dyDescent="0.25">
      <c r="A120" s="156"/>
      <c r="B120" s="3" t="s">
        <v>90</v>
      </c>
      <c r="C120" s="3" t="s">
        <v>91</v>
      </c>
      <c r="D120" s="4"/>
      <c r="E120" s="15"/>
      <c r="F120" s="10"/>
      <c r="G120" s="10"/>
      <c r="H120" s="10"/>
      <c r="I120" s="10"/>
      <c r="J120" s="10"/>
      <c r="K120" s="10"/>
      <c r="L120" s="23"/>
      <c r="M120" s="23"/>
      <c r="N120" s="23"/>
      <c r="O120" s="23"/>
      <c r="P120" s="23"/>
      <c r="Q120" s="23"/>
      <c r="R120" s="86"/>
      <c r="T120" s="235" t="str">
        <f t="shared" si="109"/>
        <v xml:space="preserve"> </v>
      </c>
    </row>
    <row r="121" spans="1:20" ht="45" x14ac:dyDescent="0.25">
      <c r="A121" s="156">
        <v>23</v>
      </c>
      <c r="B121" s="3" t="s">
        <v>92</v>
      </c>
      <c r="C121" s="3" t="s">
        <v>558</v>
      </c>
      <c r="D121" s="4" t="s">
        <v>88</v>
      </c>
      <c r="E121" s="15"/>
      <c r="F121" s="10"/>
      <c r="G121" s="10"/>
      <c r="H121" s="26">
        <f>VLOOKUP($A121,'Model Inputs'!$A:$C,3,FALSE)</f>
        <v>7375</v>
      </c>
      <c r="I121" s="10"/>
      <c r="J121" s="10">
        <f>SUBTOTAL(9,J122:J128)</f>
        <v>15618.01515151515</v>
      </c>
      <c r="K121" s="10"/>
      <c r="L121" s="10">
        <f>ROUNDUP(MAX(L122:L128)/Workhrs,0)</f>
        <v>3</v>
      </c>
      <c r="M121" s="10">
        <f>SUBTOTAL(9,M122:M128)</f>
        <v>4175.590909090909</v>
      </c>
      <c r="N121" s="10">
        <f t="shared" ref="N121:Q121" si="171">SUBTOTAL(9,N122:N128)</f>
        <v>0</v>
      </c>
      <c r="O121" s="10">
        <f t="shared" si="171"/>
        <v>11442.424242424242</v>
      </c>
      <c r="P121" s="10">
        <f t="shared" si="171"/>
        <v>0</v>
      </c>
      <c r="Q121" s="10">
        <f t="shared" si="171"/>
        <v>15618.01515151515</v>
      </c>
      <c r="R121" s="86"/>
      <c r="T121" s="235" t="str">
        <f t="shared" si="109"/>
        <v xml:space="preserve"> </v>
      </c>
    </row>
    <row r="122" spans="1:20" x14ac:dyDescent="0.25">
      <c r="A122" s="157">
        <v>23.1</v>
      </c>
      <c r="B122" s="6">
        <v>1</v>
      </c>
      <c r="C122" s="9" t="s">
        <v>78</v>
      </c>
      <c r="D122" s="6" t="s">
        <v>26</v>
      </c>
      <c r="E122" s="17" t="str">
        <f>VLOOKUP(C122,Resources!B:G,3,FALSE)</f>
        <v>P</v>
      </c>
      <c r="F122" s="12">
        <v>1</v>
      </c>
      <c r="G122" s="26">
        <f>VLOOKUP($A122,'Model Inputs'!$A:$C,3,FALSE)</f>
        <v>275</v>
      </c>
      <c r="H122" s="12">
        <f>H121</f>
        <v>7375</v>
      </c>
      <c r="I122" s="12">
        <f>VLOOKUP(C122,Resources!B:G,6,FALSE)</f>
        <v>160</v>
      </c>
      <c r="J122" s="21">
        <f t="shared" ref="J122:J128" si="172">(H122/G122)*I122*F122</f>
        <v>4290.909090909091</v>
      </c>
      <c r="K122" s="21">
        <f t="shared" ref="K122:K128" si="173">IF(E122="M"," ",L122*F122)</f>
        <v>26.818181818181817</v>
      </c>
      <c r="L122" s="24">
        <f t="shared" ref="L122:L128" si="174">IF(E122="M"," ",H122/G122)</f>
        <v>26.818181818181817</v>
      </c>
      <c r="M122" s="24">
        <f t="shared" ref="M122:M128" si="175">IF($E122="L",$J122,0)</f>
        <v>0</v>
      </c>
      <c r="N122" s="24">
        <f t="shared" ref="N122:N128" si="176">IF($E122="M",$J122,0)</f>
        <v>0</v>
      </c>
      <c r="O122" s="24">
        <f t="shared" ref="O122:O128" si="177">IF($E122="P",$J122,0)</f>
        <v>4290.909090909091</v>
      </c>
      <c r="P122" s="24">
        <f t="shared" ref="P122:P128" si="178">IF($E122="S",$J122,0)</f>
        <v>0</v>
      </c>
      <c r="Q122" s="24">
        <f t="shared" ref="Q122:Q128" si="179">SUM(M122:P122)</f>
        <v>4290.909090909091</v>
      </c>
      <c r="R122" s="87">
        <v>63</v>
      </c>
      <c r="T122" s="235" t="str">
        <f t="shared" si="109"/>
        <v xml:space="preserve"> </v>
      </c>
    </row>
    <row r="123" spans="1:20" x14ac:dyDescent="0.25">
      <c r="A123" s="157"/>
      <c r="B123" s="6">
        <v>2</v>
      </c>
      <c r="C123" s="9" t="s">
        <v>89</v>
      </c>
      <c r="D123" s="6" t="s">
        <v>26</v>
      </c>
      <c r="E123" s="17" t="str">
        <f>VLOOKUP(C123,Resources!B:G,3,FALSE)</f>
        <v>P</v>
      </c>
      <c r="F123" s="12">
        <v>1</v>
      </c>
      <c r="G123" s="12">
        <f>G122</f>
        <v>275</v>
      </c>
      <c r="H123" s="12">
        <f>H121</f>
        <v>7375</v>
      </c>
      <c r="I123" s="12">
        <f>VLOOKUP(C123,Resources!B:G,6,FALSE)</f>
        <v>55</v>
      </c>
      <c r="J123" s="21">
        <f t="shared" si="172"/>
        <v>1475</v>
      </c>
      <c r="K123" s="21">
        <f t="shared" si="173"/>
        <v>26.818181818181817</v>
      </c>
      <c r="L123" s="24">
        <f t="shared" si="174"/>
        <v>26.818181818181817</v>
      </c>
      <c r="M123" s="24">
        <f t="shared" si="175"/>
        <v>0</v>
      </c>
      <c r="N123" s="24">
        <f t="shared" si="176"/>
        <v>0</v>
      </c>
      <c r="O123" s="24">
        <f t="shared" si="177"/>
        <v>1475</v>
      </c>
      <c r="P123" s="24">
        <f t="shared" si="178"/>
        <v>0</v>
      </c>
      <c r="Q123" s="24">
        <f t="shared" si="179"/>
        <v>1475</v>
      </c>
      <c r="R123" s="87">
        <v>63</v>
      </c>
      <c r="T123" s="235" t="str">
        <f t="shared" si="109"/>
        <v xml:space="preserve"> </v>
      </c>
    </row>
    <row r="124" spans="1:20" x14ac:dyDescent="0.25">
      <c r="A124" s="157"/>
      <c r="B124" s="6">
        <v>3</v>
      </c>
      <c r="C124" s="9" t="s">
        <v>490</v>
      </c>
      <c r="D124" s="6" t="s">
        <v>26</v>
      </c>
      <c r="E124" s="17" t="str">
        <f>VLOOKUP(C124,Resources!B:G,3,FALSE)</f>
        <v>P</v>
      </c>
      <c r="F124" s="12">
        <v>1</v>
      </c>
      <c r="G124" s="12">
        <f>G122</f>
        <v>275</v>
      </c>
      <c r="H124" s="12">
        <f>H121</f>
        <v>7375</v>
      </c>
      <c r="I124" s="12">
        <f>VLOOKUP(C124,Resources!B:G,6,FALSE)</f>
        <v>55</v>
      </c>
      <c r="J124" s="21">
        <f t="shared" si="172"/>
        <v>1475</v>
      </c>
      <c r="K124" s="21">
        <f t="shared" si="173"/>
        <v>26.818181818181817</v>
      </c>
      <c r="L124" s="24">
        <f t="shared" si="174"/>
        <v>26.818181818181817</v>
      </c>
      <c r="M124" s="24">
        <f t="shared" si="175"/>
        <v>0</v>
      </c>
      <c r="N124" s="24">
        <f t="shared" si="176"/>
        <v>0</v>
      </c>
      <c r="O124" s="24">
        <f t="shared" si="177"/>
        <v>1475</v>
      </c>
      <c r="P124" s="24">
        <f t="shared" si="178"/>
        <v>0</v>
      </c>
      <c r="Q124" s="24">
        <f t="shared" si="179"/>
        <v>1475</v>
      </c>
      <c r="R124" s="87">
        <v>63</v>
      </c>
      <c r="T124" s="235" t="str">
        <f t="shared" si="109"/>
        <v xml:space="preserve"> </v>
      </c>
    </row>
    <row r="125" spans="1:20" x14ac:dyDescent="0.25">
      <c r="A125" s="157"/>
      <c r="B125" s="6">
        <v>4</v>
      </c>
      <c r="C125" s="9" t="s">
        <v>28</v>
      </c>
      <c r="D125" s="6" t="s">
        <v>26</v>
      </c>
      <c r="E125" s="17" t="str">
        <f>VLOOKUP(C125,Resources!B:G,3,FALSE)</f>
        <v>P</v>
      </c>
      <c r="F125" s="12">
        <v>1</v>
      </c>
      <c r="G125" s="12">
        <f>G122</f>
        <v>275</v>
      </c>
      <c r="H125" s="12">
        <f>H121</f>
        <v>7375</v>
      </c>
      <c r="I125" s="12">
        <f>VLOOKUP(C125,Resources!B:G,6,FALSE)</f>
        <v>95</v>
      </c>
      <c r="J125" s="21">
        <f t="shared" si="172"/>
        <v>2547.7272727272725</v>
      </c>
      <c r="K125" s="21">
        <f t="shared" si="173"/>
        <v>26.818181818181817</v>
      </c>
      <c r="L125" s="24">
        <f t="shared" si="174"/>
        <v>26.818181818181817</v>
      </c>
      <c r="M125" s="24">
        <f t="shared" si="175"/>
        <v>0</v>
      </c>
      <c r="N125" s="24">
        <f t="shared" si="176"/>
        <v>0</v>
      </c>
      <c r="O125" s="24">
        <f t="shared" si="177"/>
        <v>2547.7272727272725</v>
      </c>
      <c r="P125" s="24">
        <f t="shared" si="178"/>
        <v>0</v>
      </c>
      <c r="Q125" s="24">
        <f t="shared" si="179"/>
        <v>2547.7272727272725</v>
      </c>
      <c r="R125" s="87">
        <v>63</v>
      </c>
      <c r="T125" s="235" t="str">
        <f t="shared" si="109"/>
        <v xml:space="preserve"> </v>
      </c>
    </row>
    <row r="126" spans="1:20" x14ac:dyDescent="0.25">
      <c r="A126" s="157"/>
      <c r="B126" s="6">
        <v>5</v>
      </c>
      <c r="C126" s="9" t="s">
        <v>8</v>
      </c>
      <c r="D126" s="6" t="s">
        <v>26</v>
      </c>
      <c r="E126" s="17" t="str">
        <f>VLOOKUP(C126,Resources!B:G,3,FALSE)</f>
        <v>L</v>
      </c>
      <c r="F126" s="12">
        <v>3</v>
      </c>
      <c r="G126" s="12">
        <f>G122</f>
        <v>275</v>
      </c>
      <c r="H126" s="12">
        <f>H121</f>
        <v>7375</v>
      </c>
      <c r="I126" s="12">
        <f>VLOOKUP(C126,Resources!B:G,6,FALSE)</f>
        <v>51.9</v>
      </c>
      <c r="J126" s="21">
        <f t="shared" si="172"/>
        <v>4175.590909090909</v>
      </c>
      <c r="K126" s="21">
        <f t="shared" si="173"/>
        <v>80.454545454545453</v>
      </c>
      <c r="L126" s="24">
        <f t="shared" si="174"/>
        <v>26.818181818181817</v>
      </c>
      <c r="M126" s="24">
        <f t="shared" si="175"/>
        <v>4175.590909090909</v>
      </c>
      <c r="N126" s="24">
        <f t="shared" si="176"/>
        <v>0</v>
      </c>
      <c r="O126" s="24">
        <f t="shared" si="177"/>
        <v>0</v>
      </c>
      <c r="P126" s="24">
        <f t="shared" si="178"/>
        <v>0</v>
      </c>
      <c r="Q126" s="24">
        <f t="shared" si="179"/>
        <v>4175.590909090909</v>
      </c>
      <c r="R126" s="87">
        <v>63</v>
      </c>
      <c r="T126" s="235" t="str">
        <f t="shared" si="109"/>
        <v xml:space="preserve"> </v>
      </c>
    </row>
    <row r="127" spans="1:20" x14ac:dyDescent="0.25">
      <c r="A127" s="157"/>
      <c r="B127" s="6">
        <v>6</v>
      </c>
      <c r="C127" s="9" t="s">
        <v>82</v>
      </c>
      <c r="D127" s="6" t="s">
        <v>26</v>
      </c>
      <c r="E127" s="17" t="str">
        <f>VLOOKUP(C127,Resources!B:G,3,FALSE)</f>
        <v>P</v>
      </c>
      <c r="F127" s="12">
        <v>1</v>
      </c>
      <c r="G127" s="12">
        <f>G122*3</f>
        <v>825</v>
      </c>
      <c r="H127" s="12">
        <f>H121</f>
        <v>7375</v>
      </c>
      <c r="I127" s="12">
        <f>VLOOKUP(C127,Resources!B:G,6,FALSE)</f>
        <v>95</v>
      </c>
      <c r="J127" s="21">
        <f t="shared" si="172"/>
        <v>849.24242424242425</v>
      </c>
      <c r="K127" s="21">
        <f t="shared" si="173"/>
        <v>8.9393939393939394</v>
      </c>
      <c r="L127" s="24">
        <f t="shared" si="174"/>
        <v>8.9393939393939394</v>
      </c>
      <c r="M127" s="24">
        <f t="shared" si="175"/>
        <v>0</v>
      </c>
      <c r="N127" s="24">
        <f t="shared" si="176"/>
        <v>0</v>
      </c>
      <c r="O127" s="24">
        <f t="shared" si="177"/>
        <v>849.24242424242425</v>
      </c>
      <c r="P127" s="24">
        <f t="shared" si="178"/>
        <v>0</v>
      </c>
      <c r="Q127" s="24">
        <f t="shared" si="179"/>
        <v>849.24242424242425</v>
      </c>
      <c r="R127" s="87">
        <v>63</v>
      </c>
      <c r="T127" s="235" t="str">
        <f t="shared" si="109"/>
        <v xml:space="preserve"> </v>
      </c>
    </row>
    <row r="128" spans="1:20" x14ac:dyDescent="0.25">
      <c r="A128" s="157"/>
      <c r="B128" s="6">
        <v>7</v>
      </c>
      <c r="C128" s="9" t="s">
        <v>27</v>
      </c>
      <c r="D128" s="6" t="s">
        <v>26</v>
      </c>
      <c r="E128" s="17" t="str">
        <f>VLOOKUP(C128,Resources!B:G,3,FALSE)</f>
        <v>P</v>
      </c>
      <c r="F128" s="12">
        <v>1</v>
      </c>
      <c r="G128" s="12">
        <f>G127</f>
        <v>825</v>
      </c>
      <c r="H128" s="12">
        <f>H121</f>
        <v>7375</v>
      </c>
      <c r="I128" s="12">
        <f>VLOOKUP(C128,Resources!B:G,6,FALSE)</f>
        <v>90</v>
      </c>
      <c r="J128" s="21">
        <f t="shared" si="172"/>
        <v>804.5454545454545</v>
      </c>
      <c r="K128" s="21">
        <f t="shared" si="173"/>
        <v>8.9393939393939394</v>
      </c>
      <c r="L128" s="24">
        <f t="shared" si="174"/>
        <v>8.9393939393939394</v>
      </c>
      <c r="M128" s="24">
        <f t="shared" si="175"/>
        <v>0</v>
      </c>
      <c r="N128" s="24">
        <f t="shared" si="176"/>
        <v>0</v>
      </c>
      <c r="O128" s="24">
        <f t="shared" si="177"/>
        <v>804.5454545454545</v>
      </c>
      <c r="P128" s="24">
        <f t="shared" si="178"/>
        <v>0</v>
      </c>
      <c r="Q128" s="24">
        <f t="shared" si="179"/>
        <v>804.5454545454545</v>
      </c>
      <c r="R128" s="87">
        <v>63</v>
      </c>
      <c r="T128" s="235" t="str">
        <f t="shared" si="109"/>
        <v xml:space="preserve"> </v>
      </c>
    </row>
    <row r="129" spans="1:21" x14ac:dyDescent="0.25">
      <c r="F129" s="11"/>
      <c r="G129" s="11"/>
      <c r="H129" s="11"/>
      <c r="I129" s="11"/>
      <c r="J129" s="11"/>
      <c r="K129" s="11"/>
      <c r="R129" s="88"/>
      <c r="T129" s="235" t="str">
        <f t="shared" si="109"/>
        <v xml:space="preserve"> </v>
      </c>
    </row>
    <row r="130" spans="1:21" ht="30" x14ac:dyDescent="0.25">
      <c r="A130" s="156"/>
      <c r="B130" s="3" t="s">
        <v>93</v>
      </c>
      <c r="C130" s="3" t="s">
        <v>94</v>
      </c>
      <c r="D130" s="4"/>
      <c r="E130" s="15"/>
      <c r="F130" s="10"/>
      <c r="G130" s="10"/>
      <c r="H130" s="10"/>
      <c r="I130" s="10"/>
      <c r="J130" s="10"/>
      <c r="K130" s="10"/>
      <c r="L130" s="23"/>
      <c r="M130" s="23"/>
      <c r="N130" s="23"/>
      <c r="O130" s="23"/>
      <c r="P130" s="23"/>
      <c r="Q130" s="23"/>
      <c r="R130" s="86"/>
      <c r="T130" s="235" t="str">
        <f t="shared" si="109"/>
        <v xml:space="preserve"> </v>
      </c>
    </row>
    <row r="131" spans="1:21" ht="30" x14ac:dyDescent="0.25">
      <c r="A131" s="156"/>
      <c r="B131" s="3" t="s">
        <v>95</v>
      </c>
      <c r="C131" s="3" t="s">
        <v>96</v>
      </c>
      <c r="D131" s="4"/>
      <c r="E131" s="15"/>
      <c r="F131" s="10"/>
      <c r="G131" s="10"/>
      <c r="H131" s="10"/>
      <c r="I131" s="10"/>
      <c r="J131" s="10"/>
      <c r="K131" s="10"/>
      <c r="L131" s="23"/>
      <c r="M131" s="23"/>
      <c r="N131" s="23"/>
      <c r="O131" s="23"/>
      <c r="P131" s="23"/>
      <c r="Q131" s="23"/>
      <c r="R131" s="86"/>
      <c r="T131" s="235" t="str">
        <f t="shared" si="109"/>
        <v xml:space="preserve"> </v>
      </c>
    </row>
    <row r="132" spans="1:21" ht="30" x14ac:dyDescent="0.25">
      <c r="A132" s="156"/>
      <c r="B132" s="3" t="s">
        <v>97</v>
      </c>
      <c r="C132" s="3" t="s">
        <v>98</v>
      </c>
      <c r="D132" s="4"/>
      <c r="E132" s="15"/>
      <c r="F132" s="10"/>
      <c r="G132" s="10"/>
      <c r="H132" s="10"/>
      <c r="I132" s="10"/>
      <c r="J132" s="10"/>
      <c r="K132" s="10"/>
      <c r="L132" s="23"/>
      <c r="M132" s="23"/>
      <c r="N132" s="23"/>
      <c r="O132" s="23"/>
      <c r="P132" s="23"/>
      <c r="Q132" s="23"/>
      <c r="R132" s="86"/>
      <c r="T132" s="235" t="str">
        <f t="shared" si="109"/>
        <v xml:space="preserve"> </v>
      </c>
    </row>
    <row r="133" spans="1:21" ht="60" x14ac:dyDescent="0.25">
      <c r="A133" s="156">
        <v>24</v>
      </c>
      <c r="B133" s="3" t="s">
        <v>99</v>
      </c>
      <c r="C133" s="3" t="s">
        <v>559</v>
      </c>
      <c r="D133" s="4" t="s">
        <v>74</v>
      </c>
      <c r="E133" s="15"/>
      <c r="F133" s="10"/>
      <c r="G133" s="10"/>
      <c r="H133" s="26">
        <f>VLOOKUP($A133,'Model Inputs'!$A:$C,3,FALSE)</f>
        <v>1231</v>
      </c>
      <c r="I133" s="10"/>
      <c r="J133" s="10">
        <f>SUBTOTAL(9,J134:J138,J140:J141)</f>
        <v>131510.40742500001</v>
      </c>
      <c r="K133" s="10"/>
      <c r="L133" s="10">
        <f>ROUNDUP(MAX(L134:L138,L140:L141)/Workhrs,0)</f>
        <v>5</v>
      </c>
      <c r="M133" s="10">
        <f>SUBTOTAL(9,M134:M138,M140:M141)</f>
        <v>6756.2511749999985</v>
      </c>
      <c r="N133" s="10">
        <f t="shared" ref="N133:Q133" si="180">SUBTOTAL(9,N134:N138,N140:N141)</f>
        <v>97633.6875</v>
      </c>
      <c r="O133" s="10">
        <f t="shared" si="180"/>
        <v>27120.468749999996</v>
      </c>
      <c r="P133" s="10">
        <f t="shared" si="180"/>
        <v>0</v>
      </c>
      <c r="Q133" s="10">
        <f t="shared" si="180"/>
        <v>131510.40742500001</v>
      </c>
      <c r="R133" s="86"/>
      <c r="T133" s="235" t="str">
        <f t="shared" si="109"/>
        <v xml:space="preserve"> </v>
      </c>
    </row>
    <row r="134" spans="1:21" x14ac:dyDescent="0.25">
      <c r="A134" s="157"/>
      <c r="B134" s="6">
        <v>1</v>
      </c>
      <c r="C134" s="9" t="s">
        <v>198</v>
      </c>
      <c r="D134" s="6" t="s">
        <v>100</v>
      </c>
      <c r="E134" s="17" t="str">
        <f>VLOOKUP(C134,Resources!B:G,3,FALSE)</f>
        <v>M</v>
      </c>
      <c r="F134" s="12">
        <v>1</v>
      </c>
      <c r="G134" s="12">
        <v>1</v>
      </c>
      <c r="H134" s="12">
        <f>H133*2.35</f>
        <v>2892.85</v>
      </c>
      <c r="I134" s="12">
        <f>VLOOKUP(C134,Resources!B:G,6,FALSE)</f>
        <v>33.75</v>
      </c>
      <c r="J134" s="21">
        <f t="shared" ref="J134:J138" si="181">(H134/G134)*I134*F134</f>
        <v>97633.6875</v>
      </c>
      <c r="K134" s="21" t="str">
        <f t="shared" ref="K134:K138" si="182">IF(E134="M"," ",L134*F134)</f>
        <v xml:space="preserve"> </v>
      </c>
      <c r="L134" s="24" t="str">
        <f t="shared" ref="L134:L138" si="183">IF(E134="M"," ",H134/G134)</f>
        <v xml:space="preserve"> </v>
      </c>
      <c r="M134" s="24">
        <f t="shared" ref="M134:M138" si="184">IF($E134="L",$J134,0)</f>
        <v>0</v>
      </c>
      <c r="N134" s="24">
        <f t="shared" ref="N134:N138" si="185">IF($E134="M",$J134,0)</f>
        <v>97633.6875</v>
      </c>
      <c r="O134" s="24">
        <f t="shared" ref="O134:O138" si="186">IF($E134="P",$J134,0)</f>
        <v>0</v>
      </c>
      <c r="P134" s="24">
        <f t="shared" ref="P134:P138" si="187">IF($E134="S",$J134,0)</f>
        <v>0</v>
      </c>
      <c r="Q134" s="24">
        <f t="shared" ref="Q134:Q138" si="188">SUM(M134:P134)</f>
        <v>97633.6875</v>
      </c>
      <c r="R134" s="87" t="s">
        <v>539</v>
      </c>
      <c r="T134" s="235" t="str">
        <f t="shared" si="109"/>
        <v xml:space="preserve"> </v>
      </c>
    </row>
    <row r="135" spans="1:21" x14ac:dyDescent="0.25">
      <c r="A135" s="157">
        <v>24.1</v>
      </c>
      <c r="B135" s="6">
        <v>2</v>
      </c>
      <c r="C135" s="9" t="s">
        <v>78</v>
      </c>
      <c r="D135" s="6" t="s">
        <v>26</v>
      </c>
      <c r="E135" s="17" t="str">
        <f>VLOOKUP(C135,Resources!B:G,3,FALSE)</f>
        <v>P</v>
      </c>
      <c r="F135" s="12">
        <v>1</v>
      </c>
      <c r="G135" s="26">
        <f>VLOOKUP($A135,'Model Inputs'!$A:$C,3,FALSE)</f>
        <v>66.666666666666671</v>
      </c>
      <c r="H135" s="12">
        <f>H134</f>
        <v>2892.85</v>
      </c>
      <c r="I135" s="12">
        <f>VLOOKUP(C135,Resources!B:G,6,FALSE)</f>
        <v>160</v>
      </c>
      <c r="J135" s="21">
        <f t="shared" si="181"/>
        <v>6942.8399999999983</v>
      </c>
      <c r="K135" s="21">
        <f t="shared" si="182"/>
        <v>43.392749999999992</v>
      </c>
      <c r="L135" s="24">
        <f t="shared" si="183"/>
        <v>43.392749999999992</v>
      </c>
      <c r="M135" s="24">
        <f t="shared" si="184"/>
        <v>0</v>
      </c>
      <c r="N135" s="24">
        <f t="shared" si="185"/>
        <v>0</v>
      </c>
      <c r="O135" s="24">
        <f t="shared" si="186"/>
        <v>6942.8399999999983</v>
      </c>
      <c r="P135" s="24">
        <f t="shared" si="187"/>
        <v>0</v>
      </c>
      <c r="Q135" s="24">
        <f t="shared" si="188"/>
        <v>6942.8399999999983</v>
      </c>
      <c r="R135" s="87">
        <v>62</v>
      </c>
      <c r="T135" s="235" t="str">
        <f t="shared" si="109"/>
        <v xml:space="preserve"> </v>
      </c>
    </row>
    <row r="136" spans="1:21" x14ac:dyDescent="0.25">
      <c r="A136" s="157"/>
      <c r="B136" s="6">
        <v>3</v>
      </c>
      <c r="C136" s="9" t="s">
        <v>89</v>
      </c>
      <c r="D136" s="6" t="s">
        <v>26</v>
      </c>
      <c r="E136" s="17" t="str">
        <f>VLOOKUP(C136,Resources!B:G,3,FALSE)</f>
        <v>P</v>
      </c>
      <c r="F136" s="12">
        <v>1</v>
      </c>
      <c r="G136" s="12">
        <f>G135</f>
        <v>66.666666666666671</v>
      </c>
      <c r="H136" s="12">
        <f>H134</f>
        <v>2892.85</v>
      </c>
      <c r="I136" s="12">
        <f>VLOOKUP(C136,Resources!B:G,6,FALSE)</f>
        <v>55</v>
      </c>
      <c r="J136" s="21">
        <f t="shared" si="181"/>
        <v>2386.6012499999997</v>
      </c>
      <c r="K136" s="21">
        <f t="shared" si="182"/>
        <v>43.392749999999992</v>
      </c>
      <c r="L136" s="24">
        <f t="shared" si="183"/>
        <v>43.392749999999992</v>
      </c>
      <c r="M136" s="24">
        <f t="shared" si="184"/>
        <v>0</v>
      </c>
      <c r="N136" s="24">
        <f t="shared" si="185"/>
        <v>0</v>
      </c>
      <c r="O136" s="24">
        <f t="shared" si="186"/>
        <v>2386.6012499999997</v>
      </c>
      <c r="P136" s="24">
        <f t="shared" si="187"/>
        <v>0</v>
      </c>
      <c r="Q136" s="24">
        <f t="shared" si="188"/>
        <v>2386.6012499999997</v>
      </c>
      <c r="R136" s="87">
        <v>62</v>
      </c>
      <c r="T136" s="235" t="str">
        <f t="shared" ref="T136:T199" si="189">IF(R136=$U$7,"y"," ")</f>
        <v xml:space="preserve"> </v>
      </c>
    </row>
    <row r="137" spans="1:21" x14ac:dyDescent="0.25">
      <c r="A137" s="157"/>
      <c r="B137" s="6">
        <v>4</v>
      </c>
      <c r="C137" s="9" t="s">
        <v>28</v>
      </c>
      <c r="D137" s="6" t="s">
        <v>26</v>
      </c>
      <c r="E137" s="17" t="str">
        <f>VLOOKUP(C137,Resources!B:G,3,FALSE)</f>
        <v>P</v>
      </c>
      <c r="F137" s="12">
        <v>1</v>
      </c>
      <c r="G137" s="12">
        <f>G135</f>
        <v>66.666666666666671</v>
      </c>
      <c r="H137" s="12">
        <f>H134</f>
        <v>2892.85</v>
      </c>
      <c r="I137" s="12">
        <f>VLOOKUP(C137,Resources!B:G,6,FALSE)</f>
        <v>95</v>
      </c>
      <c r="J137" s="21">
        <f t="shared" si="181"/>
        <v>4122.3112499999988</v>
      </c>
      <c r="K137" s="21">
        <f t="shared" si="182"/>
        <v>43.392749999999992</v>
      </c>
      <c r="L137" s="24">
        <f t="shared" si="183"/>
        <v>43.392749999999992</v>
      </c>
      <c r="M137" s="24">
        <f t="shared" si="184"/>
        <v>0</v>
      </c>
      <c r="N137" s="24">
        <f t="shared" si="185"/>
        <v>0</v>
      </c>
      <c r="O137" s="24">
        <f t="shared" si="186"/>
        <v>4122.3112499999988</v>
      </c>
      <c r="P137" s="24">
        <f t="shared" si="187"/>
        <v>0</v>
      </c>
      <c r="Q137" s="24">
        <f t="shared" si="188"/>
        <v>4122.3112499999988</v>
      </c>
      <c r="R137" s="87">
        <v>62</v>
      </c>
      <c r="T137" s="235" t="str">
        <f t="shared" si="189"/>
        <v xml:space="preserve"> </v>
      </c>
    </row>
    <row r="138" spans="1:21" x14ac:dyDescent="0.25">
      <c r="A138" s="157"/>
      <c r="B138" s="6">
        <v>5</v>
      </c>
      <c r="C138" s="9" t="s">
        <v>8</v>
      </c>
      <c r="D138" s="6" t="s">
        <v>26</v>
      </c>
      <c r="E138" s="17" t="str">
        <f>VLOOKUP(C138,Resources!B:G,3,FALSE)</f>
        <v>L</v>
      </c>
      <c r="F138" s="12">
        <v>3</v>
      </c>
      <c r="G138" s="12">
        <f>G135</f>
        <v>66.666666666666671</v>
      </c>
      <c r="H138" s="12">
        <f>H134</f>
        <v>2892.85</v>
      </c>
      <c r="I138" s="12">
        <f>VLOOKUP(C138,Resources!B:G,6,FALSE)</f>
        <v>51.9</v>
      </c>
      <c r="J138" s="21">
        <f t="shared" si="181"/>
        <v>6756.2511749999985</v>
      </c>
      <c r="K138" s="21">
        <f t="shared" si="182"/>
        <v>130.17824999999999</v>
      </c>
      <c r="L138" s="24">
        <f t="shared" si="183"/>
        <v>43.392749999999992</v>
      </c>
      <c r="M138" s="24">
        <f t="shared" si="184"/>
        <v>6756.2511749999985</v>
      </c>
      <c r="N138" s="24">
        <f t="shared" si="185"/>
        <v>0</v>
      </c>
      <c r="O138" s="24">
        <f t="shared" si="186"/>
        <v>0</v>
      </c>
      <c r="P138" s="24">
        <f t="shared" si="187"/>
        <v>0</v>
      </c>
      <c r="Q138" s="24">
        <f t="shared" si="188"/>
        <v>6756.2511749999985</v>
      </c>
      <c r="R138" s="87">
        <v>62</v>
      </c>
      <c r="T138" s="235" t="str">
        <f t="shared" si="189"/>
        <v xml:space="preserve"> </v>
      </c>
    </row>
    <row r="139" spans="1:21" s="18" customFormat="1" ht="30" x14ac:dyDescent="0.25">
      <c r="A139" s="157"/>
      <c r="B139" s="6">
        <v>6</v>
      </c>
      <c r="C139" s="9" t="s">
        <v>101</v>
      </c>
      <c r="D139" s="6"/>
      <c r="E139" s="17"/>
      <c r="F139" s="12"/>
      <c r="G139" s="12"/>
      <c r="H139" s="12"/>
      <c r="I139" s="12"/>
      <c r="J139" s="21"/>
      <c r="K139" s="21"/>
      <c r="L139" s="24"/>
      <c r="M139" s="24"/>
      <c r="N139" s="24"/>
      <c r="O139" s="24"/>
      <c r="P139" s="24"/>
      <c r="Q139" s="24"/>
      <c r="R139" s="87"/>
      <c r="T139" s="235" t="str">
        <f t="shared" si="189"/>
        <v xml:space="preserve"> </v>
      </c>
      <c r="U139" s="232"/>
    </row>
    <row r="140" spans="1:21" x14ac:dyDescent="0.25">
      <c r="A140" s="157"/>
      <c r="B140" s="6">
        <v>7</v>
      </c>
      <c r="C140" s="9" t="s">
        <v>70</v>
      </c>
      <c r="D140" s="6" t="s">
        <v>26</v>
      </c>
      <c r="E140" s="17" t="str">
        <f>VLOOKUP(C140,Resources!B:G,3,FALSE)</f>
        <v>P</v>
      </c>
      <c r="F140" s="12">
        <v>1</v>
      </c>
      <c r="G140" s="12">
        <f>G135</f>
        <v>66.666666666666671</v>
      </c>
      <c r="H140" s="12">
        <f>H134</f>
        <v>2892.85</v>
      </c>
      <c r="I140" s="12">
        <f>VLOOKUP(C140,Resources!B:G,6,FALSE)</f>
        <v>135</v>
      </c>
      <c r="J140" s="21">
        <f t="shared" ref="J140:J141" si="190">(H140/G140)*I140*F140</f>
        <v>5858.0212499999989</v>
      </c>
      <c r="K140" s="21">
        <f t="shared" ref="K140:K141" si="191">IF(E140="M"," ",L140*F140)</f>
        <v>43.392749999999992</v>
      </c>
      <c r="L140" s="24">
        <f t="shared" ref="L140:L141" si="192">IF(E140="M"," ",H140/G140)</f>
        <v>43.392749999999992</v>
      </c>
      <c r="M140" s="24">
        <f t="shared" ref="M140:M141" si="193">IF($E140="L",$J140,0)</f>
        <v>0</v>
      </c>
      <c r="N140" s="24">
        <f t="shared" ref="N140:N141" si="194">IF($E140="M",$J140,0)</f>
        <v>0</v>
      </c>
      <c r="O140" s="24">
        <f t="shared" ref="O140:O141" si="195">IF($E140="P",$J140,0)</f>
        <v>5858.0212499999989</v>
      </c>
      <c r="P140" s="24">
        <f t="shared" ref="P140:P141" si="196">IF($E140="S",$J140,0)</f>
        <v>0</v>
      </c>
      <c r="Q140" s="24">
        <f t="shared" ref="Q140:Q141" si="197">SUM(M140:P140)</f>
        <v>5858.0212499999989</v>
      </c>
      <c r="R140" s="87">
        <v>62</v>
      </c>
      <c r="T140" s="235" t="str">
        <f t="shared" si="189"/>
        <v xml:space="preserve"> </v>
      </c>
    </row>
    <row r="141" spans="1:21" x14ac:dyDescent="0.25">
      <c r="A141" s="157"/>
      <c r="B141" s="6">
        <v>8</v>
      </c>
      <c r="C141" s="9" t="s">
        <v>27</v>
      </c>
      <c r="D141" s="6" t="s">
        <v>26</v>
      </c>
      <c r="E141" s="17" t="str">
        <f>VLOOKUP(C141,Resources!B:G,3,FALSE)</f>
        <v>P</v>
      </c>
      <c r="F141" s="12">
        <v>2</v>
      </c>
      <c r="G141" s="12">
        <f>G135</f>
        <v>66.666666666666671</v>
      </c>
      <c r="H141" s="12">
        <f>H134</f>
        <v>2892.85</v>
      </c>
      <c r="I141" s="12">
        <f>VLOOKUP(C141,Resources!B:G,6,FALSE)</f>
        <v>90</v>
      </c>
      <c r="J141" s="21">
        <f t="shared" si="190"/>
        <v>7810.6949999999988</v>
      </c>
      <c r="K141" s="21">
        <f t="shared" si="191"/>
        <v>86.785499999999985</v>
      </c>
      <c r="L141" s="24">
        <f t="shared" si="192"/>
        <v>43.392749999999992</v>
      </c>
      <c r="M141" s="24">
        <f t="shared" si="193"/>
        <v>0</v>
      </c>
      <c r="N141" s="24">
        <f t="shared" si="194"/>
        <v>0</v>
      </c>
      <c r="O141" s="24">
        <f t="shared" si="195"/>
        <v>7810.6949999999988</v>
      </c>
      <c r="P141" s="24">
        <f t="shared" si="196"/>
        <v>0</v>
      </c>
      <c r="Q141" s="24">
        <f t="shared" si="197"/>
        <v>7810.6949999999988</v>
      </c>
      <c r="R141" s="87">
        <v>62</v>
      </c>
      <c r="T141" s="235" t="str">
        <f t="shared" si="189"/>
        <v xml:space="preserve"> </v>
      </c>
    </row>
    <row r="142" spans="1:21" x14ac:dyDescent="0.25">
      <c r="F142" s="11"/>
      <c r="G142" s="11"/>
      <c r="H142" s="11"/>
      <c r="I142" s="11"/>
      <c r="J142" s="11"/>
      <c r="K142" s="11"/>
      <c r="R142" s="88"/>
      <c r="T142" s="235" t="str">
        <f t="shared" si="189"/>
        <v xml:space="preserve"> </v>
      </c>
    </row>
    <row r="143" spans="1:21" ht="60" x14ac:dyDescent="0.25">
      <c r="A143" s="156">
        <v>25</v>
      </c>
      <c r="B143" s="3" t="s">
        <v>102</v>
      </c>
      <c r="C143" s="3" t="s">
        <v>560</v>
      </c>
      <c r="D143" s="4" t="s">
        <v>74</v>
      </c>
      <c r="E143" s="15"/>
      <c r="F143" s="10"/>
      <c r="G143" s="10"/>
      <c r="H143" s="26">
        <f>VLOOKUP($A143,'Model Inputs'!$A:$C,3,FALSE)</f>
        <v>2032</v>
      </c>
      <c r="I143" s="10"/>
      <c r="J143" s="10">
        <f>SUBTOTAL(9,J144:J148,J150:J151)</f>
        <v>211113.97960000002</v>
      </c>
      <c r="K143" s="10"/>
      <c r="L143" s="10">
        <f>ROUNDUP(MAX(L144:L148,L150:L151)/Workhrs,0)</f>
        <v>8</v>
      </c>
      <c r="M143" s="10">
        <f>SUBTOTAL(9,M144:M148,M150:M151)</f>
        <v>11152.479599999997</v>
      </c>
      <c r="N143" s="10">
        <f t="shared" ref="N143" si="198">SUBTOTAL(9,N144:N148,N150:N151)</f>
        <v>155194</v>
      </c>
      <c r="O143" s="10">
        <f t="shared" ref="O143" si="199">SUBTOTAL(9,O144:O148,O150:O151)</f>
        <v>44767.499999999993</v>
      </c>
      <c r="P143" s="10">
        <f t="shared" ref="P143" si="200">SUBTOTAL(9,P144:P148,P150:P151)</f>
        <v>0</v>
      </c>
      <c r="Q143" s="10">
        <f t="shared" ref="Q143" si="201">SUBTOTAL(9,Q144:Q148,Q150:Q151)</f>
        <v>211113.97960000002</v>
      </c>
      <c r="R143" s="86"/>
      <c r="T143" s="235" t="str">
        <f t="shared" si="189"/>
        <v xml:space="preserve"> </v>
      </c>
    </row>
    <row r="144" spans="1:21" x14ac:dyDescent="0.25">
      <c r="A144" s="157"/>
      <c r="B144" s="6">
        <v>1</v>
      </c>
      <c r="C144" s="9" t="s">
        <v>103</v>
      </c>
      <c r="D144" s="6" t="s">
        <v>100</v>
      </c>
      <c r="E144" s="17" t="str">
        <f>VLOOKUP(C144,Resources!B:G,3,FALSE)</f>
        <v>M</v>
      </c>
      <c r="F144" s="12">
        <v>1</v>
      </c>
      <c r="G144" s="12">
        <v>1</v>
      </c>
      <c r="H144" s="12">
        <f>H143*2.35</f>
        <v>4775.2</v>
      </c>
      <c r="I144" s="12">
        <f>VLOOKUP(C144,Resources!B:G,6,FALSE)</f>
        <v>32.5</v>
      </c>
      <c r="J144" s="21">
        <f t="shared" ref="J144:J148" si="202">(H144/G144)*I144*F144</f>
        <v>155194</v>
      </c>
      <c r="K144" s="21" t="str">
        <f t="shared" ref="K144:K148" si="203">IF(E144="M"," ",L144*F144)</f>
        <v xml:space="preserve"> </v>
      </c>
      <c r="L144" s="24" t="str">
        <f t="shared" ref="L144:L148" si="204">IF(E144="M"," ",H144/G144)</f>
        <v xml:space="preserve"> </v>
      </c>
      <c r="M144" s="24">
        <f t="shared" ref="M144:M148" si="205">IF($E144="L",$J144,0)</f>
        <v>0</v>
      </c>
      <c r="N144" s="24">
        <f t="shared" ref="N144:N148" si="206">IF($E144="M",$J144,0)</f>
        <v>155194</v>
      </c>
      <c r="O144" s="24">
        <f t="shared" ref="O144:O148" si="207">IF($E144="P",$J144,0)</f>
        <v>0</v>
      </c>
      <c r="P144" s="24">
        <f t="shared" ref="P144:P148" si="208">IF($E144="S",$J144,0)</f>
        <v>0</v>
      </c>
      <c r="Q144" s="24">
        <f t="shared" ref="Q144:Q148" si="209">SUM(M144:P144)</f>
        <v>155194</v>
      </c>
      <c r="R144" s="87" t="s">
        <v>539</v>
      </c>
      <c r="T144" s="235" t="str">
        <f t="shared" si="189"/>
        <v xml:space="preserve"> </v>
      </c>
    </row>
    <row r="145" spans="1:21" x14ac:dyDescent="0.25">
      <c r="A145" s="157">
        <v>25.1</v>
      </c>
      <c r="B145" s="6">
        <v>2</v>
      </c>
      <c r="C145" s="9" t="s">
        <v>78</v>
      </c>
      <c r="D145" s="6" t="s">
        <v>26</v>
      </c>
      <c r="E145" s="17" t="str">
        <f>VLOOKUP(C145,Resources!B:G,3,FALSE)</f>
        <v>P</v>
      </c>
      <c r="F145" s="12">
        <v>1</v>
      </c>
      <c r="G145" s="26">
        <f>VLOOKUP($A145,'Model Inputs'!$A:$C,3,FALSE)</f>
        <v>66.666666666666671</v>
      </c>
      <c r="H145" s="12">
        <f>H144</f>
        <v>4775.2</v>
      </c>
      <c r="I145" s="12">
        <f>VLOOKUP(C145,Resources!B:G,6,FALSE)</f>
        <v>160</v>
      </c>
      <c r="J145" s="21">
        <f t="shared" si="202"/>
        <v>11460.479999999998</v>
      </c>
      <c r="K145" s="21">
        <f t="shared" si="203"/>
        <v>71.627999999999986</v>
      </c>
      <c r="L145" s="24">
        <f t="shared" si="204"/>
        <v>71.627999999999986</v>
      </c>
      <c r="M145" s="24">
        <f t="shared" si="205"/>
        <v>0</v>
      </c>
      <c r="N145" s="24">
        <f t="shared" si="206"/>
        <v>0</v>
      </c>
      <c r="O145" s="24">
        <f t="shared" si="207"/>
        <v>11460.479999999998</v>
      </c>
      <c r="P145" s="24">
        <f t="shared" si="208"/>
        <v>0</v>
      </c>
      <c r="Q145" s="24">
        <f t="shared" si="209"/>
        <v>11460.479999999998</v>
      </c>
      <c r="R145" s="87">
        <v>62</v>
      </c>
      <c r="T145" s="235" t="str">
        <f t="shared" si="189"/>
        <v xml:space="preserve"> </v>
      </c>
    </row>
    <row r="146" spans="1:21" x14ac:dyDescent="0.25">
      <c r="A146" s="157"/>
      <c r="B146" s="6">
        <v>3</v>
      </c>
      <c r="C146" s="9" t="s">
        <v>89</v>
      </c>
      <c r="D146" s="6" t="s">
        <v>26</v>
      </c>
      <c r="E146" s="17" t="str">
        <f>VLOOKUP(C146,Resources!B:G,3,FALSE)</f>
        <v>P</v>
      </c>
      <c r="F146" s="12">
        <v>1</v>
      </c>
      <c r="G146" s="12">
        <f>G145</f>
        <v>66.666666666666671</v>
      </c>
      <c r="H146" s="12">
        <f>H144</f>
        <v>4775.2</v>
      </c>
      <c r="I146" s="12">
        <f>VLOOKUP(C146,Resources!B:G,6,FALSE)</f>
        <v>55</v>
      </c>
      <c r="J146" s="21">
        <f t="shared" si="202"/>
        <v>3939.5399999999991</v>
      </c>
      <c r="K146" s="21">
        <f t="shared" si="203"/>
        <v>71.627999999999986</v>
      </c>
      <c r="L146" s="24">
        <f t="shared" si="204"/>
        <v>71.627999999999986</v>
      </c>
      <c r="M146" s="24">
        <f t="shared" si="205"/>
        <v>0</v>
      </c>
      <c r="N146" s="24">
        <f t="shared" si="206"/>
        <v>0</v>
      </c>
      <c r="O146" s="24">
        <f t="shared" si="207"/>
        <v>3939.5399999999991</v>
      </c>
      <c r="P146" s="24">
        <f t="shared" si="208"/>
        <v>0</v>
      </c>
      <c r="Q146" s="24">
        <f t="shared" si="209"/>
        <v>3939.5399999999991</v>
      </c>
      <c r="R146" s="87">
        <v>62</v>
      </c>
      <c r="T146" s="235" t="str">
        <f t="shared" si="189"/>
        <v xml:space="preserve"> </v>
      </c>
    </row>
    <row r="147" spans="1:21" x14ac:dyDescent="0.25">
      <c r="A147" s="157"/>
      <c r="B147" s="6">
        <v>4</v>
      </c>
      <c r="C147" s="9" t="s">
        <v>28</v>
      </c>
      <c r="D147" s="6" t="s">
        <v>26</v>
      </c>
      <c r="E147" s="17" t="str">
        <f>VLOOKUP(C147,Resources!B:G,3,FALSE)</f>
        <v>P</v>
      </c>
      <c r="F147" s="12">
        <v>1</v>
      </c>
      <c r="G147" s="12">
        <f>G145</f>
        <v>66.666666666666671</v>
      </c>
      <c r="H147" s="12">
        <f>H144</f>
        <v>4775.2</v>
      </c>
      <c r="I147" s="12">
        <f>VLOOKUP(C147,Resources!B:G,6,FALSE)</f>
        <v>95</v>
      </c>
      <c r="J147" s="21">
        <f t="shared" si="202"/>
        <v>6804.6599999999989</v>
      </c>
      <c r="K147" s="21">
        <f t="shared" si="203"/>
        <v>71.627999999999986</v>
      </c>
      <c r="L147" s="24">
        <f t="shared" si="204"/>
        <v>71.627999999999986</v>
      </c>
      <c r="M147" s="24">
        <f t="shared" si="205"/>
        <v>0</v>
      </c>
      <c r="N147" s="24">
        <f t="shared" si="206"/>
        <v>0</v>
      </c>
      <c r="O147" s="24">
        <f t="shared" si="207"/>
        <v>6804.6599999999989</v>
      </c>
      <c r="P147" s="24">
        <f t="shared" si="208"/>
        <v>0</v>
      </c>
      <c r="Q147" s="24">
        <f t="shared" si="209"/>
        <v>6804.6599999999989</v>
      </c>
      <c r="R147" s="87">
        <v>62</v>
      </c>
      <c r="T147" s="235" t="str">
        <f t="shared" si="189"/>
        <v xml:space="preserve"> </v>
      </c>
    </row>
    <row r="148" spans="1:21" x14ac:dyDescent="0.25">
      <c r="A148" s="157"/>
      <c r="B148" s="6">
        <v>5</v>
      </c>
      <c r="C148" s="9" t="s">
        <v>8</v>
      </c>
      <c r="D148" s="6" t="s">
        <v>26</v>
      </c>
      <c r="E148" s="17" t="str">
        <f>VLOOKUP(C148,Resources!B:G,3,FALSE)</f>
        <v>L</v>
      </c>
      <c r="F148" s="12">
        <v>3</v>
      </c>
      <c r="G148" s="12">
        <f>G145</f>
        <v>66.666666666666671</v>
      </c>
      <c r="H148" s="12">
        <f>H144</f>
        <v>4775.2</v>
      </c>
      <c r="I148" s="12">
        <f>VLOOKUP(C148,Resources!B:G,6,FALSE)</f>
        <v>51.9</v>
      </c>
      <c r="J148" s="21">
        <f t="shared" si="202"/>
        <v>11152.479599999997</v>
      </c>
      <c r="K148" s="21">
        <f t="shared" si="203"/>
        <v>214.88399999999996</v>
      </c>
      <c r="L148" s="24">
        <f t="shared" si="204"/>
        <v>71.627999999999986</v>
      </c>
      <c r="M148" s="24">
        <f t="shared" si="205"/>
        <v>11152.479599999997</v>
      </c>
      <c r="N148" s="24">
        <f t="shared" si="206"/>
        <v>0</v>
      </c>
      <c r="O148" s="24">
        <f t="shared" si="207"/>
        <v>0</v>
      </c>
      <c r="P148" s="24">
        <f t="shared" si="208"/>
        <v>0</v>
      </c>
      <c r="Q148" s="24">
        <f t="shared" si="209"/>
        <v>11152.479599999997</v>
      </c>
      <c r="R148" s="87">
        <v>62</v>
      </c>
      <c r="T148" s="235" t="str">
        <f t="shared" si="189"/>
        <v xml:space="preserve"> </v>
      </c>
    </row>
    <row r="149" spans="1:21" s="18" customFormat="1" ht="30" x14ac:dyDescent="0.25">
      <c r="A149" s="157"/>
      <c r="B149" s="6">
        <v>6</v>
      </c>
      <c r="C149" s="9" t="s">
        <v>101</v>
      </c>
      <c r="D149" s="6"/>
      <c r="E149" s="17"/>
      <c r="F149" s="12"/>
      <c r="G149" s="12"/>
      <c r="H149" s="12"/>
      <c r="I149" s="12"/>
      <c r="J149" s="21"/>
      <c r="K149" s="21"/>
      <c r="L149" s="24"/>
      <c r="M149" s="24"/>
      <c r="N149" s="24"/>
      <c r="O149" s="24"/>
      <c r="P149" s="24"/>
      <c r="Q149" s="24"/>
      <c r="R149" s="87"/>
      <c r="T149" s="235" t="str">
        <f t="shared" si="189"/>
        <v xml:space="preserve"> </v>
      </c>
      <c r="U149" s="232"/>
    </row>
    <row r="150" spans="1:21" x14ac:dyDescent="0.25">
      <c r="A150" s="157"/>
      <c r="B150" s="6">
        <v>7</v>
      </c>
      <c r="C150" s="9" t="s">
        <v>70</v>
      </c>
      <c r="D150" s="6" t="s">
        <v>26</v>
      </c>
      <c r="E150" s="17" t="str">
        <f>VLOOKUP(C150,Resources!B:G,3,FALSE)</f>
        <v>P</v>
      </c>
      <c r="F150" s="12">
        <v>1</v>
      </c>
      <c r="G150" s="12">
        <f>G145</f>
        <v>66.666666666666671</v>
      </c>
      <c r="H150" s="12">
        <f>H144</f>
        <v>4775.2</v>
      </c>
      <c r="I150" s="12">
        <f>VLOOKUP(C150,Resources!B:G,6,FALSE)</f>
        <v>135</v>
      </c>
      <c r="J150" s="21">
        <f t="shared" ref="J150:J151" si="210">(H150/G150)*I150*F150</f>
        <v>9669.7799999999988</v>
      </c>
      <c r="K150" s="21">
        <f t="shared" ref="K150:K151" si="211">IF(E150="M"," ",L150*F150)</f>
        <v>71.627999999999986</v>
      </c>
      <c r="L150" s="24">
        <f t="shared" ref="L150:L151" si="212">IF(E150="M"," ",H150/G150)</f>
        <v>71.627999999999986</v>
      </c>
      <c r="M150" s="24">
        <f t="shared" ref="M150:M151" si="213">IF($E150="L",$J150,0)</f>
        <v>0</v>
      </c>
      <c r="N150" s="24">
        <f t="shared" ref="N150:N151" si="214">IF($E150="M",$J150,0)</f>
        <v>0</v>
      </c>
      <c r="O150" s="24">
        <f t="shared" ref="O150:O151" si="215">IF($E150="P",$J150,0)</f>
        <v>9669.7799999999988</v>
      </c>
      <c r="P150" s="24">
        <f t="shared" ref="P150:P151" si="216">IF($E150="S",$J150,0)</f>
        <v>0</v>
      </c>
      <c r="Q150" s="24">
        <f t="shared" ref="Q150:Q151" si="217">SUM(M150:P150)</f>
        <v>9669.7799999999988</v>
      </c>
      <c r="R150" s="87">
        <v>62</v>
      </c>
      <c r="T150" s="235" t="str">
        <f t="shared" si="189"/>
        <v xml:space="preserve"> </v>
      </c>
    </row>
    <row r="151" spans="1:21" x14ac:dyDescent="0.25">
      <c r="A151" s="157"/>
      <c r="B151" s="6">
        <v>8</v>
      </c>
      <c r="C151" s="9" t="s">
        <v>27</v>
      </c>
      <c r="D151" s="6" t="s">
        <v>26</v>
      </c>
      <c r="E151" s="17" t="str">
        <f>VLOOKUP(C151,Resources!B:G,3,FALSE)</f>
        <v>P</v>
      </c>
      <c r="F151" s="12">
        <v>2</v>
      </c>
      <c r="G151" s="12">
        <f>G145</f>
        <v>66.666666666666671</v>
      </c>
      <c r="H151" s="12">
        <f>H144</f>
        <v>4775.2</v>
      </c>
      <c r="I151" s="12">
        <f>VLOOKUP(C151,Resources!B:G,6,FALSE)</f>
        <v>90</v>
      </c>
      <c r="J151" s="21">
        <f t="shared" si="210"/>
        <v>12893.039999999997</v>
      </c>
      <c r="K151" s="21">
        <f t="shared" si="211"/>
        <v>143.25599999999997</v>
      </c>
      <c r="L151" s="24">
        <f t="shared" si="212"/>
        <v>71.627999999999986</v>
      </c>
      <c r="M151" s="24">
        <f t="shared" si="213"/>
        <v>0</v>
      </c>
      <c r="N151" s="24">
        <f t="shared" si="214"/>
        <v>0</v>
      </c>
      <c r="O151" s="24">
        <f t="shared" si="215"/>
        <v>12893.039999999997</v>
      </c>
      <c r="P151" s="24">
        <f t="shared" si="216"/>
        <v>0</v>
      </c>
      <c r="Q151" s="24">
        <f t="shared" si="217"/>
        <v>12893.039999999997</v>
      </c>
      <c r="R151" s="87">
        <v>62</v>
      </c>
      <c r="T151" s="235" t="str">
        <f t="shared" si="189"/>
        <v xml:space="preserve"> </v>
      </c>
    </row>
    <row r="152" spans="1:21" x14ac:dyDescent="0.25">
      <c r="F152" s="11"/>
      <c r="G152" s="11"/>
      <c r="H152" s="11"/>
      <c r="I152" s="11"/>
      <c r="J152" s="11"/>
      <c r="K152" s="11"/>
      <c r="R152" s="88"/>
      <c r="T152" s="235" t="str">
        <f t="shared" si="189"/>
        <v xml:space="preserve"> </v>
      </c>
    </row>
    <row r="153" spans="1:21" ht="90" x14ac:dyDescent="0.25">
      <c r="A153" s="156">
        <v>26</v>
      </c>
      <c r="B153" s="3" t="s">
        <v>104</v>
      </c>
      <c r="C153" s="3" t="s">
        <v>561</v>
      </c>
      <c r="D153" s="4" t="s">
        <v>74</v>
      </c>
      <c r="E153" s="15"/>
      <c r="F153" s="10"/>
      <c r="G153" s="10"/>
      <c r="H153" s="26">
        <f>VLOOKUP($A153,'Model Inputs'!$A:$C,3,FALSE)</f>
        <v>423</v>
      </c>
      <c r="I153" s="10"/>
      <c r="J153" s="10">
        <f>SUBTOTAL(9,J154:J158,J160:J161)</f>
        <v>48873.213787500012</v>
      </c>
      <c r="K153" s="10"/>
      <c r="L153" s="10">
        <f>ROUNDUP(MAX(L154:L158,L160:L161)/Workhrs,0)</f>
        <v>3</v>
      </c>
      <c r="M153" s="10">
        <f>SUBTOTAL(9,M154:M158,M160:M161)</f>
        <v>3482.4056625000007</v>
      </c>
      <c r="N153" s="10">
        <f t="shared" ref="N153" si="218">SUBTOTAL(9,N154:N158,N160:N161)</f>
        <v>31411.980000000003</v>
      </c>
      <c r="O153" s="10">
        <f t="shared" ref="O153" si="219">SUBTOTAL(9,O154:O158,O160:O161)</f>
        <v>13978.828125000002</v>
      </c>
      <c r="P153" s="10">
        <f t="shared" ref="P153" si="220">SUBTOTAL(9,P154:P158,P160:P161)</f>
        <v>0</v>
      </c>
      <c r="Q153" s="10">
        <f t="shared" ref="Q153" si="221">SUBTOTAL(9,Q154:Q158,Q160:Q161)</f>
        <v>48873.213787500012</v>
      </c>
      <c r="R153" s="86"/>
      <c r="T153" s="235" t="str">
        <f t="shared" si="189"/>
        <v xml:space="preserve"> </v>
      </c>
    </row>
    <row r="154" spans="1:21" x14ac:dyDescent="0.25">
      <c r="A154" s="157"/>
      <c r="B154" s="6">
        <v>1</v>
      </c>
      <c r="C154" s="9" t="s">
        <v>480</v>
      </c>
      <c r="D154" s="6" t="s">
        <v>100</v>
      </c>
      <c r="E154" s="17" t="str">
        <f>VLOOKUP(C154,Resources!B:G,3,FALSE)</f>
        <v>M</v>
      </c>
      <c r="F154" s="12">
        <v>1</v>
      </c>
      <c r="G154" s="12">
        <v>1</v>
      </c>
      <c r="H154" s="12">
        <f>H153*2.35</f>
        <v>994.05000000000007</v>
      </c>
      <c r="I154" s="12">
        <f>VLOOKUP(C154,Resources!B:G,6,FALSE)</f>
        <v>31.6</v>
      </c>
      <c r="J154" s="21">
        <f t="shared" ref="J154:J158" si="222">(H154/G154)*I154*F154</f>
        <v>31411.980000000003</v>
      </c>
      <c r="K154" s="21" t="str">
        <f t="shared" ref="K154:K158" si="223">IF(E154="M"," ",L154*F154)</f>
        <v xml:space="preserve"> </v>
      </c>
      <c r="L154" s="24" t="str">
        <f t="shared" ref="L154:L158" si="224">IF(E154="M"," ",H154/G154)</f>
        <v xml:space="preserve"> </v>
      </c>
      <c r="M154" s="24">
        <f t="shared" ref="M154:M158" si="225">IF($E154="L",$J154,0)</f>
        <v>0</v>
      </c>
      <c r="N154" s="24">
        <f t="shared" ref="N154:N158" si="226">IF($E154="M",$J154,0)</f>
        <v>31411.980000000003</v>
      </c>
      <c r="O154" s="24">
        <f t="shared" ref="O154:O158" si="227">IF($E154="P",$J154,0)</f>
        <v>0</v>
      </c>
      <c r="P154" s="24">
        <f t="shared" ref="P154:P158" si="228">IF($E154="S",$J154,0)</f>
        <v>0</v>
      </c>
      <c r="Q154" s="24">
        <f t="shared" ref="Q154:Q158" si="229">SUM(M154:P154)</f>
        <v>31411.980000000003</v>
      </c>
      <c r="R154" s="87" t="s">
        <v>539</v>
      </c>
      <c r="T154" s="235" t="str">
        <f t="shared" si="189"/>
        <v xml:space="preserve"> </v>
      </c>
    </row>
    <row r="155" spans="1:21" x14ac:dyDescent="0.25">
      <c r="A155" s="157">
        <v>26.1</v>
      </c>
      <c r="B155" s="6">
        <v>2</v>
      </c>
      <c r="C155" s="9" t="s">
        <v>78</v>
      </c>
      <c r="D155" s="6" t="s">
        <v>26</v>
      </c>
      <c r="E155" s="17" t="str">
        <f>VLOOKUP(C155,Resources!B:G,3,FALSE)</f>
        <v>P</v>
      </c>
      <c r="F155" s="12">
        <v>1</v>
      </c>
      <c r="G155" s="26">
        <f>VLOOKUP($A155,'Model Inputs'!$A:$C,3,FALSE)</f>
        <v>44.444444444444443</v>
      </c>
      <c r="H155" s="12">
        <f>H154</f>
        <v>994.05000000000007</v>
      </c>
      <c r="I155" s="12">
        <f>VLOOKUP(C155,Resources!B:G,6,FALSE)</f>
        <v>160</v>
      </c>
      <c r="J155" s="21">
        <f t="shared" si="222"/>
        <v>3578.5800000000008</v>
      </c>
      <c r="K155" s="21">
        <f t="shared" si="223"/>
        <v>22.366125000000004</v>
      </c>
      <c r="L155" s="24">
        <f t="shared" si="224"/>
        <v>22.366125000000004</v>
      </c>
      <c r="M155" s="24">
        <f t="shared" si="225"/>
        <v>0</v>
      </c>
      <c r="N155" s="24">
        <f t="shared" si="226"/>
        <v>0</v>
      </c>
      <c r="O155" s="24">
        <f t="shared" si="227"/>
        <v>3578.5800000000008</v>
      </c>
      <c r="P155" s="24">
        <f t="shared" si="228"/>
        <v>0</v>
      </c>
      <c r="Q155" s="24">
        <f t="shared" si="229"/>
        <v>3578.5800000000008</v>
      </c>
      <c r="R155" s="87">
        <v>62</v>
      </c>
      <c r="T155" s="235" t="str">
        <f t="shared" si="189"/>
        <v xml:space="preserve"> </v>
      </c>
    </row>
    <row r="156" spans="1:21" x14ac:dyDescent="0.25">
      <c r="A156" s="157"/>
      <c r="B156" s="6">
        <v>3</v>
      </c>
      <c r="C156" s="9" t="s">
        <v>89</v>
      </c>
      <c r="D156" s="6" t="s">
        <v>26</v>
      </c>
      <c r="E156" s="17" t="str">
        <f>VLOOKUP(C156,Resources!B:G,3,FALSE)</f>
        <v>P</v>
      </c>
      <c r="F156" s="12">
        <v>1</v>
      </c>
      <c r="G156" s="12">
        <f>G155</f>
        <v>44.444444444444443</v>
      </c>
      <c r="H156" s="12">
        <f>H154</f>
        <v>994.05000000000007</v>
      </c>
      <c r="I156" s="12">
        <f>VLOOKUP(C156,Resources!B:G,6,FALSE)</f>
        <v>55</v>
      </c>
      <c r="J156" s="21">
        <f t="shared" si="222"/>
        <v>1230.1368750000001</v>
      </c>
      <c r="K156" s="21">
        <f t="shared" si="223"/>
        <v>22.366125000000004</v>
      </c>
      <c r="L156" s="24">
        <f t="shared" si="224"/>
        <v>22.366125000000004</v>
      </c>
      <c r="M156" s="24">
        <f t="shared" si="225"/>
        <v>0</v>
      </c>
      <c r="N156" s="24">
        <f t="shared" si="226"/>
        <v>0</v>
      </c>
      <c r="O156" s="24">
        <f t="shared" si="227"/>
        <v>1230.1368750000001</v>
      </c>
      <c r="P156" s="24">
        <f t="shared" si="228"/>
        <v>0</v>
      </c>
      <c r="Q156" s="24">
        <f t="shared" si="229"/>
        <v>1230.1368750000001</v>
      </c>
      <c r="R156" s="87">
        <v>62</v>
      </c>
      <c r="T156" s="235" t="str">
        <f t="shared" si="189"/>
        <v xml:space="preserve"> </v>
      </c>
    </row>
    <row r="157" spans="1:21" x14ac:dyDescent="0.25">
      <c r="A157" s="157"/>
      <c r="B157" s="6">
        <v>4</v>
      </c>
      <c r="C157" s="9" t="s">
        <v>28</v>
      </c>
      <c r="D157" s="6" t="s">
        <v>26</v>
      </c>
      <c r="E157" s="17" t="str">
        <f>VLOOKUP(C157,Resources!B:G,3,FALSE)</f>
        <v>P</v>
      </c>
      <c r="F157" s="12">
        <v>1</v>
      </c>
      <c r="G157" s="12">
        <f>G155</f>
        <v>44.444444444444443</v>
      </c>
      <c r="H157" s="12">
        <f>H154</f>
        <v>994.05000000000007</v>
      </c>
      <c r="I157" s="12">
        <f>VLOOKUP(C157,Resources!B:G,6,FALSE)</f>
        <v>95</v>
      </c>
      <c r="J157" s="21">
        <f t="shared" si="222"/>
        <v>2124.7818750000006</v>
      </c>
      <c r="K157" s="21">
        <f t="shared" si="223"/>
        <v>22.366125000000004</v>
      </c>
      <c r="L157" s="24">
        <f t="shared" si="224"/>
        <v>22.366125000000004</v>
      </c>
      <c r="M157" s="24">
        <f t="shared" si="225"/>
        <v>0</v>
      </c>
      <c r="N157" s="24">
        <f t="shared" si="226"/>
        <v>0</v>
      </c>
      <c r="O157" s="24">
        <f t="shared" si="227"/>
        <v>2124.7818750000006</v>
      </c>
      <c r="P157" s="24">
        <f t="shared" si="228"/>
        <v>0</v>
      </c>
      <c r="Q157" s="24">
        <f t="shared" si="229"/>
        <v>2124.7818750000006</v>
      </c>
      <c r="R157" s="87">
        <v>62</v>
      </c>
      <c r="T157" s="235" t="str">
        <f t="shared" si="189"/>
        <v xml:space="preserve"> </v>
      </c>
    </row>
    <row r="158" spans="1:21" x14ac:dyDescent="0.25">
      <c r="A158" s="157"/>
      <c r="B158" s="6">
        <v>5</v>
      </c>
      <c r="C158" s="9" t="s">
        <v>8</v>
      </c>
      <c r="D158" s="6" t="s">
        <v>26</v>
      </c>
      <c r="E158" s="17" t="str">
        <f>VLOOKUP(C158,Resources!B:G,3,FALSE)</f>
        <v>L</v>
      </c>
      <c r="F158" s="12">
        <v>3</v>
      </c>
      <c r="G158" s="12">
        <f>G155</f>
        <v>44.444444444444443</v>
      </c>
      <c r="H158" s="12">
        <f>H154</f>
        <v>994.05000000000007</v>
      </c>
      <c r="I158" s="12">
        <f>VLOOKUP(C158,Resources!B:G,6,FALSE)</f>
        <v>51.9</v>
      </c>
      <c r="J158" s="21">
        <f t="shared" si="222"/>
        <v>3482.4056625000007</v>
      </c>
      <c r="K158" s="21">
        <f t="shared" si="223"/>
        <v>67.098375000000004</v>
      </c>
      <c r="L158" s="24">
        <f t="shared" si="224"/>
        <v>22.366125000000004</v>
      </c>
      <c r="M158" s="24">
        <f t="shared" si="225"/>
        <v>3482.4056625000007</v>
      </c>
      <c r="N158" s="24">
        <f t="shared" si="226"/>
        <v>0</v>
      </c>
      <c r="O158" s="24">
        <f t="shared" si="227"/>
        <v>0</v>
      </c>
      <c r="P158" s="24">
        <f t="shared" si="228"/>
        <v>0</v>
      </c>
      <c r="Q158" s="24">
        <f t="shared" si="229"/>
        <v>3482.4056625000007</v>
      </c>
      <c r="R158" s="87">
        <v>62</v>
      </c>
      <c r="T158" s="235" t="str">
        <f t="shared" si="189"/>
        <v xml:space="preserve"> </v>
      </c>
    </row>
    <row r="159" spans="1:21" s="18" customFormat="1" ht="30" x14ac:dyDescent="0.25">
      <c r="A159" s="157"/>
      <c r="B159" s="6">
        <v>6</v>
      </c>
      <c r="C159" s="9" t="s">
        <v>101</v>
      </c>
      <c r="D159" s="6"/>
      <c r="E159" s="17"/>
      <c r="F159" s="12"/>
      <c r="G159" s="12"/>
      <c r="H159" s="12"/>
      <c r="I159" s="12"/>
      <c r="J159" s="21"/>
      <c r="K159" s="21"/>
      <c r="L159" s="24"/>
      <c r="M159" s="24"/>
      <c r="N159" s="24"/>
      <c r="O159" s="24"/>
      <c r="P159" s="24"/>
      <c r="Q159" s="24"/>
      <c r="R159" s="87"/>
      <c r="T159" s="235" t="str">
        <f t="shared" si="189"/>
        <v xml:space="preserve"> </v>
      </c>
      <c r="U159" s="232"/>
    </row>
    <row r="160" spans="1:21" x14ac:dyDescent="0.25">
      <c r="A160" s="157"/>
      <c r="B160" s="6">
        <v>7</v>
      </c>
      <c r="C160" s="9" t="s">
        <v>70</v>
      </c>
      <c r="D160" s="6" t="s">
        <v>26</v>
      </c>
      <c r="E160" s="17" t="str">
        <f>VLOOKUP(C160,Resources!B:G,3,FALSE)</f>
        <v>P</v>
      </c>
      <c r="F160" s="12">
        <v>1</v>
      </c>
      <c r="G160" s="12">
        <f>G155</f>
        <v>44.444444444444443</v>
      </c>
      <c r="H160" s="12">
        <f>H154</f>
        <v>994.05000000000007</v>
      </c>
      <c r="I160" s="12">
        <f>VLOOKUP(C160,Resources!B:G,6,FALSE)</f>
        <v>135</v>
      </c>
      <c r="J160" s="21">
        <f t="shared" ref="J160:J161" si="230">(H160/G160)*I160*F160</f>
        <v>3019.4268750000006</v>
      </c>
      <c r="K160" s="21">
        <f t="shared" ref="K160:K161" si="231">IF(E160="M"," ",L160*F160)</f>
        <v>22.366125000000004</v>
      </c>
      <c r="L160" s="24">
        <f t="shared" ref="L160:L161" si="232">IF(E160="M"," ",H160/G160)</f>
        <v>22.366125000000004</v>
      </c>
      <c r="M160" s="24">
        <f t="shared" ref="M160:M161" si="233">IF($E160="L",$J160,0)</f>
        <v>0</v>
      </c>
      <c r="N160" s="24">
        <f t="shared" ref="N160:N161" si="234">IF($E160="M",$J160,0)</f>
        <v>0</v>
      </c>
      <c r="O160" s="24">
        <f t="shared" ref="O160:O161" si="235">IF($E160="P",$J160,0)</f>
        <v>3019.4268750000006</v>
      </c>
      <c r="P160" s="24">
        <f t="shared" ref="P160:P161" si="236">IF($E160="S",$J160,0)</f>
        <v>0</v>
      </c>
      <c r="Q160" s="24">
        <f t="shared" ref="Q160:Q161" si="237">SUM(M160:P160)</f>
        <v>3019.4268750000006</v>
      </c>
      <c r="R160" s="87">
        <v>62</v>
      </c>
      <c r="T160" s="235" t="str">
        <f t="shared" si="189"/>
        <v xml:space="preserve"> </v>
      </c>
    </row>
    <row r="161" spans="1:20" x14ac:dyDescent="0.25">
      <c r="A161" s="157"/>
      <c r="B161" s="6">
        <v>8</v>
      </c>
      <c r="C161" s="9" t="s">
        <v>27</v>
      </c>
      <c r="D161" s="6" t="s">
        <v>26</v>
      </c>
      <c r="E161" s="17" t="str">
        <f>VLOOKUP(C161,Resources!B:G,3,FALSE)</f>
        <v>P</v>
      </c>
      <c r="F161" s="12">
        <v>2</v>
      </c>
      <c r="G161" s="12">
        <f>G155</f>
        <v>44.444444444444443</v>
      </c>
      <c r="H161" s="12">
        <f>H154</f>
        <v>994.05000000000007</v>
      </c>
      <c r="I161" s="12">
        <f>VLOOKUP(C161,Resources!B:G,6,FALSE)</f>
        <v>90</v>
      </c>
      <c r="J161" s="21">
        <f t="shared" si="230"/>
        <v>4025.9025000000006</v>
      </c>
      <c r="K161" s="21">
        <f t="shared" si="231"/>
        <v>44.732250000000008</v>
      </c>
      <c r="L161" s="24">
        <f t="shared" si="232"/>
        <v>22.366125000000004</v>
      </c>
      <c r="M161" s="24">
        <f t="shared" si="233"/>
        <v>0</v>
      </c>
      <c r="N161" s="24">
        <f t="shared" si="234"/>
        <v>0</v>
      </c>
      <c r="O161" s="24">
        <f t="shared" si="235"/>
        <v>4025.9025000000006</v>
      </c>
      <c r="P161" s="24">
        <f t="shared" si="236"/>
        <v>0</v>
      </c>
      <c r="Q161" s="24">
        <f t="shared" si="237"/>
        <v>4025.9025000000006</v>
      </c>
      <c r="R161" s="87">
        <v>62</v>
      </c>
      <c r="T161" s="235" t="str">
        <f t="shared" si="189"/>
        <v xml:space="preserve"> </v>
      </c>
    </row>
    <row r="162" spans="1:20" x14ac:dyDescent="0.25">
      <c r="F162" s="11"/>
      <c r="G162" s="11"/>
      <c r="H162" s="11"/>
      <c r="I162" s="11"/>
      <c r="J162" s="11"/>
      <c r="K162" s="11"/>
      <c r="R162" s="88"/>
      <c r="T162" s="235" t="str">
        <f t="shared" si="189"/>
        <v xml:space="preserve"> </v>
      </c>
    </row>
    <row r="163" spans="1:20" ht="45" x14ac:dyDescent="0.25">
      <c r="A163" s="156"/>
      <c r="B163" s="3" t="s">
        <v>105</v>
      </c>
      <c r="C163" s="3" t="s">
        <v>106</v>
      </c>
      <c r="D163" s="4"/>
      <c r="E163" s="15"/>
      <c r="F163" s="10"/>
      <c r="G163" s="10"/>
      <c r="H163" s="10"/>
      <c r="I163" s="10"/>
      <c r="J163" s="10"/>
      <c r="K163" s="10"/>
      <c r="L163" s="23"/>
      <c r="M163" s="23"/>
      <c r="N163" s="23"/>
      <c r="O163" s="23"/>
      <c r="P163" s="23"/>
      <c r="Q163" s="23"/>
      <c r="R163" s="86"/>
      <c r="T163" s="235" t="str">
        <f t="shared" si="189"/>
        <v xml:space="preserve"> </v>
      </c>
    </row>
    <row r="164" spans="1:20" ht="60" x14ac:dyDescent="0.25">
      <c r="A164" s="156">
        <v>27</v>
      </c>
      <c r="B164" s="3" t="s">
        <v>107</v>
      </c>
      <c r="C164" s="3" t="s">
        <v>562</v>
      </c>
      <c r="D164" s="4" t="s">
        <v>88</v>
      </c>
      <c r="E164" s="15"/>
      <c r="F164" s="10"/>
      <c r="G164" s="10"/>
      <c r="H164" s="26">
        <f>VLOOKUP($A164,'Model Inputs'!$A:$C,3,FALSE)</f>
        <v>140</v>
      </c>
      <c r="I164" s="10"/>
      <c r="J164" s="10">
        <f>SUBTOTAL(9,J165)</f>
        <v>754.6</v>
      </c>
      <c r="K164" s="10"/>
      <c r="L164" s="10">
        <f>ROUNDUP(L165/10000,0)</f>
        <v>1</v>
      </c>
      <c r="M164" s="10">
        <f>SUBTOTAL(9,M165)</f>
        <v>0</v>
      </c>
      <c r="N164" s="10">
        <f t="shared" ref="N164:Q164" si="238">SUBTOTAL(9,N165)</f>
        <v>0</v>
      </c>
      <c r="O164" s="10">
        <f t="shared" si="238"/>
        <v>0</v>
      </c>
      <c r="P164" s="10">
        <f t="shared" si="238"/>
        <v>754.6</v>
      </c>
      <c r="Q164" s="10">
        <f t="shared" si="238"/>
        <v>754.6</v>
      </c>
      <c r="R164" s="86"/>
      <c r="T164" s="235" t="str">
        <f t="shared" si="189"/>
        <v xml:space="preserve"> </v>
      </c>
    </row>
    <row r="165" spans="1:20" x14ac:dyDescent="0.25">
      <c r="A165" s="157"/>
      <c r="B165" s="6">
        <v>1</v>
      </c>
      <c r="C165" s="9" t="s">
        <v>108</v>
      </c>
      <c r="D165" s="6" t="s">
        <v>109</v>
      </c>
      <c r="E165" s="17" t="str">
        <f>VLOOKUP(C165,Resources!B:G,3,FALSE)</f>
        <v>S</v>
      </c>
      <c r="F165" s="12">
        <v>1</v>
      </c>
      <c r="G165" s="12">
        <v>1</v>
      </c>
      <c r="H165" s="12">
        <f>H164*1.1</f>
        <v>154</v>
      </c>
      <c r="I165" s="12">
        <f>VLOOKUP(C165,Resources!B:G,6,FALSE)</f>
        <v>4.9000000000000004</v>
      </c>
      <c r="J165" s="21">
        <f t="shared" ref="J165" si="239">(H165/G165)*I165*F165</f>
        <v>754.6</v>
      </c>
      <c r="K165" s="21">
        <f t="shared" ref="K165" si="240">IF(E165="M"," ",L165*F165)</f>
        <v>154</v>
      </c>
      <c r="L165" s="24">
        <f t="shared" ref="L165" si="241">IF(E165="M"," ",H165/G165)</f>
        <v>154</v>
      </c>
      <c r="M165" s="24">
        <f>IF($E165="L",$J165,0)</f>
        <v>0</v>
      </c>
      <c r="N165" s="24">
        <f>IF($E165="M",$J165,0)</f>
        <v>0</v>
      </c>
      <c r="O165" s="24">
        <f>IF($E165="P",$J165,0)</f>
        <v>0</v>
      </c>
      <c r="P165" s="24">
        <f>IF($E165="S",$J165,0)</f>
        <v>754.6</v>
      </c>
      <c r="Q165" s="24">
        <f>SUM(M165:P165)</f>
        <v>754.6</v>
      </c>
      <c r="R165" s="87">
        <v>64</v>
      </c>
      <c r="T165" s="235" t="str">
        <f t="shared" si="189"/>
        <v xml:space="preserve"> </v>
      </c>
    </row>
    <row r="166" spans="1:20" x14ac:dyDescent="0.25">
      <c r="F166" s="11"/>
      <c r="G166" s="11"/>
      <c r="H166" s="11"/>
      <c r="I166" s="11"/>
      <c r="J166" s="11"/>
      <c r="K166" s="11"/>
      <c r="R166" s="88"/>
      <c r="T166" s="235" t="str">
        <f t="shared" si="189"/>
        <v xml:space="preserve"> </v>
      </c>
    </row>
    <row r="167" spans="1:20" ht="60" x14ac:dyDescent="0.25">
      <c r="A167" s="156">
        <v>28</v>
      </c>
      <c r="B167" s="3" t="s">
        <v>110</v>
      </c>
      <c r="C167" s="3" t="s">
        <v>563</v>
      </c>
      <c r="D167" s="4" t="s">
        <v>88</v>
      </c>
      <c r="E167" s="15"/>
      <c r="F167" s="10"/>
      <c r="G167" s="10"/>
      <c r="H167" s="26">
        <f>VLOOKUP($A167,'Model Inputs'!$A:$C,3,FALSE)</f>
        <v>371</v>
      </c>
      <c r="I167" s="10"/>
      <c r="J167" s="10">
        <f>SUBTOTAL(9,J168)</f>
        <v>1999.6900000000003</v>
      </c>
      <c r="K167" s="10"/>
      <c r="L167" s="10">
        <f>ROUNDUP(L168/10000,0)</f>
        <v>1</v>
      </c>
      <c r="M167" s="10">
        <f>SUBTOTAL(9,M168)</f>
        <v>0</v>
      </c>
      <c r="N167" s="10">
        <f t="shared" ref="N167" si="242">SUBTOTAL(9,N168)</f>
        <v>0</v>
      </c>
      <c r="O167" s="10">
        <f t="shared" ref="O167" si="243">SUBTOTAL(9,O168)</f>
        <v>0</v>
      </c>
      <c r="P167" s="10">
        <f t="shared" ref="P167" si="244">SUBTOTAL(9,P168)</f>
        <v>1999.6900000000003</v>
      </c>
      <c r="Q167" s="10">
        <f t="shared" ref="Q167" si="245">SUBTOTAL(9,Q168)</f>
        <v>1999.6900000000003</v>
      </c>
      <c r="R167" s="86"/>
      <c r="T167" s="235" t="str">
        <f t="shared" si="189"/>
        <v xml:space="preserve"> </v>
      </c>
    </row>
    <row r="168" spans="1:20" x14ac:dyDescent="0.25">
      <c r="A168" s="157"/>
      <c r="B168" s="6">
        <v>1</v>
      </c>
      <c r="C168" s="9" t="s">
        <v>108</v>
      </c>
      <c r="D168" s="6" t="s">
        <v>109</v>
      </c>
      <c r="E168" s="17" t="str">
        <f>VLOOKUP(C168,Resources!B:G,3,FALSE)</f>
        <v>S</v>
      </c>
      <c r="F168" s="12">
        <v>1</v>
      </c>
      <c r="G168" s="12">
        <v>1</v>
      </c>
      <c r="H168" s="12">
        <f>H167*1.1</f>
        <v>408.1</v>
      </c>
      <c r="I168" s="12">
        <f>VLOOKUP(C168,Resources!B:G,6,FALSE)</f>
        <v>4.9000000000000004</v>
      </c>
      <c r="J168" s="21">
        <f t="shared" ref="J168" si="246">(H168/G168)*I168*F168</f>
        <v>1999.6900000000003</v>
      </c>
      <c r="K168" s="21">
        <f t="shared" ref="K168" si="247">IF(E168="M"," ",L168*F168)</f>
        <v>408.1</v>
      </c>
      <c r="L168" s="24">
        <f t="shared" ref="L168" si="248">IF(E168="M"," ",H168/G168)</f>
        <v>408.1</v>
      </c>
      <c r="M168" s="24">
        <f>IF($E168="L",$J168,0)</f>
        <v>0</v>
      </c>
      <c r="N168" s="24">
        <f>IF($E168="M",$J168,0)</f>
        <v>0</v>
      </c>
      <c r="O168" s="24">
        <f>IF($E168="P",$J168,0)</f>
        <v>0</v>
      </c>
      <c r="P168" s="24">
        <f>IF($E168="S",$J168,0)</f>
        <v>1999.6900000000003</v>
      </c>
      <c r="Q168" s="24">
        <f>SUM(M168:P168)</f>
        <v>1999.6900000000003</v>
      </c>
      <c r="R168" s="87">
        <v>64</v>
      </c>
      <c r="T168" s="235" t="str">
        <f t="shared" si="189"/>
        <v xml:space="preserve"> </v>
      </c>
    </row>
    <row r="169" spans="1:20" x14ac:dyDescent="0.25">
      <c r="F169" s="11"/>
      <c r="G169" s="11"/>
      <c r="H169" s="11"/>
      <c r="I169" s="11"/>
      <c r="J169" s="11"/>
      <c r="K169" s="11"/>
      <c r="R169" s="88"/>
      <c r="T169" s="235" t="str">
        <f t="shared" si="189"/>
        <v xml:space="preserve"> </v>
      </c>
    </row>
    <row r="170" spans="1:20" ht="30" x14ac:dyDescent="0.25">
      <c r="A170" s="156">
        <v>29</v>
      </c>
      <c r="B170" s="3" t="s">
        <v>111</v>
      </c>
      <c r="C170" s="3" t="s">
        <v>112</v>
      </c>
      <c r="D170" s="4" t="s">
        <v>88</v>
      </c>
      <c r="E170" s="15"/>
      <c r="F170" s="10"/>
      <c r="G170" s="10"/>
      <c r="H170" s="26">
        <f>VLOOKUP($A170,'Model Inputs'!$A:$C,3,FALSE)</f>
        <v>37</v>
      </c>
      <c r="I170" s="10"/>
      <c r="J170" s="10">
        <f>SUBTOTAL(9,J171)</f>
        <v>199.43000000000004</v>
      </c>
      <c r="K170" s="10"/>
      <c r="L170" s="10">
        <f>ROUNDUP(L171/10000,0)</f>
        <v>1</v>
      </c>
      <c r="M170" s="10">
        <f>SUBTOTAL(9,M171)</f>
        <v>0</v>
      </c>
      <c r="N170" s="10">
        <f t="shared" ref="N170" si="249">SUBTOTAL(9,N171)</f>
        <v>0</v>
      </c>
      <c r="O170" s="10">
        <f t="shared" ref="O170" si="250">SUBTOTAL(9,O171)</f>
        <v>0</v>
      </c>
      <c r="P170" s="10">
        <f t="shared" ref="P170" si="251">SUBTOTAL(9,P171)</f>
        <v>199.43000000000004</v>
      </c>
      <c r="Q170" s="10">
        <f t="shared" ref="Q170" si="252">SUBTOTAL(9,Q171)</f>
        <v>199.43000000000004</v>
      </c>
      <c r="R170" s="86"/>
      <c r="T170" s="235" t="str">
        <f t="shared" si="189"/>
        <v xml:space="preserve"> </v>
      </c>
    </row>
    <row r="171" spans="1:20" x14ac:dyDescent="0.25">
      <c r="A171" s="157"/>
      <c r="B171" s="6">
        <v>1</v>
      </c>
      <c r="C171" s="9" t="s">
        <v>108</v>
      </c>
      <c r="D171" s="6" t="s">
        <v>109</v>
      </c>
      <c r="E171" s="17" t="str">
        <f>VLOOKUP(C171,Resources!B:G,3,FALSE)</f>
        <v>S</v>
      </c>
      <c r="F171" s="12">
        <v>1</v>
      </c>
      <c r="G171" s="12">
        <v>1</v>
      </c>
      <c r="H171" s="12">
        <f>H170*1.1</f>
        <v>40.700000000000003</v>
      </c>
      <c r="I171" s="12">
        <f>VLOOKUP(C171,Resources!B:G,6,FALSE)</f>
        <v>4.9000000000000004</v>
      </c>
      <c r="J171" s="21">
        <f t="shared" ref="J171" si="253">(H171/G171)*I171*F171</f>
        <v>199.43000000000004</v>
      </c>
      <c r="K171" s="21">
        <f t="shared" ref="K171" si="254">IF(E171="M"," ",L171*F171)</f>
        <v>40.700000000000003</v>
      </c>
      <c r="L171" s="24">
        <f t="shared" ref="L171" si="255">IF(E171="M"," ",H171/G171)</f>
        <v>40.700000000000003</v>
      </c>
      <c r="M171" s="24">
        <f>IF($E171="L",$J171,0)</f>
        <v>0</v>
      </c>
      <c r="N171" s="24">
        <f>IF($E171="M",$J171,0)</f>
        <v>0</v>
      </c>
      <c r="O171" s="24">
        <f>IF($E171="P",$J171,0)</f>
        <v>0</v>
      </c>
      <c r="P171" s="24">
        <f>IF($E171="S",$J171,0)</f>
        <v>199.43000000000004</v>
      </c>
      <c r="Q171" s="24">
        <f>SUM(M171:P171)</f>
        <v>199.43000000000004</v>
      </c>
      <c r="R171" s="87">
        <v>64</v>
      </c>
      <c r="T171" s="235" t="str">
        <f t="shared" si="189"/>
        <v xml:space="preserve"> </v>
      </c>
    </row>
    <row r="172" spans="1:20" x14ac:dyDescent="0.25">
      <c r="F172" s="11"/>
      <c r="G172" s="11"/>
      <c r="H172" s="11"/>
      <c r="I172" s="11"/>
      <c r="J172" s="11"/>
      <c r="K172" s="11"/>
      <c r="R172" s="88"/>
      <c r="T172" s="235" t="str">
        <f t="shared" si="189"/>
        <v xml:space="preserve"> </v>
      </c>
    </row>
    <row r="173" spans="1:20" ht="60" x14ac:dyDescent="0.25">
      <c r="A173" s="156"/>
      <c r="B173" s="3" t="s">
        <v>113</v>
      </c>
      <c r="C173" s="3" t="s">
        <v>114</v>
      </c>
      <c r="D173" s="4"/>
      <c r="E173" s="15"/>
      <c r="F173" s="10"/>
      <c r="G173" s="10"/>
      <c r="H173" s="10"/>
      <c r="I173" s="10"/>
      <c r="J173" s="10"/>
      <c r="K173" s="10"/>
      <c r="L173" s="23"/>
      <c r="M173" s="23"/>
      <c r="N173" s="23"/>
      <c r="O173" s="23"/>
      <c r="P173" s="23"/>
      <c r="Q173" s="23"/>
      <c r="R173" s="86"/>
      <c r="T173" s="235" t="str">
        <f t="shared" si="189"/>
        <v xml:space="preserve"> </v>
      </c>
    </row>
    <row r="174" spans="1:20" ht="60" x14ac:dyDescent="0.25">
      <c r="A174" s="156">
        <v>30</v>
      </c>
      <c r="B174" s="3" t="s">
        <v>115</v>
      </c>
      <c r="C174" s="3" t="s">
        <v>564</v>
      </c>
      <c r="D174" s="4" t="s">
        <v>88</v>
      </c>
      <c r="E174" s="15"/>
      <c r="F174" s="10"/>
      <c r="G174" s="10"/>
      <c r="H174" s="26">
        <f>VLOOKUP($A174,'Model Inputs'!$A:$C,3,FALSE)</f>
        <v>812</v>
      </c>
      <c r="I174" s="10"/>
      <c r="J174" s="10">
        <f>SUBTOTAL(9,J175)</f>
        <v>5198.4240000000009</v>
      </c>
      <c r="K174" s="10"/>
      <c r="L174" s="10">
        <f>ROUNDUP(L175/10000,0)</f>
        <v>1</v>
      </c>
      <c r="M174" s="10">
        <f>SUBTOTAL(9,M175)</f>
        <v>0</v>
      </c>
      <c r="N174" s="10">
        <f t="shared" ref="N174" si="256">SUBTOTAL(9,N175)</f>
        <v>0</v>
      </c>
      <c r="O174" s="10">
        <f t="shared" ref="O174" si="257">SUBTOTAL(9,O175)</f>
        <v>0</v>
      </c>
      <c r="P174" s="10">
        <f t="shared" ref="P174" si="258">SUBTOTAL(9,P175)</f>
        <v>5198.4240000000009</v>
      </c>
      <c r="Q174" s="10">
        <f t="shared" ref="Q174" si="259">SUBTOTAL(9,Q175)</f>
        <v>5198.4240000000009</v>
      </c>
      <c r="R174" s="86"/>
      <c r="T174" s="235" t="str">
        <f t="shared" si="189"/>
        <v xml:space="preserve"> </v>
      </c>
    </row>
    <row r="175" spans="1:20" x14ac:dyDescent="0.25">
      <c r="A175" s="157"/>
      <c r="B175" s="6">
        <v>1</v>
      </c>
      <c r="C175" s="9" t="s">
        <v>116</v>
      </c>
      <c r="D175" s="6" t="s">
        <v>109</v>
      </c>
      <c r="E175" s="17" t="str">
        <f>VLOOKUP(C175,Resources!B:G,3,FALSE)</f>
        <v>S</v>
      </c>
      <c r="F175" s="12">
        <v>1</v>
      </c>
      <c r="G175" s="12">
        <v>1</v>
      </c>
      <c r="H175" s="12">
        <f>H174*1.1</f>
        <v>893.2</v>
      </c>
      <c r="I175" s="12">
        <f>VLOOKUP(C175,Resources!B:G,6,FALSE)</f>
        <v>5.82</v>
      </c>
      <c r="J175" s="21">
        <f t="shared" ref="J175" si="260">(H175/G175)*I175*F175</f>
        <v>5198.4240000000009</v>
      </c>
      <c r="K175" s="21">
        <f t="shared" ref="K175" si="261">IF(E175="M"," ",L175*F175)</f>
        <v>893.2</v>
      </c>
      <c r="L175" s="24">
        <f t="shared" ref="L175" si="262">IF(E175="M"," ",H175/G175)</f>
        <v>893.2</v>
      </c>
      <c r="M175" s="24">
        <f>IF($E175="L",$J175,0)</f>
        <v>0</v>
      </c>
      <c r="N175" s="24">
        <f>IF($E175="M",$J175,0)</f>
        <v>0</v>
      </c>
      <c r="O175" s="24">
        <f>IF($E175="P",$J175,0)</f>
        <v>0</v>
      </c>
      <c r="P175" s="24">
        <f>IF($E175="S",$J175,0)</f>
        <v>5198.4240000000009</v>
      </c>
      <c r="Q175" s="24">
        <f>SUM(M175:P175)</f>
        <v>5198.4240000000009</v>
      </c>
      <c r="R175" s="87">
        <v>64</v>
      </c>
      <c r="T175" s="235" t="str">
        <f t="shared" si="189"/>
        <v xml:space="preserve"> </v>
      </c>
    </row>
    <row r="176" spans="1:20" x14ac:dyDescent="0.25">
      <c r="F176" s="11"/>
      <c r="G176" s="11"/>
      <c r="H176" s="11"/>
      <c r="I176" s="11"/>
      <c r="J176" s="11"/>
      <c r="K176" s="11"/>
      <c r="R176" s="88"/>
      <c r="T176" s="235" t="str">
        <f t="shared" si="189"/>
        <v xml:space="preserve"> </v>
      </c>
    </row>
    <row r="177" spans="1:20" ht="60" x14ac:dyDescent="0.25">
      <c r="A177" s="156">
        <v>31</v>
      </c>
      <c r="B177" s="3" t="s">
        <v>117</v>
      </c>
      <c r="C177" s="3" t="s">
        <v>565</v>
      </c>
      <c r="D177" s="4" t="s">
        <v>88</v>
      </c>
      <c r="E177" s="15"/>
      <c r="F177" s="10"/>
      <c r="G177" s="10"/>
      <c r="H177" s="26">
        <f>VLOOKUP($A177,'Model Inputs'!$A:$C,3,FALSE)</f>
        <v>3549</v>
      </c>
      <c r="I177" s="10"/>
      <c r="J177" s="10">
        <f>SUBTOTAL(9,J178)</f>
        <v>22720.698</v>
      </c>
      <c r="K177" s="10"/>
      <c r="L177" s="10">
        <f>ROUNDUP(L178/10000,0)</f>
        <v>1</v>
      </c>
      <c r="M177" s="10">
        <f>SUBTOTAL(9,M178)</f>
        <v>0</v>
      </c>
      <c r="N177" s="10">
        <f t="shared" ref="N177" si="263">SUBTOTAL(9,N178)</f>
        <v>0</v>
      </c>
      <c r="O177" s="10">
        <f t="shared" ref="O177" si="264">SUBTOTAL(9,O178)</f>
        <v>0</v>
      </c>
      <c r="P177" s="10">
        <f t="shared" ref="P177" si="265">SUBTOTAL(9,P178)</f>
        <v>22720.698</v>
      </c>
      <c r="Q177" s="10">
        <f t="shared" ref="Q177" si="266">SUBTOTAL(9,Q178)</f>
        <v>22720.698</v>
      </c>
      <c r="R177" s="86"/>
      <c r="T177" s="235" t="str">
        <f t="shared" si="189"/>
        <v xml:space="preserve"> </v>
      </c>
    </row>
    <row r="178" spans="1:20" x14ac:dyDescent="0.25">
      <c r="A178" s="157"/>
      <c r="B178" s="6">
        <v>1</v>
      </c>
      <c r="C178" s="9" t="s">
        <v>116</v>
      </c>
      <c r="D178" s="6" t="s">
        <v>109</v>
      </c>
      <c r="E178" s="17" t="str">
        <f>VLOOKUP(C178,Resources!B:G,3,FALSE)</f>
        <v>S</v>
      </c>
      <c r="F178" s="12">
        <v>1</v>
      </c>
      <c r="G178" s="12">
        <v>1</v>
      </c>
      <c r="H178" s="12">
        <f>H177*1.1</f>
        <v>3903.9</v>
      </c>
      <c r="I178" s="12">
        <f>VLOOKUP(C178,Resources!B:G,6,FALSE)</f>
        <v>5.82</v>
      </c>
      <c r="J178" s="21">
        <f t="shared" ref="J178" si="267">(H178/G178)*I178*F178</f>
        <v>22720.698</v>
      </c>
      <c r="K178" s="21">
        <f t="shared" ref="K178" si="268">IF(E178="M"," ",L178*F178)</f>
        <v>3903.9</v>
      </c>
      <c r="L178" s="24">
        <f t="shared" ref="L178" si="269">IF(E178="M"," ",H178/G178)</f>
        <v>3903.9</v>
      </c>
      <c r="M178" s="24">
        <f>IF($E178="L",$J178,0)</f>
        <v>0</v>
      </c>
      <c r="N178" s="24">
        <f>IF($E178="M",$J178,0)</f>
        <v>0</v>
      </c>
      <c r="O178" s="24">
        <f>IF($E178="P",$J178,0)</f>
        <v>0</v>
      </c>
      <c r="P178" s="24">
        <f>IF($E178="S",$J178,0)</f>
        <v>22720.698</v>
      </c>
      <c r="Q178" s="24">
        <f>SUM(M178:P178)</f>
        <v>22720.698</v>
      </c>
      <c r="R178" s="87">
        <v>64</v>
      </c>
      <c r="T178" s="235" t="str">
        <f t="shared" si="189"/>
        <v xml:space="preserve"> </v>
      </c>
    </row>
    <row r="179" spans="1:20" x14ac:dyDescent="0.25">
      <c r="F179" s="11"/>
      <c r="G179" s="11"/>
      <c r="H179" s="11"/>
      <c r="I179" s="11"/>
      <c r="J179" s="11"/>
      <c r="K179" s="11"/>
      <c r="R179" s="88"/>
      <c r="T179" s="235" t="str">
        <f t="shared" si="189"/>
        <v xml:space="preserve"> </v>
      </c>
    </row>
    <row r="180" spans="1:20" ht="60" x14ac:dyDescent="0.25">
      <c r="A180" s="156"/>
      <c r="B180" s="3" t="s">
        <v>118</v>
      </c>
      <c r="C180" s="3" t="s">
        <v>119</v>
      </c>
      <c r="D180" s="4"/>
      <c r="E180" s="15"/>
      <c r="F180" s="10"/>
      <c r="G180" s="10"/>
      <c r="H180" s="10"/>
      <c r="I180" s="10"/>
      <c r="J180" s="10"/>
      <c r="K180" s="10"/>
      <c r="L180" s="23"/>
      <c r="M180" s="23"/>
      <c r="N180" s="23"/>
      <c r="O180" s="23"/>
      <c r="P180" s="23"/>
      <c r="Q180" s="23"/>
      <c r="R180" s="86"/>
      <c r="T180" s="235" t="str">
        <f t="shared" si="189"/>
        <v xml:space="preserve"> </v>
      </c>
    </row>
    <row r="181" spans="1:20" ht="60" x14ac:dyDescent="0.25">
      <c r="A181" s="156">
        <v>32</v>
      </c>
      <c r="B181" s="3" t="s">
        <v>120</v>
      </c>
      <c r="C181" s="3" t="s">
        <v>621</v>
      </c>
      <c r="D181" s="4" t="s">
        <v>88</v>
      </c>
      <c r="E181" s="15"/>
      <c r="F181" s="10"/>
      <c r="G181" s="10"/>
      <c r="H181" s="26">
        <f>VLOOKUP($A181,'Model Inputs'!$A:$C,3,FALSE)</f>
        <v>3444</v>
      </c>
      <c r="I181" s="10"/>
      <c r="J181" s="10">
        <f>SUBTOTAL(9,J182)</f>
        <v>13676.124</v>
      </c>
      <c r="K181" s="10"/>
      <c r="L181" s="10">
        <f>ROUNDUP(L182/10000,0)</f>
        <v>1</v>
      </c>
      <c r="M181" s="10">
        <f>SUBTOTAL(9,M182)</f>
        <v>0</v>
      </c>
      <c r="N181" s="10">
        <f t="shared" ref="N181" si="270">SUBTOTAL(9,N182)</f>
        <v>0</v>
      </c>
      <c r="O181" s="10">
        <f t="shared" ref="O181" si="271">SUBTOTAL(9,O182)</f>
        <v>0</v>
      </c>
      <c r="P181" s="10">
        <f t="shared" ref="P181" si="272">SUBTOTAL(9,P182)</f>
        <v>13676.124</v>
      </c>
      <c r="Q181" s="10">
        <f t="shared" ref="Q181" si="273">SUBTOTAL(9,Q182)</f>
        <v>13676.124</v>
      </c>
      <c r="R181" s="86"/>
      <c r="T181" s="235" t="str">
        <f t="shared" si="189"/>
        <v xml:space="preserve"> </v>
      </c>
    </row>
    <row r="182" spans="1:20" x14ac:dyDescent="0.25">
      <c r="A182" s="157"/>
      <c r="B182" s="6">
        <v>1</v>
      </c>
      <c r="C182" s="9" t="s">
        <v>121</v>
      </c>
      <c r="D182" s="6" t="s">
        <v>109</v>
      </c>
      <c r="E182" s="17" t="str">
        <f>VLOOKUP(C182,Resources!B:G,3,FALSE)</f>
        <v>S</v>
      </c>
      <c r="F182" s="12">
        <v>1</v>
      </c>
      <c r="G182" s="12">
        <v>1</v>
      </c>
      <c r="H182" s="12">
        <f>H181*1.1</f>
        <v>3788.4</v>
      </c>
      <c r="I182" s="12">
        <f>VLOOKUP(C182,Resources!B:G,6,FALSE)</f>
        <v>3.61</v>
      </c>
      <c r="J182" s="21">
        <f t="shared" ref="J182" si="274">(H182/G182)*I182*F182</f>
        <v>13676.124</v>
      </c>
      <c r="K182" s="21">
        <f t="shared" ref="K182" si="275">IF(E182="M"," ",L182*F182)</f>
        <v>3788.4</v>
      </c>
      <c r="L182" s="24">
        <f t="shared" ref="L182" si="276">IF(E182="M"," ",H182/G182)</f>
        <v>3788.4</v>
      </c>
      <c r="M182" s="24">
        <f>IF($E182="L",$J182,0)</f>
        <v>0</v>
      </c>
      <c r="N182" s="24">
        <f>IF($E182="M",$J182,0)</f>
        <v>0</v>
      </c>
      <c r="O182" s="24">
        <f>IF($E182="P",$J182,0)</f>
        <v>0</v>
      </c>
      <c r="P182" s="24">
        <f>IF($E182="S",$J182,0)</f>
        <v>13676.124</v>
      </c>
      <c r="Q182" s="24">
        <f>SUM(M182:P182)</f>
        <v>13676.124</v>
      </c>
      <c r="R182" s="87">
        <v>64</v>
      </c>
      <c r="T182" s="235" t="str">
        <f t="shared" si="189"/>
        <v xml:space="preserve"> </v>
      </c>
    </row>
    <row r="183" spans="1:20" x14ac:dyDescent="0.25">
      <c r="F183" s="11"/>
      <c r="G183" s="11"/>
      <c r="H183" s="11"/>
      <c r="I183" s="11"/>
      <c r="J183" s="11"/>
      <c r="K183" s="11"/>
      <c r="R183" s="88"/>
      <c r="T183" s="235" t="str">
        <f t="shared" si="189"/>
        <v xml:space="preserve"> </v>
      </c>
    </row>
    <row r="184" spans="1:20" ht="60" x14ac:dyDescent="0.25">
      <c r="A184" s="156">
        <v>33</v>
      </c>
      <c r="B184" s="3" t="s">
        <v>122</v>
      </c>
      <c r="C184" s="3" t="s">
        <v>622</v>
      </c>
      <c r="D184" s="4" t="s">
        <v>88</v>
      </c>
      <c r="E184" s="15"/>
      <c r="F184" s="10"/>
      <c r="G184" s="10"/>
      <c r="H184" s="26">
        <f>VLOOKUP($A184,'Model Inputs'!$A:$C,3,FALSE)</f>
        <v>15057</v>
      </c>
      <c r="I184" s="10"/>
      <c r="J184" s="10">
        <f>SUBTOTAL(9,J185)</f>
        <v>59791.347000000002</v>
      </c>
      <c r="K184" s="10"/>
      <c r="L184" s="10">
        <f>ROUNDUP(L185/10000,0)</f>
        <v>2</v>
      </c>
      <c r="M184" s="10">
        <f>SUBTOTAL(9,M185)</f>
        <v>0</v>
      </c>
      <c r="N184" s="10">
        <f t="shared" ref="N184" si="277">SUBTOTAL(9,N185)</f>
        <v>0</v>
      </c>
      <c r="O184" s="10">
        <f t="shared" ref="O184" si="278">SUBTOTAL(9,O185)</f>
        <v>0</v>
      </c>
      <c r="P184" s="10">
        <f t="shared" ref="P184" si="279">SUBTOTAL(9,P185)</f>
        <v>59791.347000000002</v>
      </c>
      <c r="Q184" s="10">
        <f t="shared" ref="Q184" si="280">SUBTOTAL(9,Q185)</f>
        <v>59791.347000000002</v>
      </c>
      <c r="R184" s="86"/>
      <c r="T184" s="235" t="str">
        <f t="shared" si="189"/>
        <v xml:space="preserve"> </v>
      </c>
    </row>
    <row r="185" spans="1:20" x14ac:dyDescent="0.25">
      <c r="A185" s="157"/>
      <c r="B185" s="6">
        <v>1</v>
      </c>
      <c r="C185" s="9" t="s">
        <v>121</v>
      </c>
      <c r="D185" s="6" t="s">
        <v>109</v>
      </c>
      <c r="E185" s="17" t="str">
        <f>VLOOKUP(C185,Resources!B:G,3,FALSE)</f>
        <v>S</v>
      </c>
      <c r="F185" s="12">
        <v>1</v>
      </c>
      <c r="G185" s="12">
        <v>1</v>
      </c>
      <c r="H185" s="12">
        <f>H184*1.1</f>
        <v>16562.7</v>
      </c>
      <c r="I185" s="12">
        <f>VLOOKUP(C185,Resources!B:G,6,FALSE)</f>
        <v>3.61</v>
      </c>
      <c r="J185" s="21">
        <f t="shared" ref="J185" si="281">(H185/G185)*I185*F185</f>
        <v>59791.347000000002</v>
      </c>
      <c r="K185" s="21">
        <f t="shared" ref="K185" si="282">IF(E185="M"," ",L185*F185)</f>
        <v>16562.7</v>
      </c>
      <c r="L185" s="24">
        <f t="shared" ref="L185" si="283">IF(E185="M"," ",H185/G185)</f>
        <v>16562.7</v>
      </c>
      <c r="M185" s="24">
        <f>IF($E185="L",$J185,0)</f>
        <v>0</v>
      </c>
      <c r="N185" s="24">
        <f>IF($E185="M",$J185,0)</f>
        <v>0</v>
      </c>
      <c r="O185" s="24">
        <f>IF($E185="P",$J185,0)</f>
        <v>0</v>
      </c>
      <c r="P185" s="24">
        <f>IF($E185="S",$J185,0)</f>
        <v>59791.347000000002</v>
      </c>
      <c r="Q185" s="24">
        <f>SUM(M185:P185)</f>
        <v>59791.347000000002</v>
      </c>
      <c r="R185" s="87">
        <v>64</v>
      </c>
      <c r="T185" s="235" t="str">
        <f t="shared" si="189"/>
        <v xml:space="preserve"> </v>
      </c>
    </row>
    <row r="186" spans="1:20" x14ac:dyDescent="0.25">
      <c r="F186" s="11"/>
      <c r="G186" s="11"/>
      <c r="H186" s="11"/>
      <c r="I186" s="11"/>
      <c r="J186" s="11"/>
      <c r="K186" s="11"/>
      <c r="R186" s="88"/>
      <c r="T186" s="235" t="str">
        <f t="shared" si="189"/>
        <v xml:space="preserve"> </v>
      </c>
    </row>
    <row r="187" spans="1:20" ht="45" x14ac:dyDescent="0.25">
      <c r="A187" s="156"/>
      <c r="B187" s="3" t="s">
        <v>123</v>
      </c>
      <c r="C187" s="3" t="s">
        <v>124</v>
      </c>
      <c r="D187" s="4"/>
      <c r="E187" s="15"/>
      <c r="F187" s="10"/>
      <c r="G187" s="10"/>
      <c r="H187" s="10"/>
      <c r="I187" s="10"/>
      <c r="J187" s="10"/>
      <c r="K187" s="10"/>
      <c r="L187" s="23"/>
      <c r="M187" s="23"/>
      <c r="N187" s="23"/>
      <c r="O187" s="23"/>
      <c r="P187" s="23"/>
      <c r="Q187" s="23"/>
      <c r="R187" s="86"/>
      <c r="T187" s="235" t="str">
        <f t="shared" si="189"/>
        <v xml:space="preserve"> </v>
      </c>
    </row>
    <row r="188" spans="1:20" ht="60" x14ac:dyDescent="0.25">
      <c r="A188" s="156">
        <v>34</v>
      </c>
      <c r="B188" s="3" t="s">
        <v>125</v>
      </c>
      <c r="C188" s="3" t="s">
        <v>566</v>
      </c>
      <c r="D188" s="4" t="s">
        <v>88</v>
      </c>
      <c r="E188" s="15"/>
      <c r="F188" s="10"/>
      <c r="G188" s="10"/>
      <c r="H188" s="26">
        <f>VLOOKUP($A188,'Model Inputs'!$A:$C,3,FALSE)</f>
        <v>1260</v>
      </c>
      <c r="I188" s="10"/>
      <c r="J188" s="10">
        <f>SUBTOTAL(9,J189)</f>
        <v>34546.837500000001</v>
      </c>
      <c r="K188" s="10"/>
      <c r="L188" s="10">
        <f>ROUNDUP(L189/220,0)</f>
        <v>1</v>
      </c>
      <c r="M188" s="10">
        <f>SUBTOTAL(9,M189)</f>
        <v>0</v>
      </c>
      <c r="N188" s="10">
        <f t="shared" ref="N188" si="284">SUBTOTAL(9,N189)</f>
        <v>0</v>
      </c>
      <c r="O188" s="10">
        <f t="shared" ref="O188" si="285">SUBTOTAL(9,O189)</f>
        <v>0</v>
      </c>
      <c r="P188" s="10">
        <f t="shared" ref="P188" si="286">SUBTOTAL(9,P189)</f>
        <v>34546.837500000001</v>
      </c>
      <c r="Q188" s="10">
        <f t="shared" ref="Q188" si="287">SUBTOTAL(9,Q189)</f>
        <v>34546.837500000001</v>
      </c>
      <c r="R188" s="86"/>
      <c r="T188" s="235" t="str">
        <f t="shared" si="189"/>
        <v xml:space="preserve"> </v>
      </c>
    </row>
    <row r="189" spans="1:20" x14ac:dyDescent="0.25">
      <c r="A189" s="157"/>
      <c r="B189" s="6">
        <v>1</v>
      </c>
      <c r="C189" s="9" t="s">
        <v>126</v>
      </c>
      <c r="D189" s="6" t="s">
        <v>100</v>
      </c>
      <c r="E189" s="17" t="str">
        <f>VLOOKUP(C189,Resources!B:G,3,FALSE)</f>
        <v>S</v>
      </c>
      <c r="F189" s="12">
        <v>1</v>
      </c>
      <c r="G189" s="12">
        <v>1</v>
      </c>
      <c r="H189" s="12">
        <f>H188*0.0875</f>
        <v>110.25</v>
      </c>
      <c r="I189" s="12">
        <f>VLOOKUP(C189,Resources!B:G,6,FALSE)</f>
        <v>313.35000000000002</v>
      </c>
      <c r="J189" s="21">
        <f t="shared" ref="J189" si="288">(H189/G189)*I189*F189</f>
        <v>34546.837500000001</v>
      </c>
      <c r="K189" s="21">
        <f t="shared" ref="K189" si="289">IF(E189="M"," ",L189*F189)</f>
        <v>110.25</v>
      </c>
      <c r="L189" s="24">
        <f t="shared" ref="L189" si="290">IF(E189="M"," ",H189/G189)</f>
        <v>110.25</v>
      </c>
      <c r="M189" s="24">
        <f>IF($E189="L",$J189,0)</f>
        <v>0</v>
      </c>
      <c r="N189" s="24">
        <f>IF($E189="M",$J189,0)</f>
        <v>0</v>
      </c>
      <c r="O189" s="24">
        <f>IF($E189="P",$J189,0)</f>
        <v>0</v>
      </c>
      <c r="P189" s="24">
        <f>IF($E189="S",$J189,0)</f>
        <v>34546.837500000001</v>
      </c>
      <c r="Q189" s="24">
        <f>SUM(M189:P189)</f>
        <v>34546.837500000001</v>
      </c>
      <c r="R189" s="87">
        <v>65</v>
      </c>
      <c r="T189" s="235" t="str">
        <f t="shared" si="189"/>
        <v xml:space="preserve"> </v>
      </c>
    </row>
    <row r="190" spans="1:20" x14ac:dyDescent="0.25">
      <c r="F190" s="11"/>
      <c r="G190" s="11"/>
      <c r="H190" s="11"/>
      <c r="I190" s="11"/>
      <c r="J190" s="11"/>
      <c r="K190" s="11"/>
      <c r="R190" s="88"/>
      <c r="T190" s="235" t="str">
        <f t="shared" si="189"/>
        <v xml:space="preserve"> </v>
      </c>
    </row>
    <row r="191" spans="1:20" ht="30" x14ac:dyDescent="0.25">
      <c r="A191" s="156"/>
      <c r="B191" s="3" t="s">
        <v>127</v>
      </c>
      <c r="C191" s="3"/>
      <c r="D191" s="4"/>
      <c r="E191" s="15"/>
      <c r="F191" s="10"/>
      <c r="G191" s="10"/>
      <c r="H191" s="10"/>
      <c r="I191" s="10"/>
      <c r="J191" s="10"/>
      <c r="K191" s="10"/>
      <c r="L191" s="23"/>
      <c r="M191" s="23"/>
      <c r="N191" s="23"/>
      <c r="O191" s="23"/>
      <c r="P191" s="23"/>
      <c r="Q191" s="23"/>
      <c r="R191" s="86"/>
      <c r="T191" s="235" t="str">
        <f t="shared" si="189"/>
        <v xml:space="preserve"> </v>
      </c>
    </row>
    <row r="192" spans="1:20" ht="30" x14ac:dyDescent="0.25">
      <c r="A192" s="156"/>
      <c r="B192" s="3" t="s">
        <v>128</v>
      </c>
      <c r="C192" s="3" t="s">
        <v>129</v>
      </c>
      <c r="D192" s="4"/>
      <c r="E192" s="15"/>
      <c r="F192" s="10"/>
      <c r="G192" s="10"/>
      <c r="H192" s="10"/>
      <c r="I192" s="10"/>
      <c r="J192" s="10"/>
      <c r="K192" s="10"/>
      <c r="L192" s="23"/>
      <c r="M192" s="23"/>
      <c r="N192" s="23"/>
      <c r="O192" s="23"/>
      <c r="P192" s="23"/>
      <c r="Q192" s="23"/>
      <c r="R192" s="86"/>
      <c r="T192" s="235" t="str">
        <f t="shared" si="189"/>
        <v xml:space="preserve"> </v>
      </c>
    </row>
    <row r="193" spans="1:20" ht="60" x14ac:dyDescent="0.25">
      <c r="A193" s="156">
        <v>35</v>
      </c>
      <c r="B193" s="3" t="s">
        <v>130</v>
      </c>
      <c r="C193" s="3" t="s">
        <v>567</v>
      </c>
      <c r="D193" s="4" t="s">
        <v>18</v>
      </c>
      <c r="E193" s="15"/>
      <c r="F193" s="10"/>
      <c r="G193" s="10"/>
      <c r="H193" s="26">
        <f>VLOOKUP($A193,'Model Inputs'!$A:$C,3,FALSE)</f>
        <v>1</v>
      </c>
      <c r="I193" s="10"/>
      <c r="J193" s="10">
        <f>SUBTOTAL(9,J194:J197)</f>
        <v>723.8</v>
      </c>
      <c r="K193" s="10"/>
      <c r="L193" s="10">
        <f>ROUNDUP(MAX(L194:L197)/Workhrs,0)</f>
        <v>1</v>
      </c>
      <c r="M193" s="10">
        <f>SUBTOTAL(9,M194:M197)</f>
        <v>103.8</v>
      </c>
      <c r="N193" s="10">
        <f t="shared" ref="N193:Q193" si="291">SUBTOTAL(9,N194:N197)</f>
        <v>0</v>
      </c>
      <c r="O193" s="10">
        <f t="shared" si="291"/>
        <v>620</v>
      </c>
      <c r="P193" s="10">
        <f t="shared" si="291"/>
        <v>0</v>
      </c>
      <c r="Q193" s="10">
        <f t="shared" si="291"/>
        <v>723.8</v>
      </c>
      <c r="R193" s="86"/>
      <c r="T193" s="235" t="str">
        <f t="shared" si="189"/>
        <v xml:space="preserve"> </v>
      </c>
    </row>
    <row r="194" spans="1:20" x14ac:dyDescent="0.25">
      <c r="A194" s="157">
        <v>35.1</v>
      </c>
      <c r="B194" s="6">
        <v>1</v>
      </c>
      <c r="C194" s="9" t="s">
        <v>78</v>
      </c>
      <c r="D194" s="6" t="s">
        <v>26</v>
      </c>
      <c r="E194" s="17" t="str">
        <f>VLOOKUP(C194,Resources!B:G,3,FALSE)</f>
        <v>P</v>
      </c>
      <c r="F194" s="12">
        <v>1</v>
      </c>
      <c r="G194" s="26">
        <f>VLOOKUP($A194,'Model Inputs'!$A:$C,3,FALSE)</f>
        <v>0.5</v>
      </c>
      <c r="H194" s="12">
        <f>H193</f>
        <v>1</v>
      </c>
      <c r="I194" s="12">
        <f>VLOOKUP(C194,Resources!B:G,6,FALSE)</f>
        <v>160</v>
      </c>
      <c r="J194" s="21">
        <f t="shared" ref="J194:J197" si="292">(H194/G194)*I194*F194</f>
        <v>320</v>
      </c>
      <c r="K194" s="21">
        <f t="shared" ref="K194:K197" si="293">IF(E194="M"," ",L194*F194)</f>
        <v>2</v>
      </c>
      <c r="L194" s="24">
        <f t="shared" ref="L194:L197" si="294">IF(E194="M"," ",H194/G194)</f>
        <v>2</v>
      </c>
      <c r="M194" s="24">
        <f t="shared" ref="M194:M197" si="295">IF($E194="L",$J194,0)</f>
        <v>0</v>
      </c>
      <c r="N194" s="24">
        <f t="shared" ref="N194:N197" si="296">IF($E194="M",$J194,0)</f>
        <v>0</v>
      </c>
      <c r="O194" s="24">
        <f t="shared" ref="O194:O197" si="297">IF($E194="P",$J194,0)</f>
        <v>320</v>
      </c>
      <c r="P194" s="24">
        <f t="shared" ref="P194:P197" si="298">IF($E194="S",$J194,0)</f>
        <v>0</v>
      </c>
      <c r="Q194" s="24">
        <f t="shared" ref="Q194:Q197" si="299">SUM(M194:P194)</f>
        <v>320</v>
      </c>
      <c r="R194" s="87">
        <v>62</v>
      </c>
      <c r="T194" s="235" t="str">
        <f t="shared" si="189"/>
        <v xml:space="preserve"> </v>
      </c>
    </row>
    <row r="195" spans="1:20" x14ac:dyDescent="0.25">
      <c r="A195" s="157"/>
      <c r="B195" s="6">
        <v>2</v>
      </c>
      <c r="C195" s="9" t="s">
        <v>28</v>
      </c>
      <c r="D195" s="6" t="s">
        <v>26</v>
      </c>
      <c r="E195" s="17" t="str">
        <f>VLOOKUP(C195,Resources!B:G,3,FALSE)</f>
        <v>P</v>
      </c>
      <c r="F195" s="12">
        <v>1</v>
      </c>
      <c r="G195" s="12">
        <f>G194</f>
        <v>0.5</v>
      </c>
      <c r="H195" s="12">
        <f>H193</f>
        <v>1</v>
      </c>
      <c r="I195" s="12">
        <f>VLOOKUP(C195,Resources!B:G,6,FALSE)</f>
        <v>95</v>
      </c>
      <c r="J195" s="21">
        <f t="shared" si="292"/>
        <v>190</v>
      </c>
      <c r="K195" s="21">
        <f t="shared" si="293"/>
        <v>2</v>
      </c>
      <c r="L195" s="24">
        <f t="shared" si="294"/>
        <v>2</v>
      </c>
      <c r="M195" s="24">
        <f t="shared" si="295"/>
        <v>0</v>
      </c>
      <c r="N195" s="24">
        <f t="shared" si="296"/>
        <v>0</v>
      </c>
      <c r="O195" s="24">
        <f t="shared" si="297"/>
        <v>190</v>
      </c>
      <c r="P195" s="24">
        <f t="shared" si="298"/>
        <v>0</v>
      </c>
      <c r="Q195" s="24">
        <f t="shared" si="299"/>
        <v>190</v>
      </c>
      <c r="R195" s="87">
        <v>62</v>
      </c>
      <c r="T195" s="235" t="str">
        <f t="shared" si="189"/>
        <v xml:space="preserve"> </v>
      </c>
    </row>
    <row r="196" spans="1:20" x14ac:dyDescent="0.25">
      <c r="A196" s="157"/>
      <c r="B196" s="6">
        <v>3</v>
      </c>
      <c r="C196" s="9" t="s">
        <v>89</v>
      </c>
      <c r="D196" s="6" t="s">
        <v>26</v>
      </c>
      <c r="E196" s="17" t="str">
        <f>VLOOKUP(C196,Resources!B:G,3,FALSE)</f>
        <v>P</v>
      </c>
      <c r="F196" s="12">
        <v>1</v>
      </c>
      <c r="G196" s="12">
        <f>G194</f>
        <v>0.5</v>
      </c>
      <c r="H196" s="12">
        <f>H193</f>
        <v>1</v>
      </c>
      <c r="I196" s="12">
        <f>VLOOKUP(C196,Resources!B:G,6,FALSE)</f>
        <v>55</v>
      </c>
      <c r="J196" s="21">
        <f t="shared" si="292"/>
        <v>110</v>
      </c>
      <c r="K196" s="21">
        <f t="shared" si="293"/>
        <v>2</v>
      </c>
      <c r="L196" s="24">
        <f t="shared" si="294"/>
        <v>2</v>
      </c>
      <c r="M196" s="24">
        <f t="shared" si="295"/>
        <v>0</v>
      </c>
      <c r="N196" s="24">
        <f t="shared" si="296"/>
        <v>0</v>
      </c>
      <c r="O196" s="24">
        <f t="shared" si="297"/>
        <v>110</v>
      </c>
      <c r="P196" s="24">
        <f t="shared" si="298"/>
        <v>0</v>
      </c>
      <c r="Q196" s="24">
        <f t="shared" si="299"/>
        <v>110</v>
      </c>
      <c r="R196" s="87">
        <v>62</v>
      </c>
      <c r="T196" s="235" t="str">
        <f t="shared" si="189"/>
        <v xml:space="preserve"> </v>
      </c>
    </row>
    <row r="197" spans="1:20" x14ac:dyDescent="0.25">
      <c r="A197" s="157"/>
      <c r="B197" s="6">
        <v>4</v>
      </c>
      <c r="C197" s="9" t="s">
        <v>8</v>
      </c>
      <c r="D197" s="6" t="s">
        <v>26</v>
      </c>
      <c r="E197" s="17" t="str">
        <f>VLOOKUP(C197,Resources!B:G,3,FALSE)</f>
        <v>L</v>
      </c>
      <c r="F197" s="12">
        <v>1</v>
      </c>
      <c r="G197" s="12">
        <f>G194</f>
        <v>0.5</v>
      </c>
      <c r="H197" s="12">
        <f>H193</f>
        <v>1</v>
      </c>
      <c r="I197" s="12">
        <f>VLOOKUP(C197,Resources!B:G,6,FALSE)</f>
        <v>51.9</v>
      </c>
      <c r="J197" s="21">
        <f t="shared" si="292"/>
        <v>103.8</v>
      </c>
      <c r="K197" s="21">
        <f t="shared" si="293"/>
        <v>2</v>
      </c>
      <c r="L197" s="24">
        <f t="shared" si="294"/>
        <v>2</v>
      </c>
      <c r="M197" s="24">
        <f t="shared" si="295"/>
        <v>103.8</v>
      </c>
      <c r="N197" s="24">
        <f t="shared" si="296"/>
        <v>0</v>
      </c>
      <c r="O197" s="24">
        <f t="shared" si="297"/>
        <v>0</v>
      </c>
      <c r="P197" s="24">
        <f t="shared" si="298"/>
        <v>0</v>
      </c>
      <c r="Q197" s="24">
        <f t="shared" si="299"/>
        <v>103.8</v>
      </c>
      <c r="R197" s="87">
        <v>62</v>
      </c>
      <c r="T197" s="235" t="str">
        <f t="shared" si="189"/>
        <v xml:space="preserve"> </v>
      </c>
    </row>
    <row r="198" spans="1:20" x14ac:dyDescent="0.25">
      <c r="F198" s="11"/>
      <c r="G198" s="11"/>
      <c r="H198" s="11"/>
      <c r="I198" s="11"/>
      <c r="J198" s="11"/>
      <c r="K198" s="11"/>
      <c r="R198" s="88"/>
      <c r="T198" s="235" t="str">
        <f t="shared" si="189"/>
        <v xml:space="preserve"> </v>
      </c>
    </row>
    <row r="199" spans="1:20" ht="30" x14ac:dyDescent="0.25">
      <c r="A199" s="156"/>
      <c r="B199" s="3" t="s">
        <v>131</v>
      </c>
      <c r="C199" s="3" t="s">
        <v>132</v>
      </c>
      <c r="D199" s="4"/>
      <c r="E199" s="15"/>
      <c r="F199" s="10"/>
      <c r="G199" s="10"/>
      <c r="H199" s="10"/>
      <c r="I199" s="10"/>
      <c r="J199" s="10"/>
      <c r="K199" s="10"/>
      <c r="L199" s="23"/>
      <c r="M199" s="23"/>
      <c r="N199" s="23"/>
      <c r="O199" s="23"/>
      <c r="P199" s="23"/>
      <c r="Q199" s="23"/>
      <c r="R199" s="86"/>
      <c r="T199" s="235" t="str">
        <f t="shared" si="189"/>
        <v xml:space="preserve"> </v>
      </c>
    </row>
    <row r="200" spans="1:20" ht="60" x14ac:dyDescent="0.25">
      <c r="A200" s="156">
        <v>36</v>
      </c>
      <c r="B200" s="3" t="s">
        <v>133</v>
      </c>
      <c r="C200" s="3" t="s">
        <v>568</v>
      </c>
      <c r="D200" s="4" t="s">
        <v>18</v>
      </c>
      <c r="E200" s="15"/>
      <c r="F200" s="10"/>
      <c r="G200" s="10"/>
      <c r="H200" s="26">
        <f>VLOOKUP($A200,'Model Inputs'!$A:$C,3,FALSE)</f>
        <v>1</v>
      </c>
      <c r="I200" s="10"/>
      <c r="J200" s="10">
        <f>SUBTOTAL(9,J201:J205)</f>
        <v>1014.8</v>
      </c>
      <c r="K200" s="10"/>
      <c r="L200" s="10">
        <f>ROUNDUP(MAX(L201:L204)/Workhrs,0)</f>
        <v>1</v>
      </c>
      <c r="M200" s="10">
        <f>SUBTOTAL(9,M201:M205)</f>
        <v>103.8</v>
      </c>
      <c r="N200" s="10">
        <f t="shared" ref="N200:Q200" si="300">SUBTOTAL(9,N201:N205)</f>
        <v>0</v>
      </c>
      <c r="O200" s="10">
        <f t="shared" si="300"/>
        <v>620</v>
      </c>
      <c r="P200" s="10">
        <f t="shared" si="300"/>
        <v>291</v>
      </c>
      <c r="Q200" s="10">
        <f t="shared" si="300"/>
        <v>1014.8</v>
      </c>
      <c r="R200" s="86"/>
      <c r="T200" s="235" t="str">
        <f t="shared" ref="T200:T263" si="301">IF(R200=$U$7,"y"," ")</f>
        <v xml:space="preserve"> </v>
      </c>
    </row>
    <row r="201" spans="1:20" x14ac:dyDescent="0.25">
      <c r="A201" s="157">
        <v>36.1</v>
      </c>
      <c r="B201" s="6">
        <v>1</v>
      </c>
      <c r="C201" s="9" t="s">
        <v>78</v>
      </c>
      <c r="D201" s="6" t="s">
        <v>26</v>
      </c>
      <c r="E201" s="17" t="str">
        <f>VLOOKUP(C201,Resources!B:G,3,FALSE)</f>
        <v>P</v>
      </c>
      <c r="F201" s="12">
        <v>1</v>
      </c>
      <c r="G201" s="27">
        <v>0.5</v>
      </c>
      <c r="H201" s="12">
        <f>H200</f>
        <v>1</v>
      </c>
      <c r="I201" s="12">
        <f>VLOOKUP(C201,Resources!B:G,6,FALSE)</f>
        <v>160</v>
      </c>
      <c r="J201" s="21">
        <f t="shared" ref="J201:J205" si="302">(H201/G201)*I201*F201</f>
        <v>320</v>
      </c>
      <c r="K201" s="21">
        <f t="shared" ref="K201:K205" si="303">IF(E201="M"," ",L201*F201)</f>
        <v>2</v>
      </c>
      <c r="L201" s="24">
        <f t="shared" ref="L201:L205" si="304">IF(E201="M"," ",H201/G201)</f>
        <v>2</v>
      </c>
      <c r="M201" s="24">
        <f t="shared" ref="M201:M205" si="305">IF($E201="L",$J201,0)</f>
        <v>0</v>
      </c>
      <c r="N201" s="24">
        <f t="shared" ref="N201:N205" si="306">IF($E201="M",$J201,0)</f>
        <v>0</v>
      </c>
      <c r="O201" s="24">
        <f t="shared" ref="O201:O205" si="307">IF($E201="P",$J201,0)</f>
        <v>320</v>
      </c>
      <c r="P201" s="24">
        <f t="shared" ref="P201:P205" si="308">IF($E201="S",$J201,0)</f>
        <v>0</v>
      </c>
      <c r="Q201" s="24">
        <f t="shared" ref="Q201:Q205" si="309">SUM(M201:P201)</f>
        <v>320</v>
      </c>
      <c r="R201" s="87">
        <v>62</v>
      </c>
      <c r="T201" s="235" t="str">
        <f t="shared" si="301"/>
        <v xml:space="preserve"> </v>
      </c>
    </row>
    <row r="202" spans="1:20" x14ac:dyDescent="0.25">
      <c r="A202" s="157"/>
      <c r="B202" s="6">
        <v>2</v>
      </c>
      <c r="C202" s="9" t="s">
        <v>28</v>
      </c>
      <c r="D202" s="6" t="s">
        <v>26</v>
      </c>
      <c r="E202" s="17" t="str">
        <f>VLOOKUP(C202,Resources!B:G,3,FALSE)</f>
        <v>P</v>
      </c>
      <c r="F202" s="12">
        <v>1</v>
      </c>
      <c r="G202" s="12">
        <f>G201</f>
        <v>0.5</v>
      </c>
      <c r="H202" s="12">
        <f>H200</f>
        <v>1</v>
      </c>
      <c r="I202" s="12">
        <f>VLOOKUP(C202,Resources!B:G,6,FALSE)</f>
        <v>95</v>
      </c>
      <c r="J202" s="21">
        <f t="shared" si="302"/>
        <v>190</v>
      </c>
      <c r="K202" s="21">
        <f t="shared" si="303"/>
        <v>2</v>
      </c>
      <c r="L202" s="24">
        <f t="shared" si="304"/>
        <v>2</v>
      </c>
      <c r="M202" s="24">
        <f t="shared" si="305"/>
        <v>0</v>
      </c>
      <c r="N202" s="24">
        <f t="shared" si="306"/>
        <v>0</v>
      </c>
      <c r="O202" s="24">
        <f t="shared" si="307"/>
        <v>190</v>
      </c>
      <c r="P202" s="24">
        <f t="shared" si="308"/>
        <v>0</v>
      </c>
      <c r="Q202" s="24">
        <f t="shared" si="309"/>
        <v>190</v>
      </c>
      <c r="R202" s="87">
        <v>62</v>
      </c>
      <c r="T202" s="235" t="str">
        <f t="shared" si="301"/>
        <v xml:space="preserve"> </v>
      </c>
    </row>
    <row r="203" spans="1:20" x14ac:dyDescent="0.25">
      <c r="A203" s="157"/>
      <c r="B203" s="6">
        <v>3</v>
      </c>
      <c r="C203" s="9" t="s">
        <v>89</v>
      </c>
      <c r="D203" s="6" t="s">
        <v>26</v>
      </c>
      <c r="E203" s="17" t="str">
        <f>VLOOKUP(C203,Resources!B:G,3,FALSE)</f>
        <v>P</v>
      </c>
      <c r="F203" s="12">
        <v>1</v>
      </c>
      <c r="G203" s="12">
        <f>G201</f>
        <v>0.5</v>
      </c>
      <c r="H203" s="12">
        <f>H200</f>
        <v>1</v>
      </c>
      <c r="I203" s="12">
        <f>VLOOKUP(C203,Resources!B:G,6,FALSE)</f>
        <v>55</v>
      </c>
      <c r="J203" s="21">
        <f t="shared" si="302"/>
        <v>110</v>
      </c>
      <c r="K203" s="21">
        <f t="shared" si="303"/>
        <v>2</v>
      </c>
      <c r="L203" s="24">
        <f t="shared" si="304"/>
        <v>2</v>
      </c>
      <c r="M203" s="24">
        <f t="shared" si="305"/>
        <v>0</v>
      </c>
      <c r="N203" s="24">
        <f t="shared" si="306"/>
        <v>0</v>
      </c>
      <c r="O203" s="24">
        <f t="shared" si="307"/>
        <v>110</v>
      </c>
      <c r="P203" s="24">
        <f t="shared" si="308"/>
        <v>0</v>
      </c>
      <c r="Q203" s="24">
        <f t="shared" si="309"/>
        <v>110</v>
      </c>
      <c r="R203" s="87">
        <v>62</v>
      </c>
      <c r="T203" s="235" t="str">
        <f t="shared" si="301"/>
        <v xml:space="preserve"> </v>
      </c>
    </row>
    <row r="204" spans="1:20" x14ac:dyDescent="0.25">
      <c r="A204" s="157"/>
      <c r="B204" s="6">
        <v>4</v>
      </c>
      <c r="C204" s="9" t="s">
        <v>8</v>
      </c>
      <c r="D204" s="6" t="s">
        <v>26</v>
      </c>
      <c r="E204" s="17" t="str">
        <f>VLOOKUP(C204,Resources!B:G,3,FALSE)</f>
        <v>L</v>
      </c>
      <c r="F204" s="12">
        <v>1</v>
      </c>
      <c r="G204" s="12">
        <f>G201</f>
        <v>0.5</v>
      </c>
      <c r="H204" s="12">
        <f>H200</f>
        <v>1</v>
      </c>
      <c r="I204" s="12">
        <f>VLOOKUP(C204,Resources!B:G,6,FALSE)</f>
        <v>51.9</v>
      </c>
      <c r="J204" s="21">
        <f t="shared" si="302"/>
        <v>103.8</v>
      </c>
      <c r="K204" s="21">
        <f t="shared" si="303"/>
        <v>2</v>
      </c>
      <c r="L204" s="24">
        <f t="shared" si="304"/>
        <v>2</v>
      </c>
      <c r="M204" s="24">
        <f t="shared" si="305"/>
        <v>103.8</v>
      </c>
      <c r="N204" s="24">
        <f t="shared" si="306"/>
        <v>0</v>
      </c>
      <c r="O204" s="24">
        <f t="shared" si="307"/>
        <v>0</v>
      </c>
      <c r="P204" s="24">
        <f t="shared" si="308"/>
        <v>0</v>
      </c>
      <c r="Q204" s="24">
        <f t="shared" si="309"/>
        <v>103.8</v>
      </c>
      <c r="R204" s="87">
        <v>62</v>
      </c>
      <c r="T204" s="235" t="str">
        <f t="shared" si="301"/>
        <v xml:space="preserve"> </v>
      </c>
    </row>
    <row r="205" spans="1:20" x14ac:dyDescent="0.25">
      <c r="A205" s="157"/>
      <c r="B205" s="6">
        <v>5</v>
      </c>
      <c r="C205" s="9" t="s">
        <v>116</v>
      </c>
      <c r="D205" s="6" t="s">
        <v>109</v>
      </c>
      <c r="E205" s="17" t="str">
        <f>VLOOKUP(C205,Resources!B:G,3,FALSE)</f>
        <v>S</v>
      </c>
      <c r="F205" s="12">
        <v>1</v>
      </c>
      <c r="G205" s="12">
        <v>1</v>
      </c>
      <c r="H205" s="12">
        <f>H200*50</f>
        <v>50</v>
      </c>
      <c r="I205" s="12">
        <f>VLOOKUP(C205,Resources!B:G,6,FALSE)</f>
        <v>5.82</v>
      </c>
      <c r="J205" s="21">
        <f t="shared" si="302"/>
        <v>291</v>
      </c>
      <c r="K205" s="21">
        <f t="shared" si="303"/>
        <v>50</v>
      </c>
      <c r="L205" s="24">
        <f t="shared" si="304"/>
        <v>50</v>
      </c>
      <c r="M205" s="24">
        <f t="shared" si="305"/>
        <v>0</v>
      </c>
      <c r="N205" s="24">
        <f t="shared" si="306"/>
        <v>0</v>
      </c>
      <c r="O205" s="24">
        <f t="shared" si="307"/>
        <v>0</v>
      </c>
      <c r="P205" s="24">
        <f t="shared" si="308"/>
        <v>291</v>
      </c>
      <c r="Q205" s="24">
        <f t="shared" si="309"/>
        <v>291</v>
      </c>
      <c r="R205" s="87">
        <v>64</v>
      </c>
      <c r="T205" s="235" t="str">
        <f t="shared" si="301"/>
        <v xml:space="preserve"> </v>
      </c>
    </row>
    <row r="206" spans="1:20" x14ac:dyDescent="0.25">
      <c r="F206" s="11"/>
      <c r="G206" s="11"/>
      <c r="H206" s="11"/>
      <c r="I206" s="11"/>
      <c r="J206" s="11"/>
      <c r="K206" s="11"/>
      <c r="R206" s="88"/>
      <c r="T206" s="235" t="str">
        <f t="shared" si="301"/>
        <v xml:space="preserve"> </v>
      </c>
    </row>
    <row r="207" spans="1:20" ht="30" x14ac:dyDescent="0.25">
      <c r="A207" s="156"/>
      <c r="B207" s="3" t="s">
        <v>134</v>
      </c>
      <c r="C207" s="3" t="s">
        <v>135</v>
      </c>
      <c r="D207" s="4"/>
      <c r="E207" s="15"/>
      <c r="F207" s="10"/>
      <c r="G207" s="10"/>
      <c r="H207" s="10"/>
      <c r="I207" s="10"/>
      <c r="J207" s="10"/>
      <c r="K207" s="10"/>
      <c r="L207" s="23"/>
      <c r="M207" s="23"/>
      <c r="N207" s="23"/>
      <c r="O207" s="23"/>
      <c r="P207" s="23"/>
      <c r="Q207" s="23"/>
      <c r="R207" s="86"/>
      <c r="T207" s="235" t="str">
        <f t="shared" si="301"/>
        <v xml:space="preserve"> </v>
      </c>
    </row>
    <row r="208" spans="1:20" ht="60" x14ac:dyDescent="0.25">
      <c r="A208" s="156">
        <v>37</v>
      </c>
      <c r="B208" s="3" t="s">
        <v>136</v>
      </c>
      <c r="C208" s="3" t="s">
        <v>569</v>
      </c>
      <c r="D208" s="4" t="s">
        <v>18</v>
      </c>
      <c r="E208" s="15"/>
      <c r="F208" s="10"/>
      <c r="G208" s="10"/>
      <c r="H208" s="26">
        <v>1</v>
      </c>
      <c r="I208" s="10"/>
      <c r="J208" s="10">
        <f>SUBTOTAL(9,J209:J213)</f>
        <v>1014.8</v>
      </c>
      <c r="K208" s="10"/>
      <c r="L208" s="10">
        <f>ROUNDUP(MAX(L209:L212)/Workhrs,0)</f>
        <v>1</v>
      </c>
      <c r="M208" s="10">
        <f>SUBTOTAL(9,M209:M213)</f>
        <v>103.8</v>
      </c>
      <c r="N208" s="10">
        <f t="shared" ref="N208" si="310">SUBTOTAL(9,N209:N213)</f>
        <v>0</v>
      </c>
      <c r="O208" s="10">
        <f t="shared" ref="O208" si="311">SUBTOTAL(9,O209:O213)</f>
        <v>620</v>
      </c>
      <c r="P208" s="10">
        <f t="shared" ref="P208" si="312">SUBTOTAL(9,P209:P213)</f>
        <v>291</v>
      </c>
      <c r="Q208" s="10">
        <f t="shared" ref="Q208" si="313">SUBTOTAL(9,Q209:Q213)</f>
        <v>1014.8</v>
      </c>
      <c r="R208" s="86"/>
      <c r="T208" s="235" t="str">
        <f t="shared" si="301"/>
        <v xml:space="preserve"> </v>
      </c>
    </row>
    <row r="209" spans="1:20" x14ac:dyDescent="0.25">
      <c r="A209" s="157">
        <v>37.1</v>
      </c>
      <c r="B209" s="6">
        <v>1</v>
      </c>
      <c r="C209" s="9" t="s">
        <v>78</v>
      </c>
      <c r="D209" s="6" t="s">
        <v>26</v>
      </c>
      <c r="E209" s="17" t="str">
        <f>VLOOKUP(C209,Resources!B:G,3,FALSE)</f>
        <v>P</v>
      </c>
      <c r="F209" s="12">
        <v>1</v>
      </c>
      <c r="G209" s="26">
        <f>VLOOKUP($A209,'Model Inputs'!$A:$C,3,FALSE)</f>
        <v>0.5</v>
      </c>
      <c r="H209" s="12">
        <f>H208</f>
        <v>1</v>
      </c>
      <c r="I209" s="12">
        <f>VLOOKUP(C209,Resources!B:G,6,FALSE)</f>
        <v>160</v>
      </c>
      <c r="J209" s="21">
        <f t="shared" ref="J209:J213" si="314">(H209/G209)*I209*F209</f>
        <v>320</v>
      </c>
      <c r="K209" s="21">
        <f t="shared" ref="K209:K213" si="315">IF(E209="M"," ",L209*F209)</f>
        <v>2</v>
      </c>
      <c r="L209" s="24">
        <f t="shared" ref="L209:L213" si="316">IF(E209="M"," ",H209/G209)</f>
        <v>2</v>
      </c>
      <c r="M209" s="24">
        <f t="shared" ref="M209:M213" si="317">IF($E209="L",$J209,0)</f>
        <v>0</v>
      </c>
      <c r="N209" s="24">
        <f t="shared" ref="N209:N213" si="318">IF($E209="M",$J209,0)</f>
        <v>0</v>
      </c>
      <c r="O209" s="24">
        <f t="shared" ref="O209:O213" si="319">IF($E209="P",$J209,0)</f>
        <v>320</v>
      </c>
      <c r="P209" s="24">
        <f t="shared" ref="P209:P213" si="320">IF($E209="S",$J209,0)</f>
        <v>0</v>
      </c>
      <c r="Q209" s="24">
        <f t="shared" ref="Q209:Q213" si="321">SUM(M209:P209)</f>
        <v>320</v>
      </c>
      <c r="R209" s="87">
        <v>62</v>
      </c>
      <c r="T209" s="235" t="str">
        <f t="shared" si="301"/>
        <v xml:space="preserve"> </v>
      </c>
    </row>
    <row r="210" spans="1:20" x14ac:dyDescent="0.25">
      <c r="A210" s="157"/>
      <c r="B210" s="6">
        <v>2</v>
      </c>
      <c r="C210" s="9" t="s">
        <v>28</v>
      </c>
      <c r="D210" s="6" t="s">
        <v>26</v>
      </c>
      <c r="E210" s="17" t="str">
        <f>VLOOKUP(C210,Resources!B:G,3,FALSE)</f>
        <v>P</v>
      </c>
      <c r="F210" s="12">
        <v>1</v>
      </c>
      <c r="G210" s="12">
        <f>G209</f>
        <v>0.5</v>
      </c>
      <c r="H210" s="12">
        <f>H208</f>
        <v>1</v>
      </c>
      <c r="I210" s="12">
        <f>VLOOKUP(C210,Resources!B:G,6,FALSE)</f>
        <v>95</v>
      </c>
      <c r="J210" s="21">
        <f t="shared" si="314"/>
        <v>190</v>
      </c>
      <c r="K210" s="21">
        <f t="shared" si="315"/>
        <v>2</v>
      </c>
      <c r="L210" s="24">
        <f t="shared" si="316"/>
        <v>2</v>
      </c>
      <c r="M210" s="24">
        <f t="shared" si="317"/>
        <v>0</v>
      </c>
      <c r="N210" s="24">
        <f t="shared" si="318"/>
        <v>0</v>
      </c>
      <c r="O210" s="24">
        <f t="shared" si="319"/>
        <v>190</v>
      </c>
      <c r="P210" s="24">
        <f t="shared" si="320"/>
        <v>0</v>
      </c>
      <c r="Q210" s="24">
        <f t="shared" si="321"/>
        <v>190</v>
      </c>
      <c r="R210" s="87">
        <v>62</v>
      </c>
      <c r="T210" s="235" t="str">
        <f t="shared" si="301"/>
        <v xml:space="preserve"> </v>
      </c>
    </row>
    <row r="211" spans="1:20" x14ac:dyDescent="0.25">
      <c r="A211" s="157"/>
      <c r="B211" s="6">
        <v>3</v>
      </c>
      <c r="C211" s="9" t="s">
        <v>89</v>
      </c>
      <c r="D211" s="6" t="s">
        <v>26</v>
      </c>
      <c r="E211" s="17" t="str">
        <f>VLOOKUP(C211,Resources!B:G,3,FALSE)</f>
        <v>P</v>
      </c>
      <c r="F211" s="12">
        <v>1</v>
      </c>
      <c r="G211" s="12">
        <f>G209</f>
        <v>0.5</v>
      </c>
      <c r="H211" s="12">
        <f>H208</f>
        <v>1</v>
      </c>
      <c r="I211" s="12">
        <f>VLOOKUP(C211,Resources!B:G,6,FALSE)</f>
        <v>55</v>
      </c>
      <c r="J211" s="21">
        <f t="shared" si="314"/>
        <v>110</v>
      </c>
      <c r="K211" s="21">
        <f t="shared" si="315"/>
        <v>2</v>
      </c>
      <c r="L211" s="24">
        <f t="shared" si="316"/>
        <v>2</v>
      </c>
      <c r="M211" s="24">
        <f t="shared" si="317"/>
        <v>0</v>
      </c>
      <c r="N211" s="24">
        <f t="shared" si="318"/>
        <v>0</v>
      </c>
      <c r="O211" s="24">
        <f t="shared" si="319"/>
        <v>110</v>
      </c>
      <c r="P211" s="24">
        <f t="shared" si="320"/>
        <v>0</v>
      </c>
      <c r="Q211" s="24">
        <f t="shared" si="321"/>
        <v>110</v>
      </c>
      <c r="R211" s="87">
        <v>62</v>
      </c>
      <c r="T211" s="235" t="str">
        <f t="shared" si="301"/>
        <v xml:space="preserve"> </v>
      </c>
    </row>
    <row r="212" spans="1:20" x14ac:dyDescent="0.25">
      <c r="A212" s="157"/>
      <c r="B212" s="6">
        <v>4</v>
      </c>
      <c r="C212" s="9" t="s">
        <v>8</v>
      </c>
      <c r="D212" s="6" t="s">
        <v>26</v>
      </c>
      <c r="E212" s="17" t="str">
        <f>VLOOKUP(C212,Resources!B:G,3,FALSE)</f>
        <v>L</v>
      </c>
      <c r="F212" s="12">
        <v>1</v>
      </c>
      <c r="G212" s="12">
        <f>G209</f>
        <v>0.5</v>
      </c>
      <c r="H212" s="12">
        <f>H208</f>
        <v>1</v>
      </c>
      <c r="I212" s="12">
        <f>VLOOKUP(C212,Resources!B:G,6,FALSE)</f>
        <v>51.9</v>
      </c>
      <c r="J212" s="21">
        <f t="shared" si="314"/>
        <v>103.8</v>
      </c>
      <c r="K212" s="21">
        <f t="shared" si="315"/>
        <v>2</v>
      </c>
      <c r="L212" s="24">
        <f t="shared" si="316"/>
        <v>2</v>
      </c>
      <c r="M212" s="24">
        <f t="shared" si="317"/>
        <v>103.8</v>
      </c>
      <c r="N212" s="24">
        <f t="shared" si="318"/>
        <v>0</v>
      </c>
      <c r="O212" s="24">
        <f t="shared" si="319"/>
        <v>0</v>
      </c>
      <c r="P212" s="24">
        <f t="shared" si="320"/>
        <v>0</v>
      </c>
      <c r="Q212" s="24">
        <f t="shared" si="321"/>
        <v>103.8</v>
      </c>
      <c r="R212" s="87">
        <v>62</v>
      </c>
      <c r="T212" s="235" t="str">
        <f t="shared" si="301"/>
        <v xml:space="preserve"> </v>
      </c>
    </row>
    <row r="213" spans="1:20" x14ac:dyDescent="0.25">
      <c r="A213" s="157"/>
      <c r="B213" s="6">
        <v>5</v>
      </c>
      <c r="C213" s="9" t="s">
        <v>116</v>
      </c>
      <c r="D213" s="6" t="s">
        <v>109</v>
      </c>
      <c r="E213" s="17" t="str">
        <f>VLOOKUP(C213,Resources!B:G,3,FALSE)</f>
        <v>S</v>
      </c>
      <c r="F213" s="12">
        <v>1</v>
      </c>
      <c r="G213" s="12">
        <v>1</v>
      </c>
      <c r="H213" s="12">
        <f>H208*50</f>
        <v>50</v>
      </c>
      <c r="I213" s="12">
        <f>VLOOKUP(C213,Resources!B:G,6,FALSE)</f>
        <v>5.82</v>
      </c>
      <c r="J213" s="21">
        <f t="shared" si="314"/>
        <v>291</v>
      </c>
      <c r="K213" s="21">
        <f t="shared" si="315"/>
        <v>50</v>
      </c>
      <c r="L213" s="24">
        <f t="shared" si="316"/>
        <v>50</v>
      </c>
      <c r="M213" s="24">
        <f t="shared" si="317"/>
        <v>0</v>
      </c>
      <c r="N213" s="24">
        <f t="shared" si="318"/>
        <v>0</v>
      </c>
      <c r="O213" s="24">
        <f t="shared" si="319"/>
        <v>0</v>
      </c>
      <c r="P213" s="24">
        <f t="shared" si="320"/>
        <v>291</v>
      </c>
      <c r="Q213" s="24">
        <f t="shared" si="321"/>
        <v>291</v>
      </c>
      <c r="R213" s="87">
        <v>64</v>
      </c>
      <c r="T213" s="235" t="str">
        <f t="shared" si="301"/>
        <v xml:space="preserve"> </v>
      </c>
    </row>
    <row r="214" spans="1:20" x14ac:dyDescent="0.25">
      <c r="F214" s="11"/>
      <c r="G214" s="11"/>
      <c r="H214" s="11"/>
      <c r="I214" s="11"/>
      <c r="J214" s="11"/>
      <c r="K214" s="11"/>
      <c r="R214" s="88"/>
      <c r="T214" s="235" t="str">
        <f t="shared" si="301"/>
        <v xml:space="preserve"> </v>
      </c>
    </row>
    <row r="215" spans="1:20" ht="30" x14ac:dyDescent="0.25">
      <c r="A215" s="156"/>
      <c r="B215" s="3" t="s">
        <v>137</v>
      </c>
      <c r="C215" s="3" t="s">
        <v>138</v>
      </c>
      <c r="D215" s="4"/>
      <c r="E215" s="15"/>
      <c r="F215" s="10"/>
      <c r="G215" s="10"/>
      <c r="H215" s="10"/>
      <c r="I215" s="10"/>
      <c r="J215" s="10"/>
      <c r="K215" s="10"/>
      <c r="L215" s="23"/>
      <c r="M215" s="23"/>
      <c r="N215" s="23"/>
      <c r="O215" s="23"/>
      <c r="P215" s="23"/>
      <c r="Q215" s="23"/>
      <c r="R215" s="86"/>
      <c r="T215" s="235" t="str">
        <f t="shared" si="301"/>
        <v xml:space="preserve"> </v>
      </c>
    </row>
    <row r="216" spans="1:20" ht="30" x14ac:dyDescent="0.25">
      <c r="A216" s="156">
        <v>38</v>
      </c>
      <c r="B216" s="3" t="s">
        <v>139</v>
      </c>
      <c r="C216" s="3" t="s">
        <v>570</v>
      </c>
      <c r="D216" s="4" t="s">
        <v>88</v>
      </c>
      <c r="E216" s="15"/>
      <c r="F216" s="10"/>
      <c r="G216" s="10"/>
      <c r="H216" s="26">
        <f>VLOOKUP($A216,'Model Inputs'!$A:$C,3,FALSE)</f>
        <v>27830</v>
      </c>
      <c r="I216" s="10"/>
      <c r="J216" s="10">
        <f>SUBTOTAL(9,J217:J219)</f>
        <v>21352.567500000001</v>
      </c>
      <c r="K216" s="10"/>
      <c r="L216" s="10">
        <f>ROUNDUP(MAX(L217:L219)/Workhrs,0)</f>
        <v>8</v>
      </c>
      <c r="M216" s="10">
        <f>SUBTOTAL(9,M217:M219)</f>
        <v>3610.9425000000001</v>
      </c>
      <c r="N216" s="10">
        <f t="shared" ref="N216:Q216" si="322">SUBTOTAL(9,N217:N219)</f>
        <v>0</v>
      </c>
      <c r="O216" s="10">
        <f t="shared" si="322"/>
        <v>17741.625</v>
      </c>
      <c r="P216" s="10">
        <f t="shared" si="322"/>
        <v>0</v>
      </c>
      <c r="Q216" s="10">
        <f t="shared" si="322"/>
        <v>21352.567500000001</v>
      </c>
      <c r="R216" s="86"/>
      <c r="T216" s="235" t="str">
        <f t="shared" si="301"/>
        <v xml:space="preserve"> </v>
      </c>
    </row>
    <row r="217" spans="1:20" x14ac:dyDescent="0.25">
      <c r="A217" s="157">
        <v>38.1</v>
      </c>
      <c r="B217" s="6">
        <v>1</v>
      </c>
      <c r="C217" s="9" t="s">
        <v>78</v>
      </c>
      <c r="D217" s="6" t="s">
        <v>26</v>
      </c>
      <c r="E217" s="17" t="str">
        <f>VLOOKUP(C217,Resources!B:G,3,FALSE)</f>
        <v>P</v>
      </c>
      <c r="F217" s="12">
        <v>1</v>
      </c>
      <c r="G217" s="26">
        <f>VLOOKUP($A217,'Model Inputs'!$A:$C,3,FALSE)</f>
        <v>400</v>
      </c>
      <c r="H217" s="12">
        <f>H216</f>
        <v>27830</v>
      </c>
      <c r="I217" s="12">
        <f>VLOOKUP(C217,Resources!B:G,6,FALSE)</f>
        <v>160</v>
      </c>
      <c r="J217" s="21">
        <f t="shared" ref="J217:J219" si="323">(H217/G217)*I217*F217</f>
        <v>11132</v>
      </c>
      <c r="K217" s="21">
        <f t="shared" ref="K217:K219" si="324">IF(E217="M"," ",L217*F217)</f>
        <v>69.575000000000003</v>
      </c>
      <c r="L217" s="24">
        <f t="shared" ref="L217:L219" si="325">IF(E217="M"," ",H217/G217)</f>
        <v>69.575000000000003</v>
      </c>
      <c r="M217" s="24">
        <f t="shared" ref="M217:M219" si="326">IF($E217="L",$J217,0)</f>
        <v>0</v>
      </c>
      <c r="N217" s="24">
        <f t="shared" ref="N217:N219" si="327">IF($E217="M",$J217,0)</f>
        <v>0</v>
      </c>
      <c r="O217" s="24">
        <f t="shared" ref="O217:O219" si="328">IF($E217="P",$J217,0)</f>
        <v>11132</v>
      </c>
      <c r="P217" s="24">
        <f t="shared" ref="P217:P219" si="329">IF($E217="S",$J217,0)</f>
        <v>0</v>
      </c>
      <c r="Q217" s="24">
        <f t="shared" ref="Q217:Q219" si="330">SUM(M217:P217)</f>
        <v>11132</v>
      </c>
      <c r="R217" s="87">
        <v>59</v>
      </c>
      <c r="T217" s="235" t="str">
        <f t="shared" si="301"/>
        <v xml:space="preserve"> </v>
      </c>
    </row>
    <row r="218" spans="1:20" x14ac:dyDescent="0.25">
      <c r="A218" s="157"/>
      <c r="B218" s="6">
        <v>2</v>
      </c>
      <c r="C218" s="9" t="s">
        <v>28</v>
      </c>
      <c r="D218" s="6" t="s">
        <v>26</v>
      </c>
      <c r="E218" s="17" t="str">
        <f>VLOOKUP(C218,Resources!B:G,3,FALSE)</f>
        <v>P</v>
      </c>
      <c r="F218" s="12">
        <v>1</v>
      </c>
      <c r="G218" s="12">
        <f>G217</f>
        <v>400</v>
      </c>
      <c r="H218" s="12">
        <f>H216</f>
        <v>27830</v>
      </c>
      <c r="I218" s="12">
        <f>VLOOKUP(C218,Resources!B:G,6,FALSE)</f>
        <v>95</v>
      </c>
      <c r="J218" s="21">
        <f t="shared" si="323"/>
        <v>6609.625</v>
      </c>
      <c r="K218" s="21">
        <f t="shared" si="324"/>
        <v>69.575000000000003</v>
      </c>
      <c r="L218" s="24">
        <f t="shared" si="325"/>
        <v>69.575000000000003</v>
      </c>
      <c r="M218" s="24">
        <f t="shared" si="326"/>
        <v>0</v>
      </c>
      <c r="N218" s="24">
        <f t="shared" si="327"/>
        <v>0</v>
      </c>
      <c r="O218" s="24">
        <f t="shared" si="328"/>
        <v>6609.625</v>
      </c>
      <c r="P218" s="24">
        <f t="shared" si="329"/>
        <v>0</v>
      </c>
      <c r="Q218" s="24">
        <f t="shared" si="330"/>
        <v>6609.625</v>
      </c>
      <c r="R218" s="87">
        <v>59</v>
      </c>
      <c r="T218" s="235" t="str">
        <f t="shared" si="301"/>
        <v xml:space="preserve"> </v>
      </c>
    </row>
    <row r="219" spans="1:20" x14ac:dyDescent="0.25">
      <c r="A219" s="157"/>
      <c r="B219" s="6">
        <v>3</v>
      </c>
      <c r="C219" s="9" t="s">
        <v>8</v>
      </c>
      <c r="D219" s="6" t="s">
        <v>26</v>
      </c>
      <c r="E219" s="17" t="str">
        <f>VLOOKUP(C219,Resources!B:G,3,FALSE)</f>
        <v>L</v>
      </c>
      <c r="F219" s="12">
        <v>1</v>
      </c>
      <c r="G219" s="12">
        <f>G217</f>
        <v>400</v>
      </c>
      <c r="H219" s="12">
        <f>H216</f>
        <v>27830</v>
      </c>
      <c r="I219" s="12">
        <f>VLOOKUP(C219,Resources!B:G,6,FALSE)</f>
        <v>51.9</v>
      </c>
      <c r="J219" s="21">
        <f t="shared" si="323"/>
        <v>3610.9425000000001</v>
      </c>
      <c r="K219" s="21">
        <f t="shared" si="324"/>
        <v>69.575000000000003</v>
      </c>
      <c r="L219" s="24">
        <f t="shared" si="325"/>
        <v>69.575000000000003</v>
      </c>
      <c r="M219" s="24">
        <f t="shared" si="326"/>
        <v>3610.9425000000001</v>
      </c>
      <c r="N219" s="24">
        <f t="shared" si="327"/>
        <v>0</v>
      </c>
      <c r="O219" s="24">
        <f t="shared" si="328"/>
        <v>0</v>
      </c>
      <c r="P219" s="24">
        <f t="shared" si="329"/>
        <v>0</v>
      </c>
      <c r="Q219" s="24">
        <f t="shared" si="330"/>
        <v>3610.9425000000001</v>
      </c>
      <c r="R219" s="87">
        <v>59</v>
      </c>
      <c r="T219" s="235" t="str">
        <f t="shared" si="301"/>
        <v xml:space="preserve"> </v>
      </c>
    </row>
    <row r="220" spans="1:20" x14ac:dyDescent="0.25">
      <c r="F220" s="11"/>
      <c r="G220" s="11"/>
      <c r="H220" s="11"/>
      <c r="I220" s="11"/>
      <c r="J220" s="11"/>
      <c r="K220" s="11"/>
      <c r="R220" s="88"/>
      <c r="T220" s="235" t="str">
        <f t="shared" si="301"/>
        <v xml:space="preserve"> </v>
      </c>
    </row>
    <row r="221" spans="1:20" ht="30" x14ac:dyDescent="0.25">
      <c r="A221" s="156">
        <v>39</v>
      </c>
      <c r="B221" s="3" t="s">
        <v>140</v>
      </c>
      <c r="C221" s="3" t="s">
        <v>571</v>
      </c>
      <c r="D221" s="4" t="s">
        <v>88</v>
      </c>
      <c r="E221" s="15"/>
      <c r="F221" s="10"/>
      <c r="G221" s="10"/>
      <c r="H221" s="26">
        <f>VLOOKUP($A221,'Model Inputs'!$A:$C,3,FALSE)</f>
        <v>27830</v>
      </c>
      <c r="I221" s="10"/>
      <c r="J221" s="10">
        <f>SUBTOTAL(9,J222:J223)</f>
        <v>27731.050000000003</v>
      </c>
      <c r="K221" s="10"/>
      <c r="L221" s="10">
        <f>ROUNDUP(MAX(L222:L223)/(Workhrs*1000),0)</f>
        <v>4</v>
      </c>
      <c r="M221" s="10">
        <f>SUBTOTAL(9,M222:M223)</f>
        <v>0</v>
      </c>
      <c r="N221" s="10">
        <f t="shared" ref="N221:Q221" si="331">SUBTOTAL(9,N222:N223)</f>
        <v>0</v>
      </c>
      <c r="O221" s="10">
        <f t="shared" si="331"/>
        <v>1710.0000000000002</v>
      </c>
      <c r="P221" s="10">
        <f t="shared" si="331"/>
        <v>26021.050000000003</v>
      </c>
      <c r="Q221" s="10">
        <f t="shared" si="331"/>
        <v>27731.050000000003</v>
      </c>
      <c r="R221" s="86"/>
      <c r="T221" s="235" t="str">
        <f t="shared" si="301"/>
        <v xml:space="preserve"> </v>
      </c>
    </row>
    <row r="222" spans="1:20" x14ac:dyDescent="0.25">
      <c r="A222" s="157"/>
      <c r="B222" s="6">
        <v>1</v>
      </c>
      <c r="C222" s="9" t="s">
        <v>142</v>
      </c>
      <c r="D222" s="6" t="s">
        <v>109</v>
      </c>
      <c r="E222" s="17" t="str">
        <f>VLOOKUP(C222,Resources!B:G,3,FALSE)</f>
        <v>S</v>
      </c>
      <c r="F222" s="12">
        <v>1</v>
      </c>
      <c r="G222" s="12">
        <v>1</v>
      </c>
      <c r="H222" s="12">
        <f>H221*1.1</f>
        <v>30613.000000000004</v>
      </c>
      <c r="I222" s="12">
        <f>VLOOKUP(C222,Resources!B:G,6,FALSE)</f>
        <v>0.85</v>
      </c>
      <c r="J222" s="21">
        <f t="shared" ref="J222:J223" si="332">(H222/G222)*I222*F222</f>
        <v>26021.050000000003</v>
      </c>
      <c r="K222" s="21">
        <f t="shared" ref="K222:K223" si="333">IF(E222="M"," ",L222*F222)</f>
        <v>30613.000000000004</v>
      </c>
      <c r="L222" s="24">
        <f t="shared" ref="L222:L223" si="334">IF(E222="M"," ",H222/G222)</f>
        <v>30613.000000000004</v>
      </c>
      <c r="M222" s="24">
        <f t="shared" ref="M222:M223" si="335">IF($E222="L",$J222,0)</f>
        <v>0</v>
      </c>
      <c r="N222" s="24">
        <f t="shared" ref="N222:N223" si="336">IF($E222="M",$J222,0)</f>
        <v>0</v>
      </c>
      <c r="O222" s="24">
        <f t="shared" ref="O222:O223" si="337">IF($E222="P",$J222,0)</f>
        <v>0</v>
      </c>
      <c r="P222" s="24">
        <f t="shared" ref="P222:P223" si="338">IF($E222="S",$J222,0)</f>
        <v>26021.050000000003</v>
      </c>
      <c r="Q222" s="24">
        <f t="shared" ref="Q222:Q223" si="339">SUM(M222:P222)</f>
        <v>26021.050000000003</v>
      </c>
      <c r="R222" s="87">
        <v>121</v>
      </c>
      <c r="T222" s="235" t="str">
        <f t="shared" si="301"/>
        <v xml:space="preserve"> </v>
      </c>
    </row>
    <row r="223" spans="1:20" x14ac:dyDescent="0.25">
      <c r="A223" s="157">
        <v>39.1</v>
      </c>
      <c r="B223" s="6">
        <v>2</v>
      </c>
      <c r="C223" s="9" t="s">
        <v>28</v>
      </c>
      <c r="D223" s="6" t="s">
        <v>26</v>
      </c>
      <c r="E223" s="17" t="str">
        <f>VLOOKUP(C223,Resources!B:G,3,FALSE)</f>
        <v>P</v>
      </c>
      <c r="F223" s="12">
        <v>1</v>
      </c>
      <c r="G223" s="26">
        <f>VLOOKUP($A223,'Model Inputs'!$A:$C,3,FALSE)</f>
        <v>1700.7222222222222</v>
      </c>
      <c r="H223" s="12">
        <f>H222</f>
        <v>30613.000000000004</v>
      </c>
      <c r="I223" s="12">
        <f>VLOOKUP(C223,Resources!B:G,6,FALSE)</f>
        <v>95</v>
      </c>
      <c r="J223" s="21">
        <f t="shared" si="332"/>
        <v>1710.0000000000002</v>
      </c>
      <c r="K223" s="21">
        <f t="shared" si="333"/>
        <v>18.000000000000004</v>
      </c>
      <c r="L223" s="24">
        <f t="shared" si="334"/>
        <v>18.000000000000004</v>
      </c>
      <c r="M223" s="24">
        <f t="shared" si="335"/>
        <v>0</v>
      </c>
      <c r="N223" s="24">
        <f t="shared" si="336"/>
        <v>0</v>
      </c>
      <c r="O223" s="24">
        <f t="shared" si="337"/>
        <v>1710.0000000000002</v>
      </c>
      <c r="P223" s="24">
        <f t="shared" si="338"/>
        <v>0</v>
      </c>
      <c r="Q223" s="24">
        <f t="shared" si="339"/>
        <v>1710.0000000000002</v>
      </c>
      <c r="R223" s="87">
        <v>121</v>
      </c>
      <c r="T223" s="235" t="str">
        <f t="shared" si="301"/>
        <v xml:space="preserve"> </v>
      </c>
    </row>
    <row r="224" spans="1:20" x14ac:dyDescent="0.25">
      <c r="F224" s="11"/>
      <c r="G224" s="11"/>
      <c r="H224" s="11"/>
      <c r="I224" s="11"/>
      <c r="J224" s="11"/>
      <c r="K224" s="11"/>
      <c r="R224" s="88"/>
      <c r="T224" s="235" t="str">
        <f t="shared" si="301"/>
        <v xml:space="preserve"> </v>
      </c>
    </row>
    <row r="225" spans="1:20" ht="30" x14ac:dyDescent="0.25">
      <c r="A225" s="156">
        <v>40</v>
      </c>
      <c r="B225" s="3" t="s">
        <v>143</v>
      </c>
      <c r="C225" s="3" t="s">
        <v>572</v>
      </c>
      <c r="D225" s="4" t="s">
        <v>145</v>
      </c>
      <c r="E225" s="15"/>
      <c r="F225" s="10"/>
      <c r="G225" s="10"/>
      <c r="H225" s="26">
        <f>VLOOKUP($A225,'Model Inputs'!$A:$C,3,FALSE)</f>
        <v>40</v>
      </c>
      <c r="I225" s="10"/>
      <c r="J225" s="10">
        <f>SUBTOTAL(9,J226:J229)</f>
        <v>10842.666666666668</v>
      </c>
      <c r="K225" s="10"/>
      <c r="L225" s="10">
        <f>ROUNDUP(MAX(L226:L229)/Workhrs,0)</f>
        <v>2</v>
      </c>
      <c r="M225" s="10">
        <f>SUBTOTAL(9,M226:M229)</f>
        <v>2076</v>
      </c>
      <c r="N225" s="10">
        <f t="shared" ref="N225:Q225" si="340">SUBTOTAL(9,N226:N229)</f>
        <v>6300</v>
      </c>
      <c r="O225" s="10">
        <f t="shared" si="340"/>
        <v>2466.666666666667</v>
      </c>
      <c r="P225" s="10">
        <f t="shared" si="340"/>
        <v>0</v>
      </c>
      <c r="Q225" s="10">
        <f t="shared" si="340"/>
        <v>10842.666666666668</v>
      </c>
      <c r="R225" s="86"/>
      <c r="T225" s="235" t="str">
        <f t="shared" si="301"/>
        <v xml:space="preserve"> </v>
      </c>
    </row>
    <row r="226" spans="1:20" x14ac:dyDescent="0.25">
      <c r="A226" s="157"/>
      <c r="B226" s="6">
        <v>1</v>
      </c>
      <c r="C226" s="9" t="s">
        <v>146</v>
      </c>
      <c r="D226" s="6" t="s">
        <v>100</v>
      </c>
      <c r="E226" s="17" t="str">
        <f>VLOOKUP(C226,Resources!B:G,3,FALSE)</f>
        <v>M</v>
      </c>
      <c r="F226" s="12">
        <v>1</v>
      </c>
      <c r="G226" s="12">
        <v>1</v>
      </c>
      <c r="H226" s="12">
        <f>H225*4.5</f>
        <v>180</v>
      </c>
      <c r="I226" s="12">
        <f>VLOOKUP(C226,Resources!B:G,6,FALSE)</f>
        <v>35</v>
      </c>
      <c r="J226" s="21">
        <f t="shared" ref="J226:J229" si="341">(H226/G226)*I226*F226</f>
        <v>6300</v>
      </c>
      <c r="K226" s="21" t="str">
        <f t="shared" ref="K226:K229" si="342">IF(E226="M"," ",L226*F226)</f>
        <v xml:space="preserve"> </v>
      </c>
      <c r="L226" s="24" t="str">
        <f t="shared" ref="L226:L229" si="343">IF(E226="M"," ",H226/G226)</f>
        <v xml:space="preserve"> </v>
      </c>
      <c r="M226" s="24">
        <f t="shared" ref="M226:M229" si="344">IF($E226="L",$J226,0)</f>
        <v>0</v>
      </c>
      <c r="N226" s="24">
        <f t="shared" ref="N226:N229" si="345">IF($E226="M",$J226,0)</f>
        <v>6300</v>
      </c>
      <c r="O226" s="24">
        <f t="shared" ref="O226:O229" si="346">IF($E226="P",$J226,0)</f>
        <v>0</v>
      </c>
      <c r="P226" s="24">
        <f t="shared" ref="P226:P229" si="347">IF($E226="S",$J226,0)</f>
        <v>0</v>
      </c>
      <c r="Q226" s="24">
        <f t="shared" ref="Q226:Q229" si="348">SUM(M226:P226)</f>
        <v>6300</v>
      </c>
      <c r="R226" s="87" t="s">
        <v>540</v>
      </c>
      <c r="T226" s="235" t="str">
        <f t="shared" si="301"/>
        <v xml:space="preserve"> </v>
      </c>
    </row>
    <row r="227" spans="1:20" x14ac:dyDescent="0.25">
      <c r="A227" s="157">
        <v>40.1</v>
      </c>
      <c r="B227" s="6">
        <v>2</v>
      </c>
      <c r="C227" s="9" t="s">
        <v>82</v>
      </c>
      <c r="D227" s="6" t="s">
        <v>26</v>
      </c>
      <c r="E227" s="17" t="str">
        <f>VLOOKUP(C227,Resources!B:G,3,FALSE)</f>
        <v>P</v>
      </c>
      <c r="F227" s="12">
        <v>1</v>
      </c>
      <c r="G227" s="26">
        <f>VLOOKUP($A227,'Model Inputs'!$A:$C,3,FALSE)</f>
        <v>3</v>
      </c>
      <c r="H227" s="12">
        <f>H225</f>
        <v>40</v>
      </c>
      <c r="I227" s="12">
        <f>VLOOKUP(C227,Resources!B:G,6,FALSE)</f>
        <v>95</v>
      </c>
      <c r="J227" s="21">
        <f t="shared" si="341"/>
        <v>1266.6666666666667</v>
      </c>
      <c r="K227" s="21">
        <f t="shared" si="342"/>
        <v>13.333333333333334</v>
      </c>
      <c r="L227" s="24">
        <f t="shared" si="343"/>
        <v>13.333333333333334</v>
      </c>
      <c r="M227" s="24">
        <f t="shared" si="344"/>
        <v>0</v>
      </c>
      <c r="N227" s="24">
        <f t="shared" si="345"/>
        <v>0</v>
      </c>
      <c r="O227" s="24">
        <f t="shared" si="346"/>
        <v>1266.6666666666667</v>
      </c>
      <c r="P227" s="24">
        <f t="shared" si="347"/>
        <v>0</v>
      </c>
      <c r="Q227" s="24">
        <f t="shared" si="348"/>
        <v>1266.6666666666667</v>
      </c>
      <c r="R227" s="87">
        <v>151</v>
      </c>
      <c r="T227" s="235" t="str">
        <f t="shared" si="301"/>
        <v xml:space="preserve"> </v>
      </c>
    </row>
    <row r="228" spans="1:20" x14ac:dyDescent="0.25">
      <c r="A228" s="157"/>
      <c r="B228" s="6">
        <v>3</v>
      </c>
      <c r="C228" s="9" t="s">
        <v>8</v>
      </c>
      <c r="D228" s="6" t="s">
        <v>26</v>
      </c>
      <c r="E228" s="17" t="str">
        <f>VLOOKUP(C228,Resources!B:G,3,FALSE)</f>
        <v>L</v>
      </c>
      <c r="F228" s="12">
        <v>3</v>
      </c>
      <c r="G228" s="12">
        <f>G227</f>
        <v>3</v>
      </c>
      <c r="H228" s="12">
        <f>H225</f>
        <v>40</v>
      </c>
      <c r="I228" s="12">
        <f>VLOOKUP(C228,Resources!B:G,6,FALSE)</f>
        <v>51.9</v>
      </c>
      <c r="J228" s="21">
        <f t="shared" si="341"/>
        <v>2076</v>
      </c>
      <c r="K228" s="21">
        <f t="shared" si="342"/>
        <v>40</v>
      </c>
      <c r="L228" s="24">
        <f t="shared" si="343"/>
        <v>13.333333333333334</v>
      </c>
      <c r="M228" s="24">
        <f t="shared" si="344"/>
        <v>2076</v>
      </c>
      <c r="N228" s="24">
        <f t="shared" si="345"/>
        <v>0</v>
      </c>
      <c r="O228" s="24">
        <f t="shared" si="346"/>
        <v>0</v>
      </c>
      <c r="P228" s="24">
        <f t="shared" si="347"/>
        <v>0</v>
      </c>
      <c r="Q228" s="24">
        <f t="shared" si="348"/>
        <v>2076</v>
      </c>
      <c r="R228" s="87">
        <v>151</v>
      </c>
      <c r="T228" s="235" t="str">
        <f t="shared" si="301"/>
        <v xml:space="preserve"> </v>
      </c>
    </row>
    <row r="229" spans="1:20" x14ac:dyDescent="0.25">
      <c r="A229" s="157"/>
      <c r="B229" s="6">
        <v>4</v>
      </c>
      <c r="C229" s="9" t="s">
        <v>27</v>
      </c>
      <c r="D229" s="6" t="s">
        <v>26</v>
      </c>
      <c r="E229" s="17" t="str">
        <f>VLOOKUP(C229,Resources!B:G,3,FALSE)</f>
        <v>P</v>
      </c>
      <c r="F229" s="12">
        <v>1</v>
      </c>
      <c r="G229" s="12">
        <f>G227</f>
        <v>3</v>
      </c>
      <c r="H229" s="12">
        <f>H225</f>
        <v>40</v>
      </c>
      <c r="I229" s="12">
        <f>VLOOKUP(C229,Resources!B:G,6,FALSE)</f>
        <v>90</v>
      </c>
      <c r="J229" s="21">
        <f t="shared" si="341"/>
        <v>1200</v>
      </c>
      <c r="K229" s="21">
        <f t="shared" si="342"/>
        <v>13.333333333333334</v>
      </c>
      <c r="L229" s="24">
        <f t="shared" si="343"/>
        <v>13.333333333333334</v>
      </c>
      <c r="M229" s="24">
        <f t="shared" si="344"/>
        <v>0</v>
      </c>
      <c r="N229" s="24">
        <f t="shared" si="345"/>
        <v>0</v>
      </c>
      <c r="O229" s="24">
        <f t="shared" si="346"/>
        <v>1200</v>
      </c>
      <c r="P229" s="24">
        <f t="shared" si="347"/>
        <v>0</v>
      </c>
      <c r="Q229" s="24">
        <f t="shared" si="348"/>
        <v>1200</v>
      </c>
      <c r="R229" s="87">
        <v>151</v>
      </c>
      <c r="T229" s="235" t="str">
        <f t="shared" si="301"/>
        <v xml:space="preserve"> </v>
      </c>
    </row>
    <row r="230" spans="1:20" x14ac:dyDescent="0.25">
      <c r="F230" s="11"/>
      <c r="G230" s="11"/>
      <c r="H230" s="11"/>
      <c r="I230" s="11"/>
      <c r="J230" s="11"/>
      <c r="K230" s="11"/>
      <c r="R230" s="88"/>
      <c r="T230" s="235" t="str">
        <f t="shared" si="301"/>
        <v xml:space="preserve"> </v>
      </c>
    </row>
    <row r="231" spans="1:20" ht="30" x14ac:dyDescent="0.25">
      <c r="A231" s="156"/>
      <c r="B231" s="3" t="s">
        <v>147</v>
      </c>
      <c r="C231" s="3" t="s">
        <v>148</v>
      </c>
      <c r="D231" s="4"/>
      <c r="E231" s="15"/>
      <c r="F231" s="10"/>
      <c r="G231" s="10"/>
      <c r="H231" s="10"/>
      <c r="I231" s="10"/>
      <c r="J231" s="10"/>
      <c r="K231" s="10"/>
      <c r="L231" s="23"/>
      <c r="M231" s="23"/>
      <c r="N231" s="23"/>
      <c r="O231" s="23"/>
      <c r="P231" s="23"/>
      <c r="Q231" s="23"/>
      <c r="R231" s="86"/>
      <c r="T231" s="235" t="str">
        <f t="shared" si="301"/>
        <v xml:space="preserve"> </v>
      </c>
    </row>
    <row r="232" spans="1:20" ht="45" x14ac:dyDescent="0.25">
      <c r="A232" s="156">
        <v>41</v>
      </c>
      <c r="B232" s="3" t="s">
        <v>149</v>
      </c>
      <c r="C232" s="3" t="s">
        <v>150</v>
      </c>
      <c r="D232" s="4" t="s">
        <v>145</v>
      </c>
      <c r="E232" s="15"/>
      <c r="F232" s="10"/>
      <c r="G232" s="10"/>
      <c r="H232" s="26">
        <f>VLOOKUP($A232,'Model Inputs'!$A:$C,3,FALSE)</f>
        <v>40</v>
      </c>
      <c r="I232" s="10"/>
      <c r="J232" s="10">
        <f>SUBTOTAL(9,J233)</f>
        <v>2000</v>
      </c>
      <c r="K232" s="10"/>
      <c r="L232" s="10">
        <f>MAX(L233)</f>
        <v>0</v>
      </c>
      <c r="M232" s="10">
        <f>SUBTOTAL(9,M233)</f>
        <v>0</v>
      </c>
      <c r="N232" s="10">
        <f t="shared" ref="N232:Q232" si="349">SUBTOTAL(9,N233)</f>
        <v>2000</v>
      </c>
      <c r="O232" s="10">
        <f t="shared" si="349"/>
        <v>0</v>
      </c>
      <c r="P232" s="10">
        <f t="shared" si="349"/>
        <v>0</v>
      </c>
      <c r="Q232" s="10">
        <f t="shared" si="349"/>
        <v>2000</v>
      </c>
      <c r="R232" s="86"/>
      <c r="T232" s="235" t="str">
        <f t="shared" si="301"/>
        <v xml:space="preserve"> </v>
      </c>
    </row>
    <row r="233" spans="1:20" x14ac:dyDescent="0.25">
      <c r="A233" s="157"/>
      <c r="B233" s="6">
        <v>1</v>
      </c>
      <c r="C233" s="9" t="s">
        <v>151</v>
      </c>
      <c r="D233" s="6" t="s">
        <v>31</v>
      </c>
      <c r="E233" s="17" t="str">
        <f>VLOOKUP(C233,Resources!B:G,3,FALSE)</f>
        <v>M</v>
      </c>
      <c r="F233" s="12">
        <v>1</v>
      </c>
      <c r="G233" s="12">
        <v>1</v>
      </c>
      <c r="H233" s="12">
        <f>H232</f>
        <v>40</v>
      </c>
      <c r="I233" s="12">
        <f>VLOOKUP(C233,Resources!B:G,6,FALSE)</f>
        <v>50</v>
      </c>
      <c r="J233" s="21">
        <f t="shared" ref="J233" si="350">(H233/G233)*I233*F233</f>
        <v>2000</v>
      </c>
      <c r="K233" s="21" t="str">
        <f t="shared" ref="K233" si="351">IF(E233="M"," ",L233*F233)</f>
        <v xml:space="preserve"> </v>
      </c>
      <c r="L233" s="24" t="str">
        <f t="shared" ref="L233" si="352">IF(E233="M"," ",H233/G233)</f>
        <v xml:space="preserve"> </v>
      </c>
      <c r="M233" s="24">
        <f>IF($E233="L",$J233,0)</f>
        <v>0</v>
      </c>
      <c r="N233" s="24">
        <f>IF($E233="M",$J233,0)</f>
        <v>2000</v>
      </c>
      <c r="O233" s="24">
        <f>IF($E233="P",$J233,0)</f>
        <v>0</v>
      </c>
      <c r="P233" s="24">
        <f>IF($E233="S",$J233,0)</f>
        <v>0</v>
      </c>
      <c r="Q233" s="24">
        <f>SUM(M233:P233)</f>
        <v>2000</v>
      </c>
      <c r="R233" s="87">
        <v>67</v>
      </c>
      <c r="T233" s="235" t="str">
        <f t="shared" si="301"/>
        <v xml:space="preserve"> </v>
      </c>
    </row>
    <row r="234" spans="1:20" x14ac:dyDescent="0.25">
      <c r="F234" s="11"/>
      <c r="G234" s="11"/>
      <c r="H234" s="11"/>
      <c r="I234" s="11"/>
      <c r="J234" s="11"/>
      <c r="K234" s="11"/>
      <c r="R234" s="88"/>
      <c r="T234" s="235" t="str">
        <f t="shared" si="301"/>
        <v xml:space="preserve"> </v>
      </c>
    </row>
    <row r="235" spans="1:20" ht="30" x14ac:dyDescent="0.25">
      <c r="A235" s="156">
        <v>42</v>
      </c>
      <c r="B235" s="3" t="s">
        <v>152</v>
      </c>
      <c r="C235" s="3" t="s">
        <v>153</v>
      </c>
      <c r="D235" s="4" t="s">
        <v>145</v>
      </c>
      <c r="E235" s="15"/>
      <c r="F235" s="10"/>
      <c r="G235" s="10"/>
      <c r="H235" s="26">
        <f>VLOOKUP($A235,'Model Inputs'!$A:$C,3,FALSE)</f>
        <v>2</v>
      </c>
      <c r="I235" s="10"/>
      <c r="J235" s="10">
        <f>SUBTOTAL(9,J236:J238)</f>
        <v>957.6</v>
      </c>
      <c r="K235" s="10"/>
      <c r="L235" s="10">
        <f>ROUNDUP(MAX(L236:L238)/Workhrs,0)</f>
        <v>1</v>
      </c>
      <c r="M235" s="10">
        <f>SUBTOTAL(9,M236:M238)</f>
        <v>207.6</v>
      </c>
      <c r="N235" s="10">
        <f t="shared" ref="N235:Q235" si="353">SUBTOTAL(9,N236:N238)</f>
        <v>560</v>
      </c>
      <c r="O235" s="10">
        <f t="shared" si="353"/>
        <v>190</v>
      </c>
      <c r="P235" s="10">
        <f t="shared" si="353"/>
        <v>0</v>
      </c>
      <c r="Q235" s="10">
        <f t="shared" si="353"/>
        <v>957.6</v>
      </c>
      <c r="R235" s="86"/>
      <c r="T235" s="235" t="str">
        <f t="shared" si="301"/>
        <v xml:space="preserve"> </v>
      </c>
    </row>
    <row r="236" spans="1:20" x14ac:dyDescent="0.25">
      <c r="A236" s="157"/>
      <c r="B236" s="6">
        <v>1</v>
      </c>
      <c r="C236" s="9" t="s">
        <v>154</v>
      </c>
      <c r="D236" s="6" t="s">
        <v>31</v>
      </c>
      <c r="E236" s="17" t="str">
        <f>VLOOKUP(C236,Resources!B:G,3,FALSE)</f>
        <v>M</v>
      </c>
      <c r="F236" s="12">
        <v>1</v>
      </c>
      <c r="G236" s="12">
        <v>1</v>
      </c>
      <c r="H236" s="12">
        <f>H235*2</f>
        <v>4</v>
      </c>
      <c r="I236" s="12">
        <f>VLOOKUP(C236,Resources!B:G,6,FALSE)</f>
        <v>140</v>
      </c>
      <c r="J236" s="21">
        <f t="shared" ref="J236:J238" si="354">(H236/G236)*I236*F236</f>
        <v>560</v>
      </c>
      <c r="K236" s="21" t="str">
        <f t="shared" ref="K236:K238" si="355">IF(E236="M"," ",L236*F236)</f>
        <v xml:space="preserve"> </v>
      </c>
      <c r="L236" s="24" t="str">
        <f t="shared" ref="L236:L238" si="356">IF(E236="M"," ",H236/G236)</f>
        <v xml:space="preserve"> </v>
      </c>
      <c r="M236" s="24">
        <f t="shared" ref="M236:M238" si="357">IF($E236="L",$J236,0)</f>
        <v>0</v>
      </c>
      <c r="N236" s="24">
        <f t="shared" ref="N236:N238" si="358">IF($E236="M",$J236,0)</f>
        <v>560</v>
      </c>
      <c r="O236" s="24">
        <f t="shared" ref="O236:O238" si="359">IF($E236="P",$J236,0)</f>
        <v>0</v>
      </c>
      <c r="P236" s="24">
        <f t="shared" ref="P236:P238" si="360">IF($E236="S",$J236,0)</f>
        <v>0</v>
      </c>
      <c r="Q236" s="24">
        <f t="shared" ref="Q236:Q238" si="361">SUM(M236:P236)</f>
        <v>560</v>
      </c>
      <c r="R236" s="87">
        <v>67</v>
      </c>
      <c r="T236" s="235" t="str">
        <f t="shared" si="301"/>
        <v xml:space="preserve"> </v>
      </c>
    </row>
    <row r="237" spans="1:20" x14ac:dyDescent="0.25">
      <c r="A237" s="157">
        <v>42.1</v>
      </c>
      <c r="B237" s="6">
        <v>2</v>
      </c>
      <c r="C237" s="9" t="s">
        <v>82</v>
      </c>
      <c r="D237" s="6" t="s">
        <v>26</v>
      </c>
      <c r="E237" s="17" t="str">
        <f>VLOOKUP(C237,Resources!B:G,3,FALSE)</f>
        <v>P</v>
      </c>
      <c r="F237" s="12">
        <v>1</v>
      </c>
      <c r="G237" s="26">
        <f>VLOOKUP($A237,'Model Inputs'!$A:$C,3,FALSE)</f>
        <v>1</v>
      </c>
      <c r="H237" s="12">
        <f>H235</f>
        <v>2</v>
      </c>
      <c r="I237" s="12">
        <f>VLOOKUP(C237,Resources!B:G,6,FALSE)</f>
        <v>95</v>
      </c>
      <c r="J237" s="21">
        <f t="shared" si="354"/>
        <v>190</v>
      </c>
      <c r="K237" s="21">
        <f t="shared" si="355"/>
        <v>2</v>
      </c>
      <c r="L237" s="24">
        <f t="shared" si="356"/>
        <v>2</v>
      </c>
      <c r="M237" s="24">
        <f t="shared" si="357"/>
        <v>0</v>
      </c>
      <c r="N237" s="24">
        <f t="shared" si="358"/>
        <v>0</v>
      </c>
      <c r="O237" s="24">
        <f t="shared" si="359"/>
        <v>190</v>
      </c>
      <c r="P237" s="24">
        <f t="shared" si="360"/>
        <v>0</v>
      </c>
      <c r="Q237" s="24">
        <f t="shared" si="361"/>
        <v>190</v>
      </c>
      <c r="R237" s="87">
        <v>67</v>
      </c>
      <c r="T237" s="235" t="str">
        <f t="shared" si="301"/>
        <v xml:space="preserve"> </v>
      </c>
    </row>
    <row r="238" spans="1:20" x14ac:dyDescent="0.25">
      <c r="A238" s="157"/>
      <c r="B238" s="6">
        <v>3</v>
      </c>
      <c r="C238" s="9" t="s">
        <v>8</v>
      </c>
      <c r="D238" s="6" t="s">
        <v>26</v>
      </c>
      <c r="E238" s="17" t="str">
        <f>VLOOKUP(C238,Resources!B:G,3,FALSE)</f>
        <v>L</v>
      </c>
      <c r="F238" s="12">
        <v>2</v>
      </c>
      <c r="G238" s="12">
        <f>G237</f>
        <v>1</v>
      </c>
      <c r="H238" s="12">
        <f>H235</f>
        <v>2</v>
      </c>
      <c r="I238" s="12">
        <f>VLOOKUP(C238,Resources!B:G,6,FALSE)</f>
        <v>51.9</v>
      </c>
      <c r="J238" s="21">
        <f t="shared" si="354"/>
        <v>207.6</v>
      </c>
      <c r="K238" s="21">
        <f t="shared" si="355"/>
        <v>4</v>
      </c>
      <c r="L238" s="24">
        <f t="shared" si="356"/>
        <v>2</v>
      </c>
      <c r="M238" s="24">
        <f t="shared" si="357"/>
        <v>207.6</v>
      </c>
      <c r="N238" s="24">
        <f t="shared" si="358"/>
        <v>0</v>
      </c>
      <c r="O238" s="24">
        <f t="shared" si="359"/>
        <v>0</v>
      </c>
      <c r="P238" s="24">
        <f t="shared" si="360"/>
        <v>0</v>
      </c>
      <c r="Q238" s="24">
        <f t="shared" si="361"/>
        <v>207.6</v>
      </c>
      <c r="R238" s="87">
        <v>67</v>
      </c>
      <c r="T238" s="235" t="str">
        <f t="shared" si="301"/>
        <v xml:space="preserve"> </v>
      </c>
    </row>
    <row r="239" spans="1:20" x14ac:dyDescent="0.25">
      <c r="F239" s="11"/>
      <c r="G239" s="11"/>
      <c r="H239" s="11"/>
      <c r="I239" s="11"/>
      <c r="J239" s="11"/>
      <c r="K239" s="11"/>
      <c r="R239" s="88"/>
      <c r="T239" s="235" t="str">
        <f t="shared" si="301"/>
        <v xml:space="preserve"> </v>
      </c>
    </row>
    <row r="240" spans="1:20" ht="30" x14ac:dyDescent="0.25">
      <c r="A240" s="156">
        <v>43</v>
      </c>
      <c r="B240" s="3" t="s">
        <v>155</v>
      </c>
      <c r="C240" s="3" t="s">
        <v>156</v>
      </c>
      <c r="D240" s="4" t="s">
        <v>18</v>
      </c>
      <c r="E240" s="15"/>
      <c r="F240" s="10"/>
      <c r="G240" s="10"/>
      <c r="H240" s="26">
        <f>VLOOKUP($A240,'Model Inputs'!$A:$C,3,FALSE)</f>
        <v>1</v>
      </c>
      <c r="I240" s="10"/>
      <c r="J240" s="10">
        <f>SUBTOTAL(9,J241:J243)</f>
        <v>338.8</v>
      </c>
      <c r="K240" s="10"/>
      <c r="L240" s="10">
        <f>ROUNDUP(MAX(L241:L243)/Workhrs,0)</f>
        <v>1</v>
      </c>
      <c r="M240" s="10">
        <f>SUBTOTAL(9,M241:M243)</f>
        <v>103.8</v>
      </c>
      <c r="N240" s="10">
        <f t="shared" ref="N240:Q240" si="362">SUBTOTAL(9,N241:N243)</f>
        <v>140</v>
      </c>
      <c r="O240" s="10">
        <f t="shared" si="362"/>
        <v>95</v>
      </c>
      <c r="P240" s="10">
        <f t="shared" si="362"/>
        <v>0</v>
      </c>
      <c r="Q240" s="10">
        <f t="shared" si="362"/>
        <v>338.8</v>
      </c>
      <c r="R240" s="86"/>
      <c r="T240" s="235" t="str">
        <f t="shared" si="301"/>
        <v xml:space="preserve"> </v>
      </c>
    </row>
    <row r="241" spans="1:21" x14ac:dyDescent="0.25">
      <c r="A241" s="157"/>
      <c r="B241" s="6">
        <v>1</v>
      </c>
      <c r="C241" s="9" t="s">
        <v>154</v>
      </c>
      <c r="D241" s="6" t="s">
        <v>31</v>
      </c>
      <c r="E241" s="17" t="str">
        <f>VLOOKUP(C241,Resources!B:G,3,FALSE)</f>
        <v>M</v>
      </c>
      <c r="F241" s="12">
        <v>1</v>
      </c>
      <c r="G241" s="12">
        <v>1</v>
      </c>
      <c r="H241" s="12">
        <f>H240</f>
        <v>1</v>
      </c>
      <c r="I241" s="12">
        <f>VLOOKUP(C241,Resources!B:G,6,FALSE)</f>
        <v>140</v>
      </c>
      <c r="J241" s="21">
        <f t="shared" ref="J241:J243" si="363">(H241/G241)*I241*F241</f>
        <v>140</v>
      </c>
      <c r="K241" s="21" t="str">
        <f t="shared" ref="K241:K243" si="364">IF(E241="M"," ",L241*F241)</f>
        <v xml:space="preserve"> </v>
      </c>
      <c r="L241" s="24" t="str">
        <f t="shared" ref="L241:L243" si="365">IF(E241="M"," ",H241/G241)</f>
        <v xml:space="preserve"> </v>
      </c>
      <c r="M241" s="24">
        <f t="shared" ref="M241:M243" si="366">IF($E241="L",$J241,0)</f>
        <v>0</v>
      </c>
      <c r="N241" s="24">
        <f t="shared" ref="N241:N243" si="367">IF($E241="M",$J241,0)</f>
        <v>140</v>
      </c>
      <c r="O241" s="24">
        <f t="shared" ref="O241:O243" si="368">IF($E241="P",$J241,0)</f>
        <v>0</v>
      </c>
      <c r="P241" s="24">
        <f t="shared" ref="P241:P243" si="369">IF($E241="S",$J241,0)</f>
        <v>0</v>
      </c>
      <c r="Q241" s="24">
        <f t="shared" ref="Q241:Q243" si="370">SUM(M241:P241)</f>
        <v>140</v>
      </c>
      <c r="R241" s="87">
        <v>67</v>
      </c>
      <c r="T241" s="235" t="str">
        <f t="shared" si="301"/>
        <v xml:space="preserve"> </v>
      </c>
    </row>
    <row r="242" spans="1:21" x14ac:dyDescent="0.25">
      <c r="A242" s="157">
        <v>43.1</v>
      </c>
      <c r="B242" s="6">
        <v>2</v>
      </c>
      <c r="C242" s="9" t="s">
        <v>82</v>
      </c>
      <c r="D242" s="6" t="s">
        <v>26</v>
      </c>
      <c r="E242" s="17" t="str">
        <f>VLOOKUP(C242,Resources!B:G,3,FALSE)</f>
        <v>P</v>
      </c>
      <c r="F242" s="12">
        <v>1</v>
      </c>
      <c r="G242" s="26">
        <f>VLOOKUP($A242,'Model Inputs'!$A:$C,3,FALSE)</f>
        <v>1</v>
      </c>
      <c r="H242" s="12">
        <f>H240</f>
        <v>1</v>
      </c>
      <c r="I242" s="12">
        <f>VLOOKUP(C242,Resources!B:G,6,FALSE)</f>
        <v>95</v>
      </c>
      <c r="J242" s="21">
        <f t="shared" si="363"/>
        <v>95</v>
      </c>
      <c r="K242" s="21">
        <f t="shared" si="364"/>
        <v>1</v>
      </c>
      <c r="L242" s="24">
        <f t="shared" si="365"/>
        <v>1</v>
      </c>
      <c r="M242" s="24">
        <f t="shared" si="366"/>
        <v>0</v>
      </c>
      <c r="N242" s="24">
        <f t="shared" si="367"/>
        <v>0</v>
      </c>
      <c r="O242" s="24">
        <f t="shared" si="368"/>
        <v>95</v>
      </c>
      <c r="P242" s="24">
        <f t="shared" si="369"/>
        <v>0</v>
      </c>
      <c r="Q242" s="24">
        <f t="shared" si="370"/>
        <v>95</v>
      </c>
      <c r="R242" s="87">
        <v>67</v>
      </c>
      <c r="T242" s="235" t="str">
        <f t="shared" si="301"/>
        <v xml:space="preserve"> </v>
      </c>
    </row>
    <row r="243" spans="1:21" x14ac:dyDescent="0.25">
      <c r="A243" s="157"/>
      <c r="B243" s="6">
        <v>3</v>
      </c>
      <c r="C243" s="9" t="s">
        <v>8</v>
      </c>
      <c r="D243" s="6" t="s">
        <v>26</v>
      </c>
      <c r="E243" s="17" t="str">
        <f>VLOOKUP(C243,Resources!B:G,3,FALSE)</f>
        <v>L</v>
      </c>
      <c r="F243" s="12">
        <v>2</v>
      </c>
      <c r="G243" s="12">
        <f>G242</f>
        <v>1</v>
      </c>
      <c r="H243" s="12">
        <f>H240</f>
        <v>1</v>
      </c>
      <c r="I243" s="12">
        <f>VLOOKUP(C243,Resources!B:G,6,FALSE)</f>
        <v>51.9</v>
      </c>
      <c r="J243" s="21">
        <f t="shared" si="363"/>
        <v>103.8</v>
      </c>
      <c r="K243" s="21">
        <f t="shared" si="364"/>
        <v>2</v>
      </c>
      <c r="L243" s="24">
        <f t="shared" si="365"/>
        <v>1</v>
      </c>
      <c r="M243" s="24">
        <f t="shared" si="366"/>
        <v>103.8</v>
      </c>
      <c r="N243" s="24">
        <f t="shared" si="367"/>
        <v>0</v>
      </c>
      <c r="O243" s="24">
        <f t="shared" si="368"/>
        <v>0</v>
      </c>
      <c r="P243" s="24">
        <f t="shared" si="369"/>
        <v>0</v>
      </c>
      <c r="Q243" s="24">
        <f t="shared" si="370"/>
        <v>103.8</v>
      </c>
      <c r="R243" s="87">
        <v>67</v>
      </c>
      <c r="T243" s="235" t="str">
        <f t="shared" si="301"/>
        <v xml:space="preserve"> </v>
      </c>
    </row>
    <row r="244" spans="1:21" x14ac:dyDescent="0.25">
      <c r="F244" s="11"/>
      <c r="G244" s="11"/>
      <c r="H244" s="11"/>
      <c r="I244" s="11"/>
      <c r="J244" s="11"/>
      <c r="K244" s="11"/>
      <c r="R244" s="88"/>
      <c r="T244" s="235" t="str">
        <f t="shared" si="301"/>
        <v xml:space="preserve"> </v>
      </c>
    </row>
    <row r="245" spans="1:21" ht="60" x14ac:dyDescent="0.25">
      <c r="A245" s="156">
        <v>44</v>
      </c>
      <c r="B245" s="3" t="s">
        <v>157</v>
      </c>
      <c r="C245" s="3" t="s">
        <v>158</v>
      </c>
      <c r="D245" s="4" t="s">
        <v>145</v>
      </c>
      <c r="E245" s="15"/>
      <c r="F245" s="10"/>
      <c r="G245" s="10"/>
      <c r="H245" s="26">
        <f>VLOOKUP($A245,'Model Inputs'!$A:$C,3,FALSE)</f>
        <v>4</v>
      </c>
      <c r="I245" s="10"/>
      <c r="J245" s="10">
        <f>SUBTOTAL(9,J246)</f>
        <v>28000</v>
      </c>
      <c r="K245" s="10"/>
      <c r="L245" s="10">
        <f>ROUNDUP(MAX(L246),0)</f>
        <v>4</v>
      </c>
      <c r="M245" s="10">
        <f>SUBTOTAL(9,M246)</f>
        <v>0</v>
      </c>
      <c r="N245" s="10">
        <f t="shared" ref="N245:Q245" si="371">SUBTOTAL(9,N246)</f>
        <v>0</v>
      </c>
      <c r="O245" s="10">
        <f t="shared" si="371"/>
        <v>0</v>
      </c>
      <c r="P245" s="10">
        <f t="shared" si="371"/>
        <v>28000</v>
      </c>
      <c r="Q245" s="10">
        <f t="shared" si="371"/>
        <v>28000</v>
      </c>
      <c r="R245" s="86"/>
      <c r="T245" s="235" t="str">
        <f t="shared" si="301"/>
        <v xml:space="preserve"> </v>
      </c>
    </row>
    <row r="246" spans="1:21" s="18" customFormat="1" x14ac:dyDescent="0.25">
      <c r="A246" s="157"/>
      <c r="B246" s="6">
        <v>1</v>
      </c>
      <c r="C246" s="9" t="s">
        <v>159</v>
      </c>
      <c r="D246" s="6" t="s">
        <v>32</v>
      </c>
      <c r="E246" s="17" t="str">
        <f>VLOOKUP(C246,Resources!B:G,3,FALSE)</f>
        <v>S</v>
      </c>
      <c r="F246" s="12">
        <v>1</v>
      </c>
      <c r="G246" s="12">
        <v>1</v>
      </c>
      <c r="H246" s="12">
        <f>H245</f>
        <v>4</v>
      </c>
      <c r="I246" s="12">
        <f>VLOOKUP(C246,Resources!B:G,6,FALSE)</f>
        <v>7000</v>
      </c>
      <c r="J246" s="21">
        <f t="shared" ref="J246" si="372">(H246/G246)*I246*F246</f>
        <v>28000</v>
      </c>
      <c r="K246" s="21">
        <f t="shared" ref="K246" si="373">IF(E246="M"," ",L246*F246)</f>
        <v>4</v>
      </c>
      <c r="L246" s="24">
        <f t="shared" ref="L246" si="374">IF(E246="M"," ",H246/G246)</f>
        <v>4</v>
      </c>
      <c r="M246" s="24">
        <f t="shared" ref="M246" si="375">IF($E246="L",$J246,0)</f>
        <v>0</v>
      </c>
      <c r="N246" s="24">
        <f t="shared" ref="N246" si="376">IF($E246="M",$J246,0)</f>
        <v>0</v>
      </c>
      <c r="O246" s="24">
        <f t="shared" ref="O246" si="377">IF($E246="P",$J246,0)</f>
        <v>0</v>
      </c>
      <c r="P246" s="24">
        <f t="shared" ref="P246" si="378">IF($E246="S",$J246,0)</f>
        <v>28000</v>
      </c>
      <c r="Q246" s="24">
        <f t="shared" ref="Q246" si="379">SUM(M246:P246)</f>
        <v>28000</v>
      </c>
      <c r="R246" s="87">
        <v>67</v>
      </c>
      <c r="T246" s="235" t="str">
        <f t="shared" si="301"/>
        <v xml:space="preserve"> </v>
      </c>
      <c r="U246" s="232"/>
    </row>
    <row r="247" spans="1:21" x14ac:dyDescent="0.25">
      <c r="F247" s="11"/>
      <c r="G247" s="11"/>
      <c r="H247" s="11"/>
      <c r="I247" s="11"/>
      <c r="J247" s="11"/>
      <c r="K247" s="11"/>
      <c r="R247" s="88"/>
      <c r="T247" s="235" t="str">
        <f t="shared" si="301"/>
        <v xml:space="preserve"> </v>
      </c>
    </row>
    <row r="248" spans="1:21" ht="30" x14ac:dyDescent="0.25">
      <c r="A248" s="156"/>
      <c r="B248" s="3" t="s">
        <v>160</v>
      </c>
      <c r="C248" s="3" t="s">
        <v>161</v>
      </c>
      <c r="D248" s="4"/>
      <c r="E248" s="15"/>
      <c r="F248" s="10"/>
      <c r="G248" s="10"/>
      <c r="H248" s="10"/>
      <c r="I248" s="10"/>
      <c r="J248" s="10"/>
      <c r="K248" s="10"/>
      <c r="L248" s="23"/>
      <c r="M248" s="23"/>
      <c r="N248" s="23"/>
      <c r="O248" s="23"/>
      <c r="P248" s="23"/>
      <c r="Q248" s="23"/>
      <c r="R248" s="86"/>
      <c r="T248" s="235" t="str">
        <f t="shared" si="301"/>
        <v xml:space="preserve"> </v>
      </c>
    </row>
    <row r="249" spans="1:21" ht="30" x14ac:dyDescent="0.25">
      <c r="A249" s="156"/>
      <c r="B249" s="3" t="s">
        <v>162</v>
      </c>
      <c r="C249" s="3" t="s">
        <v>163</v>
      </c>
      <c r="D249" s="4"/>
      <c r="E249" s="15"/>
      <c r="F249" s="10"/>
      <c r="G249" s="10"/>
      <c r="H249" s="10"/>
      <c r="I249" s="10"/>
      <c r="J249" s="10"/>
      <c r="K249" s="10"/>
      <c r="L249" s="23"/>
      <c r="M249" s="23"/>
      <c r="N249" s="23"/>
      <c r="O249" s="23"/>
      <c r="P249" s="23"/>
      <c r="Q249" s="23"/>
      <c r="R249" s="86"/>
      <c r="T249" s="235" t="str">
        <f t="shared" si="301"/>
        <v xml:space="preserve"> </v>
      </c>
    </row>
    <row r="250" spans="1:21" ht="75" x14ac:dyDescent="0.25">
      <c r="A250" s="156">
        <v>45</v>
      </c>
      <c r="B250" s="3" t="s">
        <v>164</v>
      </c>
      <c r="C250" s="3" t="s">
        <v>573</v>
      </c>
      <c r="D250" s="4" t="s">
        <v>32</v>
      </c>
      <c r="E250" s="15"/>
      <c r="F250" s="10"/>
      <c r="G250" s="10"/>
      <c r="H250" s="26">
        <f>VLOOKUP($A250,'Model Inputs'!$A:$C,3,FALSE)</f>
        <v>1.22</v>
      </c>
      <c r="I250" s="10"/>
      <c r="J250" s="10">
        <f>SUBTOTAL(9,J252:J253,J255:J257,J259:J260,J262:J263,J265:J267)</f>
        <v>1297.3510000000001</v>
      </c>
      <c r="K250" s="10"/>
      <c r="L250" s="10">
        <f>ROUNDUP(SUM(L257,L259,L262,L265)/Workhrs,0)</f>
        <v>1</v>
      </c>
      <c r="M250" s="10">
        <f>SUBTOTAL(9,M252:M253,M255:M257,M259:M260,M262:M263,M265:M267)</f>
        <v>363.29999999999995</v>
      </c>
      <c r="N250" s="10">
        <f t="shared" ref="N250:Q250" si="380">SUBTOTAL(9,N252:N253,N255:N257,N259:N260,N262:N263,N265:N267)</f>
        <v>219.05100000000002</v>
      </c>
      <c r="O250" s="10">
        <f t="shared" si="380"/>
        <v>715</v>
      </c>
      <c r="P250" s="10">
        <f t="shared" si="380"/>
        <v>0</v>
      </c>
      <c r="Q250" s="10">
        <f t="shared" si="380"/>
        <v>1297.3510000000001</v>
      </c>
      <c r="R250" s="86"/>
      <c r="T250" s="235" t="str">
        <f t="shared" si="301"/>
        <v xml:space="preserve"> </v>
      </c>
    </row>
    <row r="251" spans="1:21" s="19" customFormat="1" x14ac:dyDescent="0.25">
      <c r="A251" s="159"/>
      <c r="B251" s="28">
        <v>1</v>
      </c>
      <c r="C251" s="29" t="s">
        <v>165</v>
      </c>
      <c r="D251" s="28"/>
      <c r="E251" s="30"/>
      <c r="F251" s="31"/>
      <c r="G251" s="31"/>
      <c r="H251" s="31"/>
      <c r="I251" s="31"/>
      <c r="J251" s="32"/>
      <c r="K251" s="32"/>
      <c r="L251" s="33"/>
      <c r="M251" s="33"/>
      <c r="N251" s="33"/>
      <c r="O251" s="33"/>
      <c r="P251" s="33"/>
      <c r="Q251" s="33"/>
      <c r="R251" s="89"/>
      <c r="T251" s="235" t="str">
        <f t="shared" si="301"/>
        <v xml:space="preserve"> </v>
      </c>
      <c r="U251" s="236"/>
    </row>
    <row r="252" spans="1:21" s="18" customFormat="1" x14ac:dyDescent="0.25">
      <c r="A252" s="157"/>
      <c r="B252" s="6">
        <v>2</v>
      </c>
      <c r="C252" s="9" t="s">
        <v>166</v>
      </c>
      <c r="D252" s="6" t="s">
        <v>32</v>
      </c>
      <c r="E252" s="17" t="str">
        <f>VLOOKUP(C252,Resources!B:G,3,FALSE)</f>
        <v>M</v>
      </c>
      <c r="F252" s="12">
        <v>1</v>
      </c>
      <c r="G252" s="12">
        <v>1</v>
      </c>
      <c r="H252" s="12">
        <f>H250*2</f>
        <v>2.44</v>
      </c>
      <c r="I252" s="12">
        <f>VLOOKUP(C252,Resources!B:G,6,FALSE)</f>
        <v>83.4</v>
      </c>
      <c r="J252" s="21">
        <f t="shared" ref="J252:J253" si="381">(H252/G252)*I252*F252</f>
        <v>203.49600000000001</v>
      </c>
      <c r="K252" s="21" t="str">
        <f t="shared" ref="K252:K253" si="382">IF(E252="M"," ",L252*F252)</f>
        <v xml:space="preserve"> </v>
      </c>
      <c r="L252" s="24" t="str">
        <f t="shared" ref="L252:L253" si="383">IF(E252="M"," ",H252/G252)</f>
        <v xml:space="preserve"> </v>
      </c>
      <c r="M252" s="24">
        <f t="shared" ref="M252:M253" si="384">IF($E252="L",$J252,0)</f>
        <v>0</v>
      </c>
      <c r="N252" s="24">
        <f t="shared" ref="N252:N253" si="385">IF($E252="M",$J252,0)</f>
        <v>203.49600000000001</v>
      </c>
      <c r="O252" s="24">
        <f t="shared" ref="O252:O253" si="386">IF($E252="P",$J252,0)</f>
        <v>0</v>
      </c>
      <c r="P252" s="24">
        <f t="shared" ref="P252:P253" si="387">IF($E252="S",$J252,0)</f>
        <v>0</v>
      </c>
      <c r="Q252" s="24">
        <f t="shared" ref="Q252:Q253" si="388">SUM(M252:P252)</f>
        <v>203.49600000000001</v>
      </c>
      <c r="R252" s="87" t="s">
        <v>541</v>
      </c>
      <c r="T252" s="235" t="str">
        <f t="shared" si="301"/>
        <v xml:space="preserve"> </v>
      </c>
      <c r="U252" s="232"/>
    </row>
    <row r="253" spans="1:21" s="18" customFormat="1" x14ac:dyDescent="0.25">
      <c r="A253" s="157"/>
      <c r="B253" s="6">
        <v>3</v>
      </c>
      <c r="C253" s="9" t="s">
        <v>167</v>
      </c>
      <c r="D253" s="6" t="s">
        <v>100</v>
      </c>
      <c r="E253" s="17" t="str">
        <f>VLOOKUP(C253,Resources!B:G,3,FALSE)</f>
        <v>M</v>
      </c>
      <c r="F253" s="12">
        <v>1</v>
      </c>
      <c r="G253" s="12">
        <v>1</v>
      </c>
      <c r="H253" s="12">
        <f>H252/4</f>
        <v>0.61</v>
      </c>
      <c r="I253" s="12">
        <f>VLOOKUP(C253,Resources!B:G,6,FALSE)</f>
        <v>25.5</v>
      </c>
      <c r="J253" s="21">
        <f t="shared" si="381"/>
        <v>15.555</v>
      </c>
      <c r="K253" s="21" t="str">
        <f t="shared" si="382"/>
        <v xml:space="preserve"> </v>
      </c>
      <c r="L253" s="24" t="str">
        <f t="shared" si="383"/>
        <v xml:space="preserve"> </v>
      </c>
      <c r="M253" s="24">
        <f t="shared" si="384"/>
        <v>0</v>
      </c>
      <c r="N253" s="24">
        <f t="shared" si="385"/>
        <v>15.555</v>
      </c>
      <c r="O253" s="24">
        <f t="shared" si="386"/>
        <v>0</v>
      </c>
      <c r="P253" s="24">
        <f t="shared" si="387"/>
        <v>0</v>
      </c>
      <c r="Q253" s="24">
        <f t="shared" si="388"/>
        <v>15.555</v>
      </c>
      <c r="R253" s="87" t="s">
        <v>542</v>
      </c>
      <c r="T253" s="235" t="str">
        <f t="shared" si="301"/>
        <v>y</v>
      </c>
      <c r="U253" s="232"/>
    </row>
    <row r="254" spans="1:21" s="19" customFormat="1" x14ac:dyDescent="0.25">
      <c r="A254" s="159"/>
      <c r="B254" s="28">
        <v>4</v>
      </c>
      <c r="C254" s="29" t="s">
        <v>168</v>
      </c>
      <c r="D254" s="28"/>
      <c r="E254" s="30"/>
      <c r="F254" s="31"/>
      <c r="G254" s="31"/>
      <c r="H254" s="31"/>
      <c r="I254" s="31"/>
      <c r="J254" s="32"/>
      <c r="K254" s="32"/>
      <c r="L254" s="33"/>
      <c r="M254" s="33"/>
      <c r="N254" s="33"/>
      <c r="O254" s="33"/>
      <c r="P254" s="33"/>
      <c r="Q254" s="33"/>
      <c r="R254" s="89"/>
      <c r="T254" s="235" t="str">
        <f t="shared" si="301"/>
        <v xml:space="preserve"> </v>
      </c>
      <c r="U254" s="236"/>
    </row>
    <row r="255" spans="1:21" s="18" customFormat="1" x14ac:dyDescent="0.25">
      <c r="A255" s="157">
        <v>45.1</v>
      </c>
      <c r="B255" s="6">
        <v>5</v>
      </c>
      <c r="C255" s="9" t="s">
        <v>70</v>
      </c>
      <c r="D255" s="6" t="s">
        <v>26</v>
      </c>
      <c r="E255" s="17" t="str">
        <f>VLOOKUP(C255,Resources!B:G,3,FALSE)</f>
        <v>P</v>
      </c>
      <c r="F255" s="12">
        <v>1</v>
      </c>
      <c r="G255" s="26">
        <f>VLOOKUP($A255,'Model Inputs'!$A:$C,3,FALSE)</f>
        <v>2.44</v>
      </c>
      <c r="H255" s="12">
        <f>H250</f>
        <v>1.22</v>
      </c>
      <c r="I255" s="12">
        <f>VLOOKUP(C255,Resources!B:G,6,FALSE)</f>
        <v>135</v>
      </c>
      <c r="J255" s="21">
        <f t="shared" ref="J255:J257" si="389">(H255/G255)*I255*F255</f>
        <v>67.5</v>
      </c>
      <c r="K255" s="21">
        <f t="shared" ref="K255:K257" si="390">IF(E255="M"," ",L255*F255)</f>
        <v>0.5</v>
      </c>
      <c r="L255" s="24">
        <f t="shared" ref="L255:L257" si="391">IF(E255="M"," ",H255/G255)</f>
        <v>0.5</v>
      </c>
      <c r="M255" s="24">
        <f t="shared" ref="M255:M257" si="392">IF($E255="L",$J255,0)</f>
        <v>0</v>
      </c>
      <c r="N255" s="24">
        <f t="shared" ref="N255:N257" si="393">IF($E255="M",$J255,0)</f>
        <v>0</v>
      </c>
      <c r="O255" s="24">
        <f t="shared" ref="O255:O257" si="394">IF($E255="P",$J255,0)</f>
        <v>67.5</v>
      </c>
      <c r="P255" s="24">
        <f t="shared" ref="P255:P257" si="395">IF($E255="S",$J255,0)</f>
        <v>0</v>
      </c>
      <c r="Q255" s="24">
        <f t="shared" ref="Q255:Q257" si="396">SUM(M255:P255)</f>
        <v>67.5</v>
      </c>
      <c r="R255" s="87">
        <v>81</v>
      </c>
      <c r="T255" s="235" t="str">
        <f t="shared" si="301"/>
        <v xml:space="preserve"> </v>
      </c>
      <c r="U255" s="232"/>
    </row>
    <row r="256" spans="1:21" s="18" customFormat="1" x14ac:dyDescent="0.25">
      <c r="A256" s="157"/>
      <c r="B256" s="6">
        <v>6</v>
      </c>
      <c r="C256" s="9" t="s">
        <v>27</v>
      </c>
      <c r="D256" s="6" t="s">
        <v>26</v>
      </c>
      <c r="E256" s="17" t="str">
        <f>VLOOKUP(C256,Resources!B:G,3,FALSE)</f>
        <v>P</v>
      </c>
      <c r="F256" s="12">
        <v>1</v>
      </c>
      <c r="G256" s="12">
        <f>G255</f>
        <v>2.44</v>
      </c>
      <c r="H256" s="12">
        <f>H250</f>
        <v>1.22</v>
      </c>
      <c r="I256" s="12">
        <f>VLOOKUP(C256,Resources!B:G,6,FALSE)</f>
        <v>90</v>
      </c>
      <c r="J256" s="21">
        <f t="shared" si="389"/>
        <v>45</v>
      </c>
      <c r="K256" s="21">
        <f t="shared" si="390"/>
        <v>0.5</v>
      </c>
      <c r="L256" s="24">
        <f t="shared" si="391"/>
        <v>0.5</v>
      </c>
      <c r="M256" s="24">
        <f t="shared" si="392"/>
        <v>0</v>
      </c>
      <c r="N256" s="24">
        <f t="shared" si="393"/>
        <v>0</v>
      </c>
      <c r="O256" s="24">
        <f t="shared" si="394"/>
        <v>45</v>
      </c>
      <c r="P256" s="24">
        <f t="shared" si="395"/>
        <v>0</v>
      </c>
      <c r="Q256" s="24">
        <f t="shared" si="396"/>
        <v>45</v>
      </c>
      <c r="R256" s="87">
        <v>81</v>
      </c>
      <c r="T256" s="235" t="str">
        <f t="shared" si="301"/>
        <v xml:space="preserve"> </v>
      </c>
      <c r="U256" s="232"/>
    </row>
    <row r="257" spans="1:21" s="18" customFormat="1" x14ac:dyDescent="0.25">
      <c r="A257" s="157"/>
      <c r="B257" s="6">
        <v>7</v>
      </c>
      <c r="C257" s="9" t="s">
        <v>8</v>
      </c>
      <c r="D257" s="6" t="s">
        <v>26</v>
      </c>
      <c r="E257" s="17" t="str">
        <f>VLOOKUP(C257,Resources!B:G,3,FALSE)</f>
        <v>L</v>
      </c>
      <c r="F257" s="12">
        <v>1</v>
      </c>
      <c r="G257" s="12">
        <f>G255/2</f>
        <v>1.22</v>
      </c>
      <c r="H257" s="12">
        <f>H250</f>
        <v>1.22</v>
      </c>
      <c r="I257" s="12">
        <f>VLOOKUP(C257,Resources!B:G,6,FALSE)</f>
        <v>51.9</v>
      </c>
      <c r="J257" s="21">
        <f t="shared" si="389"/>
        <v>51.9</v>
      </c>
      <c r="K257" s="21">
        <f t="shared" si="390"/>
        <v>1</v>
      </c>
      <c r="L257" s="24">
        <f t="shared" si="391"/>
        <v>1</v>
      </c>
      <c r="M257" s="24">
        <f t="shared" si="392"/>
        <v>51.9</v>
      </c>
      <c r="N257" s="24">
        <f t="shared" si="393"/>
        <v>0</v>
      </c>
      <c r="O257" s="24">
        <f t="shared" si="394"/>
        <v>0</v>
      </c>
      <c r="P257" s="24">
        <f t="shared" si="395"/>
        <v>0</v>
      </c>
      <c r="Q257" s="24">
        <f t="shared" si="396"/>
        <v>51.9</v>
      </c>
      <c r="R257" s="87">
        <v>81</v>
      </c>
      <c r="T257" s="235" t="str">
        <f t="shared" si="301"/>
        <v xml:space="preserve"> </v>
      </c>
      <c r="U257" s="232"/>
    </row>
    <row r="258" spans="1:21" s="19" customFormat="1" x14ac:dyDescent="0.25">
      <c r="A258" s="159"/>
      <c r="B258" s="28">
        <v>8</v>
      </c>
      <c r="C258" s="29" t="s">
        <v>169</v>
      </c>
      <c r="D258" s="28"/>
      <c r="E258" s="30"/>
      <c r="F258" s="31"/>
      <c r="G258" s="31"/>
      <c r="H258" s="12"/>
      <c r="I258" s="31"/>
      <c r="J258" s="32"/>
      <c r="K258" s="32"/>
      <c r="L258" s="33"/>
      <c r="M258" s="33"/>
      <c r="N258" s="33"/>
      <c r="O258" s="33"/>
      <c r="P258" s="33"/>
      <c r="Q258" s="33"/>
      <c r="R258" s="89"/>
      <c r="T258" s="235" t="str">
        <f t="shared" si="301"/>
        <v xml:space="preserve"> </v>
      </c>
      <c r="U258" s="236"/>
    </row>
    <row r="259" spans="1:21" s="18" customFormat="1" x14ac:dyDescent="0.25">
      <c r="A259" s="157">
        <v>45.2</v>
      </c>
      <c r="B259" s="6">
        <v>9</v>
      </c>
      <c r="C259" s="9" t="s">
        <v>70</v>
      </c>
      <c r="D259" s="6" t="s">
        <v>26</v>
      </c>
      <c r="E259" s="17" t="str">
        <f>VLOOKUP(C259,Resources!B:G,3,FALSE)</f>
        <v>P</v>
      </c>
      <c r="F259" s="12">
        <v>1</v>
      </c>
      <c r="G259" s="26">
        <f>VLOOKUP($A259,'Model Inputs'!$A:$C,3,FALSE)</f>
        <v>1.22</v>
      </c>
      <c r="H259" s="12">
        <f>H250</f>
        <v>1.22</v>
      </c>
      <c r="I259" s="12">
        <f>VLOOKUP(C259,Resources!B:G,6,FALSE)</f>
        <v>135</v>
      </c>
      <c r="J259" s="21">
        <f t="shared" ref="J259:J260" si="397">(H259/G259)*I259*F259</f>
        <v>135</v>
      </c>
      <c r="K259" s="21">
        <f t="shared" ref="K259:K260" si="398">IF(E259="M"," ",L259*F259)</f>
        <v>1</v>
      </c>
      <c r="L259" s="24">
        <f t="shared" ref="L259:L260" si="399">IF(E259="M"," ",H259/G259)</f>
        <v>1</v>
      </c>
      <c r="M259" s="24">
        <f t="shared" ref="M259:M260" si="400">IF($E259="L",$J259,0)</f>
        <v>0</v>
      </c>
      <c r="N259" s="24">
        <f t="shared" ref="N259:N260" si="401">IF($E259="M",$J259,0)</f>
        <v>0</v>
      </c>
      <c r="O259" s="24">
        <f t="shared" ref="O259:O260" si="402">IF($E259="P",$J259,0)</f>
        <v>135</v>
      </c>
      <c r="P259" s="24">
        <f t="shared" ref="P259:P260" si="403">IF($E259="S",$J259,0)</f>
        <v>0</v>
      </c>
      <c r="Q259" s="24">
        <f t="shared" ref="Q259:Q260" si="404">SUM(M259:P259)</f>
        <v>135</v>
      </c>
      <c r="R259" s="87">
        <v>81</v>
      </c>
      <c r="T259" s="235" t="str">
        <f t="shared" si="301"/>
        <v xml:space="preserve"> </v>
      </c>
      <c r="U259" s="232"/>
    </row>
    <row r="260" spans="1:21" s="18" customFormat="1" x14ac:dyDescent="0.25">
      <c r="A260" s="157"/>
      <c r="B260" s="6">
        <v>10</v>
      </c>
      <c r="C260" s="9" t="s">
        <v>28</v>
      </c>
      <c r="D260" s="6" t="s">
        <v>26</v>
      </c>
      <c r="E260" s="17" t="str">
        <f>VLOOKUP(C260,Resources!B:G,3,FALSE)</f>
        <v>P</v>
      </c>
      <c r="F260" s="12">
        <v>1</v>
      </c>
      <c r="G260" s="12">
        <f>G259*2</f>
        <v>2.44</v>
      </c>
      <c r="H260" s="12">
        <f>H250</f>
        <v>1.22</v>
      </c>
      <c r="I260" s="12">
        <f>VLOOKUP(C260,Resources!B:G,6,FALSE)</f>
        <v>95</v>
      </c>
      <c r="J260" s="21">
        <f t="shared" si="397"/>
        <v>47.5</v>
      </c>
      <c r="K260" s="21">
        <f t="shared" si="398"/>
        <v>0.5</v>
      </c>
      <c r="L260" s="24">
        <f t="shared" si="399"/>
        <v>0.5</v>
      </c>
      <c r="M260" s="24">
        <f t="shared" si="400"/>
        <v>0</v>
      </c>
      <c r="N260" s="24">
        <f t="shared" si="401"/>
        <v>0</v>
      </c>
      <c r="O260" s="24">
        <f t="shared" si="402"/>
        <v>47.5</v>
      </c>
      <c r="P260" s="24">
        <f t="shared" si="403"/>
        <v>0</v>
      </c>
      <c r="Q260" s="24">
        <f t="shared" si="404"/>
        <v>47.5</v>
      </c>
      <c r="R260" s="87">
        <v>81</v>
      </c>
      <c r="T260" s="235" t="str">
        <f t="shared" si="301"/>
        <v xml:space="preserve"> </v>
      </c>
      <c r="U260" s="232"/>
    </row>
    <row r="261" spans="1:21" s="19" customFormat="1" x14ac:dyDescent="0.25">
      <c r="A261" s="159"/>
      <c r="B261" s="28">
        <v>11</v>
      </c>
      <c r="C261" s="29" t="s">
        <v>170</v>
      </c>
      <c r="D261" s="28"/>
      <c r="E261" s="30"/>
      <c r="F261" s="31"/>
      <c r="G261" s="31"/>
      <c r="H261" s="12"/>
      <c r="I261" s="31"/>
      <c r="J261" s="32"/>
      <c r="K261" s="32"/>
      <c r="L261" s="33"/>
      <c r="M261" s="33"/>
      <c r="N261" s="33"/>
      <c r="O261" s="33"/>
      <c r="P261" s="33"/>
      <c r="Q261" s="33"/>
      <c r="R261" s="89"/>
      <c r="T261" s="235" t="str">
        <f t="shared" si="301"/>
        <v xml:space="preserve"> </v>
      </c>
      <c r="U261" s="236"/>
    </row>
    <row r="262" spans="1:21" s="18" customFormat="1" x14ac:dyDescent="0.25">
      <c r="A262" s="157">
        <v>45.3</v>
      </c>
      <c r="B262" s="6">
        <v>12</v>
      </c>
      <c r="C262" s="9" t="s">
        <v>70</v>
      </c>
      <c r="D262" s="6" t="s">
        <v>26</v>
      </c>
      <c r="E262" s="17" t="str">
        <f>VLOOKUP(C262,Resources!B:G,3,FALSE)</f>
        <v>P</v>
      </c>
      <c r="F262" s="12">
        <v>1</v>
      </c>
      <c r="G262" s="26">
        <f>VLOOKUP($A262,'Model Inputs'!$A:$C,3,FALSE)</f>
        <v>1.22</v>
      </c>
      <c r="H262" s="12">
        <f>H250</f>
        <v>1.22</v>
      </c>
      <c r="I262" s="12">
        <f>VLOOKUP(C262,Resources!B:G,6,FALSE)</f>
        <v>135</v>
      </c>
      <c r="J262" s="21">
        <f t="shared" ref="J262:J263" si="405">(H262/G262)*I262*F262</f>
        <v>135</v>
      </c>
      <c r="K262" s="21">
        <f t="shared" ref="K262:K263" si="406">IF(E262="M"," ",L262*F262)</f>
        <v>1</v>
      </c>
      <c r="L262" s="24">
        <f t="shared" ref="L262:L263" si="407">IF(E262="M"," ",H262/G262)</f>
        <v>1</v>
      </c>
      <c r="M262" s="24">
        <f t="shared" ref="M262:M263" si="408">IF($E262="L",$J262,0)</f>
        <v>0</v>
      </c>
      <c r="N262" s="24">
        <f t="shared" ref="N262:N263" si="409">IF($E262="M",$J262,0)</f>
        <v>0</v>
      </c>
      <c r="O262" s="24">
        <f t="shared" ref="O262:O263" si="410">IF($E262="P",$J262,0)</f>
        <v>135</v>
      </c>
      <c r="P262" s="24">
        <f t="shared" ref="P262:P263" si="411">IF($E262="S",$J262,0)</f>
        <v>0</v>
      </c>
      <c r="Q262" s="24">
        <f t="shared" ref="Q262:Q263" si="412">SUM(M262:P262)</f>
        <v>135</v>
      </c>
      <c r="R262" s="87">
        <v>81</v>
      </c>
      <c r="T262" s="235" t="str">
        <f t="shared" si="301"/>
        <v xml:space="preserve"> </v>
      </c>
      <c r="U262" s="232"/>
    </row>
    <row r="263" spans="1:21" s="18" customFormat="1" x14ac:dyDescent="0.25">
      <c r="A263" s="157"/>
      <c r="B263" s="6">
        <v>13</v>
      </c>
      <c r="C263" s="9" t="s">
        <v>8</v>
      </c>
      <c r="D263" s="6" t="s">
        <v>26</v>
      </c>
      <c r="E263" s="17" t="str">
        <f>VLOOKUP(C263,Resources!B:G,3,FALSE)</f>
        <v>L</v>
      </c>
      <c r="F263" s="12">
        <v>1</v>
      </c>
      <c r="G263" s="12">
        <f>G262/2</f>
        <v>0.61</v>
      </c>
      <c r="H263" s="12">
        <f>H250</f>
        <v>1.22</v>
      </c>
      <c r="I263" s="12">
        <f>VLOOKUP(C263,Resources!B:G,6,FALSE)</f>
        <v>51.9</v>
      </c>
      <c r="J263" s="21">
        <f t="shared" si="405"/>
        <v>103.8</v>
      </c>
      <c r="K263" s="21">
        <f t="shared" si="406"/>
        <v>2</v>
      </c>
      <c r="L263" s="24">
        <f t="shared" si="407"/>
        <v>2</v>
      </c>
      <c r="M263" s="24">
        <f t="shared" si="408"/>
        <v>103.8</v>
      </c>
      <c r="N263" s="24">
        <f t="shared" si="409"/>
        <v>0</v>
      </c>
      <c r="O263" s="24">
        <f t="shared" si="410"/>
        <v>0</v>
      </c>
      <c r="P263" s="24">
        <f t="shared" si="411"/>
        <v>0</v>
      </c>
      <c r="Q263" s="24">
        <f t="shared" si="412"/>
        <v>103.8</v>
      </c>
      <c r="R263" s="87">
        <v>81</v>
      </c>
      <c r="T263" s="235" t="str">
        <f t="shared" si="301"/>
        <v xml:space="preserve"> </v>
      </c>
      <c r="U263" s="232"/>
    </row>
    <row r="264" spans="1:21" s="19" customFormat="1" x14ac:dyDescent="0.25">
      <c r="A264" s="159"/>
      <c r="B264" s="28">
        <v>14</v>
      </c>
      <c r="C264" s="29" t="s">
        <v>171</v>
      </c>
      <c r="D264" s="28"/>
      <c r="E264" s="30"/>
      <c r="F264" s="31"/>
      <c r="G264" s="31"/>
      <c r="H264" s="12"/>
      <c r="I264" s="31"/>
      <c r="J264" s="32"/>
      <c r="K264" s="32"/>
      <c r="L264" s="33"/>
      <c r="M264" s="33"/>
      <c r="N264" s="33"/>
      <c r="O264" s="33"/>
      <c r="P264" s="33"/>
      <c r="Q264" s="33"/>
      <c r="R264" s="89"/>
      <c r="T264" s="235" t="str">
        <f t="shared" ref="T264:T327" si="413">IF(R264=$U$7,"y"," ")</f>
        <v xml:space="preserve"> </v>
      </c>
      <c r="U264" s="236"/>
    </row>
    <row r="265" spans="1:21" s="18" customFormat="1" x14ac:dyDescent="0.25">
      <c r="A265" s="157">
        <v>45.4</v>
      </c>
      <c r="B265" s="6">
        <v>15</v>
      </c>
      <c r="C265" s="9" t="s">
        <v>8</v>
      </c>
      <c r="D265" s="6" t="s">
        <v>26</v>
      </c>
      <c r="E265" s="17" t="str">
        <f>VLOOKUP(C265,Resources!B:G,3,FALSE)</f>
        <v>L</v>
      </c>
      <c r="F265" s="12">
        <v>1</v>
      </c>
      <c r="G265" s="26">
        <f>VLOOKUP($A265,'Model Inputs'!$A:$C,3,FALSE)</f>
        <v>0.30499999999999999</v>
      </c>
      <c r="H265" s="12">
        <f>H250</f>
        <v>1.22</v>
      </c>
      <c r="I265" s="12">
        <f>VLOOKUP(C265,Resources!B:G,6,FALSE)</f>
        <v>51.9</v>
      </c>
      <c r="J265" s="21">
        <f t="shared" ref="J265:J267" si="414">(H265/G265)*I265*F265</f>
        <v>207.6</v>
      </c>
      <c r="K265" s="21">
        <f t="shared" ref="K265:K267" si="415">IF(E265="M"," ",L265*F265)</f>
        <v>4</v>
      </c>
      <c r="L265" s="24">
        <f t="shared" ref="L265:L267" si="416">IF(E265="M"," ",H265/G265)</f>
        <v>4</v>
      </c>
      <c r="M265" s="24">
        <f t="shared" ref="M265:M267" si="417">IF($E265="L",$J265,0)</f>
        <v>207.6</v>
      </c>
      <c r="N265" s="24">
        <f t="shared" ref="N265:N267" si="418">IF($E265="M",$J265,0)</f>
        <v>0</v>
      </c>
      <c r="O265" s="24">
        <f t="shared" ref="O265:O267" si="419">IF($E265="P",$J265,0)</f>
        <v>0</v>
      </c>
      <c r="P265" s="24">
        <f t="shared" ref="P265:P267" si="420">IF($E265="S",$J265,0)</f>
        <v>0</v>
      </c>
      <c r="Q265" s="24">
        <f t="shared" ref="Q265:Q267" si="421">SUM(M265:P265)</f>
        <v>207.6</v>
      </c>
      <c r="R265" s="87">
        <v>81</v>
      </c>
      <c r="T265" s="235" t="str">
        <f t="shared" si="413"/>
        <v xml:space="preserve"> </v>
      </c>
      <c r="U265" s="232"/>
    </row>
    <row r="266" spans="1:21" s="18" customFormat="1" x14ac:dyDescent="0.25">
      <c r="A266" s="157"/>
      <c r="B266" s="6">
        <v>16</v>
      </c>
      <c r="C266" s="9" t="s">
        <v>82</v>
      </c>
      <c r="D266" s="6" t="s">
        <v>26</v>
      </c>
      <c r="E266" s="17" t="str">
        <f>VLOOKUP(C266,Resources!B:G,3,FALSE)</f>
        <v>P</v>
      </c>
      <c r="F266" s="12">
        <v>1</v>
      </c>
      <c r="G266" s="12">
        <f>G265*2</f>
        <v>0.61</v>
      </c>
      <c r="H266" s="12">
        <f>H250</f>
        <v>1.22</v>
      </c>
      <c r="I266" s="12">
        <f>VLOOKUP(C266,Resources!B:G,6,FALSE)</f>
        <v>95</v>
      </c>
      <c r="J266" s="21">
        <f t="shared" si="414"/>
        <v>190</v>
      </c>
      <c r="K266" s="21">
        <f t="shared" si="415"/>
        <v>2</v>
      </c>
      <c r="L266" s="24">
        <f t="shared" si="416"/>
        <v>2</v>
      </c>
      <c r="M266" s="24">
        <f t="shared" si="417"/>
        <v>0</v>
      </c>
      <c r="N266" s="24">
        <f t="shared" si="418"/>
        <v>0</v>
      </c>
      <c r="O266" s="24">
        <f t="shared" si="419"/>
        <v>190</v>
      </c>
      <c r="P266" s="24">
        <f t="shared" si="420"/>
        <v>0</v>
      </c>
      <c r="Q266" s="24">
        <f t="shared" si="421"/>
        <v>190</v>
      </c>
      <c r="R266" s="87">
        <v>81</v>
      </c>
      <c r="T266" s="235" t="str">
        <f t="shared" si="413"/>
        <v xml:space="preserve"> </v>
      </c>
      <c r="U266" s="232"/>
    </row>
    <row r="267" spans="1:21" s="18" customFormat="1" x14ac:dyDescent="0.25">
      <c r="A267" s="157"/>
      <c r="B267" s="6">
        <v>17</v>
      </c>
      <c r="C267" s="9" t="s">
        <v>28</v>
      </c>
      <c r="D267" s="6" t="s">
        <v>26</v>
      </c>
      <c r="E267" s="17" t="str">
        <f>VLOOKUP(C267,Resources!B:G,3,FALSE)</f>
        <v>P</v>
      </c>
      <c r="F267" s="12">
        <v>1</v>
      </c>
      <c r="G267" s="12">
        <f>G265*4</f>
        <v>1.22</v>
      </c>
      <c r="H267" s="12">
        <f>H250</f>
        <v>1.22</v>
      </c>
      <c r="I267" s="12">
        <f>VLOOKUP(C267,Resources!B:G,6,FALSE)</f>
        <v>95</v>
      </c>
      <c r="J267" s="21">
        <f t="shared" si="414"/>
        <v>95</v>
      </c>
      <c r="K267" s="21">
        <f t="shared" si="415"/>
        <v>1</v>
      </c>
      <c r="L267" s="24">
        <f t="shared" si="416"/>
        <v>1</v>
      </c>
      <c r="M267" s="24">
        <f t="shared" si="417"/>
        <v>0</v>
      </c>
      <c r="N267" s="24">
        <f t="shared" si="418"/>
        <v>0</v>
      </c>
      <c r="O267" s="24">
        <f t="shared" si="419"/>
        <v>95</v>
      </c>
      <c r="P267" s="24">
        <f t="shared" si="420"/>
        <v>0</v>
      </c>
      <c r="Q267" s="24">
        <f t="shared" si="421"/>
        <v>95</v>
      </c>
      <c r="R267" s="87">
        <v>81</v>
      </c>
      <c r="T267" s="235" t="str">
        <f t="shared" si="413"/>
        <v xml:space="preserve"> </v>
      </c>
      <c r="U267" s="232"/>
    </row>
    <row r="268" spans="1:21" x14ac:dyDescent="0.25">
      <c r="F268" s="11"/>
      <c r="G268" s="11"/>
      <c r="H268" s="11"/>
      <c r="I268" s="11"/>
      <c r="J268" s="11"/>
      <c r="K268" s="11"/>
      <c r="R268" s="88"/>
      <c r="T268" s="235" t="str">
        <f t="shared" si="413"/>
        <v xml:space="preserve"> </v>
      </c>
    </row>
    <row r="269" spans="1:21" ht="30" x14ac:dyDescent="0.25">
      <c r="A269" s="156">
        <v>46</v>
      </c>
      <c r="B269" s="3" t="s">
        <v>172</v>
      </c>
      <c r="C269" s="3" t="s">
        <v>173</v>
      </c>
      <c r="D269" s="4" t="s">
        <v>145</v>
      </c>
      <c r="E269" s="15"/>
      <c r="F269" s="10"/>
      <c r="G269" s="10"/>
      <c r="H269" s="26">
        <f>VLOOKUP($A269,'Model Inputs'!$A:$C,3,FALSE)</f>
        <v>1</v>
      </c>
      <c r="I269" s="10"/>
      <c r="J269" s="10">
        <f>SUBTOTAL(9,J270:J272)</f>
        <v>1257.8</v>
      </c>
      <c r="K269" s="10"/>
      <c r="L269" s="10">
        <f>ROUNDUP(MAX(L270:L272)/Workhrs,0)</f>
        <v>1</v>
      </c>
      <c r="M269" s="10">
        <f>SUBTOTAL(9,M270:M272)</f>
        <v>622.79999999999995</v>
      </c>
      <c r="N269" s="10">
        <f t="shared" ref="N269:Q269" si="422">SUBTOTAL(9,N270:N272)</f>
        <v>365</v>
      </c>
      <c r="O269" s="10">
        <f t="shared" si="422"/>
        <v>270</v>
      </c>
      <c r="P269" s="10">
        <f t="shared" si="422"/>
        <v>0</v>
      </c>
      <c r="Q269" s="10">
        <f t="shared" si="422"/>
        <v>1257.8</v>
      </c>
      <c r="R269" s="86"/>
      <c r="T269" s="235" t="str">
        <f t="shared" si="413"/>
        <v xml:space="preserve"> </v>
      </c>
    </row>
    <row r="270" spans="1:21" x14ac:dyDescent="0.25">
      <c r="A270" s="157"/>
      <c r="B270" s="6">
        <v>1</v>
      </c>
      <c r="C270" s="9" t="s">
        <v>174</v>
      </c>
      <c r="D270" s="6" t="s">
        <v>31</v>
      </c>
      <c r="E270" s="17" t="str">
        <f>VLOOKUP(C270,Resources!B:G,3,FALSE)</f>
        <v>M</v>
      </c>
      <c r="F270" s="12">
        <v>1</v>
      </c>
      <c r="G270" s="12">
        <v>1</v>
      </c>
      <c r="H270" s="12">
        <f>H269</f>
        <v>1</v>
      </c>
      <c r="I270" s="12">
        <f>VLOOKUP(C270,Resources!B:G,6,FALSE)</f>
        <v>365</v>
      </c>
      <c r="J270" s="21">
        <f t="shared" ref="J270:J272" si="423">(H270/G270)*I270*F270</f>
        <v>365</v>
      </c>
      <c r="K270" s="21" t="str">
        <f t="shared" ref="K270:K272" si="424">IF(E270="M"," ",L270*F270)</f>
        <v xml:space="preserve"> </v>
      </c>
      <c r="L270" s="24" t="str">
        <f t="shared" ref="L270:L272" si="425">IF(E270="M"," ",H270/G270)</f>
        <v xml:space="preserve"> </v>
      </c>
      <c r="M270" s="24">
        <f t="shared" ref="M270:M272" si="426">IF($E270="L",$J270,0)</f>
        <v>0</v>
      </c>
      <c r="N270" s="24">
        <f t="shared" ref="N270:N272" si="427">IF($E270="M",$J270,0)</f>
        <v>365</v>
      </c>
      <c r="O270" s="24">
        <f t="shared" ref="O270:O272" si="428">IF($E270="P",$J270,0)</f>
        <v>0</v>
      </c>
      <c r="P270" s="24">
        <f t="shared" ref="P270:P272" si="429">IF($E270="S",$J270,0)</f>
        <v>0</v>
      </c>
      <c r="Q270" s="24">
        <f t="shared" ref="Q270:Q272" si="430">SUM(M270:P270)</f>
        <v>365</v>
      </c>
      <c r="R270" s="87" t="s">
        <v>545</v>
      </c>
      <c r="T270" s="235" t="str">
        <f t="shared" si="413"/>
        <v xml:space="preserve"> </v>
      </c>
    </row>
    <row r="271" spans="1:21" x14ac:dyDescent="0.25">
      <c r="A271" s="157">
        <v>46.1</v>
      </c>
      <c r="B271" s="6">
        <v>2</v>
      </c>
      <c r="C271" s="9" t="s">
        <v>70</v>
      </c>
      <c r="D271" s="6" t="s">
        <v>26</v>
      </c>
      <c r="E271" s="17" t="str">
        <f>VLOOKUP(C271,Resources!B:G,3,FALSE)</f>
        <v>P</v>
      </c>
      <c r="F271" s="12">
        <v>1</v>
      </c>
      <c r="G271" s="26">
        <f>VLOOKUP($A271,'Model Inputs'!$A:$C,3,FALSE)</f>
        <v>0.5</v>
      </c>
      <c r="H271" s="12">
        <f>H269</f>
        <v>1</v>
      </c>
      <c r="I271" s="12">
        <f>VLOOKUP(C271,Resources!B:G,6,FALSE)</f>
        <v>135</v>
      </c>
      <c r="J271" s="21">
        <f t="shared" si="423"/>
        <v>270</v>
      </c>
      <c r="K271" s="21">
        <f t="shared" si="424"/>
        <v>2</v>
      </c>
      <c r="L271" s="24">
        <f t="shared" si="425"/>
        <v>2</v>
      </c>
      <c r="M271" s="24">
        <f t="shared" si="426"/>
        <v>0</v>
      </c>
      <c r="N271" s="24">
        <f t="shared" si="427"/>
        <v>0</v>
      </c>
      <c r="O271" s="24">
        <f t="shared" si="428"/>
        <v>270</v>
      </c>
      <c r="P271" s="24">
        <f t="shared" si="429"/>
        <v>0</v>
      </c>
      <c r="Q271" s="24">
        <f t="shared" si="430"/>
        <v>270</v>
      </c>
      <c r="R271" s="87">
        <v>81</v>
      </c>
      <c r="T271" s="235" t="str">
        <f t="shared" si="413"/>
        <v xml:space="preserve"> </v>
      </c>
    </row>
    <row r="272" spans="1:21" x14ac:dyDescent="0.25">
      <c r="A272" s="157"/>
      <c r="B272" s="6">
        <v>3</v>
      </c>
      <c r="C272" s="9" t="s">
        <v>8</v>
      </c>
      <c r="D272" s="6" t="s">
        <v>26</v>
      </c>
      <c r="E272" s="17" t="str">
        <f>VLOOKUP(C272,Resources!B:G,3,FALSE)</f>
        <v>L</v>
      </c>
      <c r="F272" s="12">
        <v>3</v>
      </c>
      <c r="G272" s="12">
        <f>G271/2</f>
        <v>0.25</v>
      </c>
      <c r="H272" s="12">
        <f>H269</f>
        <v>1</v>
      </c>
      <c r="I272" s="12">
        <f>VLOOKUP(C272,Resources!B:G,6,FALSE)</f>
        <v>51.9</v>
      </c>
      <c r="J272" s="21">
        <f t="shared" si="423"/>
        <v>622.79999999999995</v>
      </c>
      <c r="K272" s="21">
        <f t="shared" si="424"/>
        <v>12</v>
      </c>
      <c r="L272" s="24">
        <f t="shared" si="425"/>
        <v>4</v>
      </c>
      <c r="M272" s="24">
        <f t="shared" si="426"/>
        <v>622.79999999999995</v>
      </c>
      <c r="N272" s="24">
        <f t="shared" si="427"/>
        <v>0</v>
      </c>
      <c r="O272" s="24">
        <f t="shared" si="428"/>
        <v>0</v>
      </c>
      <c r="P272" s="24">
        <f t="shared" si="429"/>
        <v>0</v>
      </c>
      <c r="Q272" s="24">
        <f t="shared" si="430"/>
        <v>622.79999999999995</v>
      </c>
      <c r="R272" s="87">
        <v>81</v>
      </c>
      <c r="T272" s="235" t="str">
        <f t="shared" si="413"/>
        <v xml:space="preserve"> </v>
      </c>
    </row>
    <row r="273" spans="1:21" x14ac:dyDescent="0.25">
      <c r="F273" s="11"/>
      <c r="G273" s="11"/>
      <c r="H273" s="11"/>
      <c r="I273" s="11"/>
      <c r="J273" s="11"/>
      <c r="K273" s="11"/>
      <c r="R273" s="88"/>
      <c r="T273" s="235" t="str">
        <f t="shared" si="413"/>
        <v xml:space="preserve"> </v>
      </c>
    </row>
    <row r="274" spans="1:21" ht="30" x14ac:dyDescent="0.25">
      <c r="A274" s="156"/>
      <c r="B274" s="3" t="s">
        <v>175</v>
      </c>
      <c r="C274" s="3" t="s">
        <v>176</v>
      </c>
      <c r="D274" s="4"/>
      <c r="E274" s="15"/>
      <c r="F274" s="10"/>
      <c r="G274" s="10"/>
      <c r="H274" s="10"/>
      <c r="I274" s="10"/>
      <c r="J274" s="10"/>
      <c r="K274" s="10"/>
      <c r="L274" s="23"/>
      <c r="M274" s="23"/>
      <c r="N274" s="23"/>
      <c r="O274" s="23"/>
      <c r="P274" s="23"/>
      <c r="Q274" s="23"/>
      <c r="R274" s="86"/>
      <c r="T274" s="235" t="str">
        <f t="shared" si="413"/>
        <v xml:space="preserve"> </v>
      </c>
    </row>
    <row r="275" spans="1:21" ht="60" x14ac:dyDescent="0.25">
      <c r="A275" s="156">
        <v>47</v>
      </c>
      <c r="B275" s="3" t="s">
        <v>177</v>
      </c>
      <c r="C275" s="3" t="s">
        <v>574</v>
      </c>
      <c r="D275" s="4" t="s">
        <v>32</v>
      </c>
      <c r="E275" s="15"/>
      <c r="F275" s="10"/>
      <c r="G275" s="10"/>
      <c r="H275" s="26">
        <f>VLOOKUP($A275,'Model Inputs'!$A:$C,3,FALSE)</f>
        <v>1.22</v>
      </c>
      <c r="I275" s="10"/>
      <c r="J275" s="10">
        <f>SUBTOTAL(9,J277:J278,J280:J282,J284:J285,J287:J288,J290:J292)</f>
        <v>1344.9309999999998</v>
      </c>
      <c r="K275" s="10"/>
      <c r="L275" s="10">
        <f>ROUNDUP(SUM(L282,L284,L287,L290)/Workhrs,0)</f>
        <v>1</v>
      </c>
      <c r="M275" s="10">
        <f>SUBTOTAL(9,M277:M278,M280:M282,M284:M285,M287:M288,M290:M292)</f>
        <v>363.29999999999995</v>
      </c>
      <c r="N275" s="10">
        <f t="shared" ref="N275:Q275" si="431">SUBTOTAL(9,N277:N278,N280:N282,N284:N285,N287:N288,N290:N292)</f>
        <v>266.63100000000003</v>
      </c>
      <c r="O275" s="10">
        <f t="shared" si="431"/>
        <v>715</v>
      </c>
      <c r="P275" s="10">
        <f t="shared" si="431"/>
        <v>0</v>
      </c>
      <c r="Q275" s="10">
        <f t="shared" si="431"/>
        <v>1344.9309999999998</v>
      </c>
      <c r="R275" s="86"/>
      <c r="T275" s="235" t="str">
        <f t="shared" si="413"/>
        <v xml:space="preserve"> </v>
      </c>
    </row>
    <row r="276" spans="1:21" s="19" customFormat="1" x14ac:dyDescent="0.25">
      <c r="A276" s="159"/>
      <c r="B276" s="28">
        <v>1</v>
      </c>
      <c r="C276" s="29" t="s">
        <v>165</v>
      </c>
      <c r="D276" s="28"/>
      <c r="E276" s="30"/>
      <c r="F276" s="31"/>
      <c r="G276" s="31"/>
      <c r="H276" s="31"/>
      <c r="I276" s="31"/>
      <c r="J276" s="32"/>
      <c r="K276" s="32"/>
      <c r="L276" s="33"/>
      <c r="M276" s="33"/>
      <c r="N276" s="33"/>
      <c r="O276" s="33"/>
      <c r="P276" s="33"/>
      <c r="Q276" s="33"/>
      <c r="R276" s="89"/>
      <c r="T276" s="235" t="str">
        <f t="shared" si="413"/>
        <v xml:space="preserve"> </v>
      </c>
      <c r="U276" s="236"/>
    </row>
    <row r="277" spans="1:21" s="18" customFormat="1" x14ac:dyDescent="0.25">
      <c r="A277" s="157"/>
      <c r="B277" s="6">
        <v>2</v>
      </c>
      <c r="C277" s="9" t="s">
        <v>478</v>
      </c>
      <c r="D277" s="6" t="s">
        <v>32</v>
      </c>
      <c r="E277" s="17" t="str">
        <f>VLOOKUP(C277,Resources!B:G,3,FALSE)</f>
        <v>M</v>
      </c>
      <c r="F277" s="12">
        <v>1</v>
      </c>
      <c r="G277" s="12">
        <v>1</v>
      </c>
      <c r="H277" s="12">
        <f>H275*2</f>
        <v>2.44</v>
      </c>
      <c r="I277" s="12">
        <f>VLOOKUP(C277,Resources!B:G,6,FALSE)</f>
        <v>102.9</v>
      </c>
      <c r="J277" s="21">
        <f t="shared" ref="J277:J278" si="432">(H277/G277)*I277*F277</f>
        <v>251.07600000000002</v>
      </c>
      <c r="K277" s="21" t="str">
        <f t="shared" ref="K277:K278" si="433">IF(E277="M"," ",L277*F277)</f>
        <v xml:space="preserve"> </v>
      </c>
      <c r="L277" s="24" t="str">
        <f t="shared" ref="L277:L278" si="434">IF(E277="M"," ",H277/G277)</f>
        <v xml:space="preserve"> </v>
      </c>
      <c r="M277" s="24">
        <f t="shared" ref="M277:M278" si="435">IF($E277="L",$J277,0)</f>
        <v>0</v>
      </c>
      <c r="N277" s="24">
        <f t="shared" ref="N277:N278" si="436">IF($E277="M",$J277,0)</f>
        <v>251.07600000000002</v>
      </c>
      <c r="O277" s="24">
        <f t="shared" ref="O277:O278" si="437">IF($E277="P",$J277,0)</f>
        <v>0</v>
      </c>
      <c r="P277" s="24">
        <f t="shared" ref="P277:P278" si="438">IF($E277="S",$J277,0)</f>
        <v>0</v>
      </c>
      <c r="Q277" s="24">
        <f t="shared" ref="Q277:Q278" si="439">SUM(M277:P277)</f>
        <v>251.07600000000002</v>
      </c>
      <c r="R277" s="87" t="s">
        <v>541</v>
      </c>
      <c r="T277" s="235" t="str">
        <f t="shared" si="413"/>
        <v xml:space="preserve"> </v>
      </c>
      <c r="U277" s="232"/>
    </row>
    <row r="278" spans="1:21" s="18" customFormat="1" x14ac:dyDescent="0.25">
      <c r="A278" s="157"/>
      <c r="B278" s="6">
        <v>3</v>
      </c>
      <c r="C278" s="9" t="s">
        <v>167</v>
      </c>
      <c r="D278" s="6" t="s">
        <v>100</v>
      </c>
      <c r="E278" s="17" t="str">
        <f>VLOOKUP(C278,Resources!B:G,3,FALSE)</f>
        <v>M</v>
      </c>
      <c r="F278" s="12">
        <v>1</v>
      </c>
      <c r="G278" s="12">
        <v>1</v>
      </c>
      <c r="H278" s="12">
        <f>H277/4</f>
        <v>0.61</v>
      </c>
      <c r="I278" s="12">
        <f>VLOOKUP(C278,Resources!B:G,6,FALSE)</f>
        <v>25.5</v>
      </c>
      <c r="J278" s="21">
        <f t="shared" si="432"/>
        <v>15.555</v>
      </c>
      <c r="K278" s="21" t="str">
        <f t="shared" si="433"/>
        <v xml:space="preserve"> </v>
      </c>
      <c r="L278" s="24" t="str">
        <f t="shared" si="434"/>
        <v xml:space="preserve"> </v>
      </c>
      <c r="M278" s="24">
        <f t="shared" si="435"/>
        <v>0</v>
      </c>
      <c r="N278" s="24">
        <f t="shared" si="436"/>
        <v>15.555</v>
      </c>
      <c r="O278" s="24">
        <f t="shared" si="437"/>
        <v>0</v>
      </c>
      <c r="P278" s="24">
        <f t="shared" si="438"/>
        <v>0</v>
      </c>
      <c r="Q278" s="24">
        <f t="shared" si="439"/>
        <v>15.555</v>
      </c>
      <c r="R278" s="87" t="s">
        <v>542</v>
      </c>
      <c r="T278" s="235" t="str">
        <f t="shared" si="413"/>
        <v>y</v>
      </c>
      <c r="U278" s="232"/>
    </row>
    <row r="279" spans="1:21" s="19" customFormat="1" x14ac:dyDescent="0.25">
      <c r="A279" s="159"/>
      <c r="B279" s="28">
        <v>4</v>
      </c>
      <c r="C279" s="29" t="s">
        <v>168</v>
      </c>
      <c r="D279" s="28"/>
      <c r="E279" s="30"/>
      <c r="F279" s="31"/>
      <c r="G279" s="31"/>
      <c r="H279" s="31"/>
      <c r="I279" s="31"/>
      <c r="J279" s="32"/>
      <c r="K279" s="32"/>
      <c r="L279" s="33"/>
      <c r="M279" s="33"/>
      <c r="N279" s="33"/>
      <c r="O279" s="33"/>
      <c r="P279" s="33"/>
      <c r="Q279" s="33"/>
      <c r="R279" s="89"/>
      <c r="T279" s="235" t="str">
        <f t="shared" si="413"/>
        <v xml:space="preserve"> </v>
      </c>
      <c r="U279" s="236"/>
    </row>
    <row r="280" spans="1:21" s="18" customFormat="1" x14ac:dyDescent="0.25">
      <c r="A280" s="157">
        <v>47.1</v>
      </c>
      <c r="B280" s="6">
        <v>5</v>
      </c>
      <c r="C280" s="9" t="s">
        <v>70</v>
      </c>
      <c r="D280" s="6" t="s">
        <v>26</v>
      </c>
      <c r="E280" s="17" t="str">
        <f>VLOOKUP(C280,Resources!B:G,3,FALSE)</f>
        <v>P</v>
      </c>
      <c r="F280" s="12">
        <v>1</v>
      </c>
      <c r="G280" s="26">
        <f>VLOOKUP($A280,'Model Inputs'!$A:$C,3,FALSE)</f>
        <v>2.44</v>
      </c>
      <c r="H280" s="12">
        <f>H275</f>
        <v>1.22</v>
      </c>
      <c r="I280" s="12">
        <f>VLOOKUP(C280,Resources!B:G,6,FALSE)</f>
        <v>135</v>
      </c>
      <c r="J280" s="21">
        <f t="shared" ref="J280:J282" si="440">(H280/G280)*I280*F280</f>
        <v>67.5</v>
      </c>
      <c r="K280" s="21">
        <f t="shared" ref="K280:K282" si="441">IF(E280="M"," ",L280*F280)</f>
        <v>0.5</v>
      </c>
      <c r="L280" s="24">
        <f t="shared" ref="L280:L282" si="442">IF(E280="M"," ",H280/G280)</f>
        <v>0.5</v>
      </c>
      <c r="M280" s="24">
        <f t="shared" ref="M280:M282" si="443">IF($E280="L",$J280,0)</f>
        <v>0</v>
      </c>
      <c r="N280" s="24">
        <f t="shared" ref="N280:N282" si="444">IF($E280="M",$J280,0)</f>
        <v>0</v>
      </c>
      <c r="O280" s="24">
        <f t="shared" ref="O280:O282" si="445">IF($E280="P",$J280,0)</f>
        <v>67.5</v>
      </c>
      <c r="P280" s="24">
        <f t="shared" ref="P280:P282" si="446">IF($E280="S",$J280,0)</f>
        <v>0</v>
      </c>
      <c r="Q280" s="24">
        <f t="shared" ref="Q280:Q282" si="447">SUM(M280:P280)</f>
        <v>67.5</v>
      </c>
      <c r="R280" s="87">
        <v>81</v>
      </c>
      <c r="T280" s="235" t="str">
        <f t="shared" si="413"/>
        <v xml:space="preserve"> </v>
      </c>
      <c r="U280" s="232"/>
    </row>
    <row r="281" spans="1:21" s="18" customFormat="1" x14ac:dyDescent="0.25">
      <c r="A281" s="157"/>
      <c r="B281" s="6">
        <v>6</v>
      </c>
      <c r="C281" s="9" t="s">
        <v>27</v>
      </c>
      <c r="D281" s="6" t="s">
        <v>26</v>
      </c>
      <c r="E281" s="17" t="str">
        <f>VLOOKUP(C281,Resources!B:G,3,FALSE)</f>
        <v>P</v>
      </c>
      <c r="F281" s="12">
        <v>1</v>
      </c>
      <c r="G281" s="12">
        <f>G280</f>
        <v>2.44</v>
      </c>
      <c r="H281" s="12">
        <f>H280</f>
        <v>1.22</v>
      </c>
      <c r="I281" s="12">
        <f>VLOOKUP(C281,Resources!B:G,6,FALSE)</f>
        <v>90</v>
      </c>
      <c r="J281" s="21">
        <f t="shared" si="440"/>
        <v>45</v>
      </c>
      <c r="K281" s="21">
        <f t="shared" si="441"/>
        <v>0.5</v>
      </c>
      <c r="L281" s="24">
        <f t="shared" si="442"/>
        <v>0.5</v>
      </c>
      <c r="M281" s="24">
        <f t="shared" si="443"/>
        <v>0</v>
      </c>
      <c r="N281" s="24">
        <f t="shared" si="444"/>
        <v>0</v>
      </c>
      <c r="O281" s="24">
        <f t="shared" si="445"/>
        <v>45</v>
      </c>
      <c r="P281" s="24">
        <f t="shared" si="446"/>
        <v>0</v>
      </c>
      <c r="Q281" s="24">
        <f t="shared" si="447"/>
        <v>45</v>
      </c>
      <c r="R281" s="87">
        <v>81</v>
      </c>
      <c r="T281" s="235" t="str">
        <f t="shared" si="413"/>
        <v xml:space="preserve"> </v>
      </c>
      <c r="U281" s="232"/>
    </row>
    <row r="282" spans="1:21" s="18" customFormat="1" x14ac:dyDescent="0.25">
      <c r="A282" s="157"/>
      <c r="B282" s="6">
        <v>7</v>
      </c>
      <c r="C282" s="9" t="s">
        <v>8</v>
      </c>
      <c r="D282" s="6" t="s">
        <v>26</v>
      </c>
      <c r="E282" s="17" t="str">
        <f>VLOOKUP(C282,Resources!B:G,3,FALSE)</f>
        <v>L</v>
      </c>
      <c r="F282" s="12">
        <v>1</v>
      </c>
      <c r="G282" s="12">
        <f>G280/2</f>
        <v>1.22</v>
      </c>
      <c r="H282" s="12">
        <f>H275</f>
        <v>1.22</v>
      </c>
      <c r="I282" s="12">
        <f>VLOOKUP(C282,Resources!B:G,6,FALSE)</f>
        <v>51.9</v>
      </c>
      <c r="J282" s="21">
        <f t="shared" si="440"/>
        <v>51.9</v>
      </c>
      <c r="K282" s="21">
        <f t="shared" si="441"/>
        <v>1</v>
      </c>
      <c r="L282" s="24">
        <f t="shared" si="442"/>
        <v>1</v>
      </c>
      <c r="M282" s="24">
        <f t="shared" si="443"/>
        <v>51.9</v>
      </c>
      <c r="N282" s="24">
        <f t="shared" si="444"/>
        <v>0</v>
      </c>
      <c r="O282" s="24">
        <f t="shared" si="445"/>
        <v>0</v>
      </c>
      <c r="P282" s="24">
        <f t="shared" si="446"/>
        <v>0</v>
      </c>
      <c r="Q282" s="24">
        <f t="shared" si="447"/>
        <v>51.9</v>
      </c>
      <c r="R282" s="87">
        <v>81</v>
      </c>
      <c r="T282" s="235" t="str">
        <f t="shared" si="413"/>
        <v xml:space="preserve"> </v>
      </c>
      <c r="U282" s="232"/>
    </row>
    <row r="283" spans="1:21" s="19" customFormat="1" x14ac:dyDescent="0.25">
      <c r="A283" s="159"/>
      <c r="B283" s="28">
        <v>8</v>
      </c>
      <c r="C283" s="29" t="s">
        <v>169</v>
      </c>
      <c r="D283" s="28"/>
      <c r="E283" s="30"/>
      <c r="F283" s="31"/>
      <c r="G283" s="31"/>
      <c r="H283" s="12"/>
      <c r="I283" s="31"/>
      <c r="J283" s="32"/>
      <c r="K283" s="32"/>
      <c r="L283" s="33"/>
      <c r="M283" s="33"/>
      <c r="N283" s="33"/>
      <c r="O283" s="33"/>
      <c r="P283" s="33"/>
      <c r="Q283" s="33"/>
      <c r="R283" s="89"/>
      <c r="T283" s="235" t="str">
        <f t="shared" si="413"/>
        <v xml:space="preserve"> </v>
      </c>
      <c r="U283" s="236"/>
    </row>
    <row r="284" spans="1:21" s="18" customFormat="1" x14ac:dyDescent="0.25">
      <c r="A284" s="157">
        <v>47.2</v>
      </c>
      <c r="B284" s="6">
        <v>9</v>
      </c>
      <c r="C284" s="9" t="s">
        <v>70</v>
      </c>
      <c r="D284" s="6" t="s">
        <v>26</v>
      </c>
      <c r="E284" s="17" t="str">
        <f>VLOOKUP(C284,Resources!B:G,3,FALSE)</f>
        <v>P</v>
      </c>
      <c r="F284" s="12">
        <v>1</v>
      </c>
      <c r="G284" s="26">
        <f>VLOOKUP($A284,'Model Inputs'!$A:$C,3,FALSE)</f>
        <v>1.22</v>
      </c>
      <c r="H284" s="12">
        <f>H275</f>
        <v>1.22</v>
      </c>
      <c r="I284" s="12">
        <f>VLOOKUP(C284,Resources!B:G,6,FALSE)</f>
        <v>135</v>
      </c>
      <c r="J284" s="21">
        <f t="shared" ref="J284:J285" si="448">(H284/G284)*I284*F284</f>
        <v>135</v>
      </c>
      <c r="K284" s="21">
        <f t="shared" ref="K284:K285" si="449">IF(E284="M"," ",L284*F284)</f>
        <v>1</v>
      </c>
      <c r="L284" s="24">
        <f t="shared" ref="L284:L285" si="450">IF(E284="M"," ",H284/G284)</f>
        <v>1</v>
      </c>
      <c r="M284" s="24">
        <f t="shared" ref="M284:M285" si="451">IF($E284="L",$J284,0)</f>
        <v>0</v>
      </c>
      <c r="N284" s="24">
        <f t="shared" ref="N284:N285" si="452">IF($E284="M",$J284,0)</f>
        <v>0</v>
      </c>
      <c r="O284" s="24">
        <f t="shared" ref="O284:O285" si="453">IF($E284="P",$J284,0)</f>
        <v>135</v>
      </c>
      <c r="P284" s="24">
        <f t="shared" ref="P284:P285" si="454">IF($E284="S",$J284,0)</f>
        <v>0</v>
      </c>
      <c r="Q284" s="24">
        <f t="shared" ref="Q284:Q285" si="455">SUM(M284:P284)</f>
        <v>135</v>
      </c>
      <c r="R284" s="87">
        <v>81</v>
      </c>
      <c r="T284" s="235" t="str">
        <f t="shared" si="413"/>
        <v xml:space="preserve"> </v>
      </c>
      <c r="U284" s="232"/>
    </row>
    <row r="285" spans="1:21" s="18" customFormat="1" x14ac:dyDescent="0.25">
      <c r="A285" s="157"/>
      <c r="B285" s="6">
        <v>10</v>
      </c>
      <c r="C285" s="9" t="s">
        <v>28</v>
      </c>
      <c r="D285" s="6" t="s">
        <v>26</v>
      </c>
      <c r="E285" s="17" t="str">
        <f>VLOOKUP(C285,Resources!B:G,3,FALSE)</f>
        <v>P</v>
      </c>
      <c r="F285" s="12">
        <v>1</v>
      </c>
      <c r="G285" s="12">
        <f>G284*2</f>
        <v>2.44</v>
      </c>
      <c r="H285" s="12">
        <f>H275</f>
        <v>1.22</v>
      </c>
      <c r="I285" s="12">
        <f>VLOOKUP(C285,Resources!B:G,6,FALSE)</f>
        <v>95</v>
      </c>
      <c r="J285" s="21">
        <f t="shared" si="448"/>
        <v>47.5</v>
      </c>
      <c r="K285" s="21">
        <f t="shared" si="449"/>
        <v>0.5</v>
      </c>
      <c r="L285" s="24">
        <f t="shared" si="450"/>
        <v>0.5</v>
      </c>
      <c r="M285" s="24">
        <f t="shared" si="451"/>
        <v>0</v>
      </c>
      <c r="N285" s="24">
        <f t="shared" si="452"/>
        <v>0</v>
      </c>
      <c r="O285" s="24">
        <f t="shared" si="453"/>
        <v>47.5</v>
      </c>
      <c r="P285" s="24">
        <f t="shared" si="454"/>
        <v>0</v>
      </c>
      <c r="Q285" s="24">
        <f t="shared" si="455"/>
        <v>47.5</v>
      </c>
      <c r="R285" s="87">
        <v>81</v>
      </c>
      <c r="T285" s="235" t="str">
        <f t="shared" si="413"/>
        <v xml:space="preserve"> </v>
      </c>
      <c r="U285" s="232"/>
    </row>
    <row r="286" spans="1:21" s="19" customFormat="1" x14ac:dyDescent="0.25">
      <c r="A286" s="159"/>
      <c r="B286" s="28">
        <v>11</v>
      </c>
      <c r="C286" s="29" t="s">
        <v>170</v>
      </c>
      <c r="D286" s="28"/>
      <c r="E286" s="30"/>
      <c r="F286" s="31"/>
      <c r="G286" s="31"/>
      <c r="H286" s="12"/>
      <c r="I286" s="31"/>
      <c r="J286" s="32"/>
      <c r="K286" s="32"/>
      <c r="L286" s="33"/>
      <c r="M286" s="33"/>
      <c r="N286" s="33"/>
      <c r="O286" s="33"/>
      <c r="P286" s="33"/>
      <c r="Q286" s="33"/>
      <c r="R286" s="89"/>
      <c r="T286" s="235" t="str">
        <f t="shared" si="413"/>
        <v xml:space="preserve"> </v>
      </c>
      <c r="U286" s="236"/>
    </row>
    <row r="287" spans="1:21" s="18" customFormat="1" x14ac:dyDescent="0.25">
      <c r="A287" s="157">
        <v>47.3</v>
      </c>
      <c r="B287" s="6">
        <v>12</v>
      </c>
      <c r="C287" s="9" t="s">
        <v>70</v>
      </c>
      <c r="D287" s="6" t="s">
        <v>26</v>
      </c>
      <c r="E287" s="17" t="str">
        <f>VLOOKUP(C287,Resources!B:G,3,FALSE)</f>
        <v>P</v>
      </c>
      <c r="F287" s="12">
        <v>1</v>
      </c>
      <c r="G287" s="26">
        <f>VLOOKUP($A287,'Model Inputs'!$A:$C,3,FALSE)</f>
        <v>1.22</v>
      </c>
      <c r="H287" s="12">
        <f>H275</f>
        <v>1.22</v>
      </c>
      <c r="I287" s="12">
        <f>VLOOKUP(C287,Resources!B:G,6,FALSE)</f>
        <v>135</v>
      </c>
      <c r="J287" s="21">
        <f t="shared" ref="J287:J288" si="456">(H287/G287)*I287*F287</f>
        <v>135</v>
      </c>
      <c r="K287" s="21">
        <f t="shared" ref="K287:K288" si="457">IF(E287="M"," ",L287*F287)</f>
        <v>1</v>
      </c>
      <c r="L287" s="24">
        <f t="shared" ref="L287:L288" si="458">IF(E287="M"," ",H287/G287)</f>
        <v>1</v>
      </c>
      <c r="M287" s="24">
        <f t="shared" ref="M287:M288" si="459">IF($E287="L",$J287,0)</f>
        <v>0</v>
      </c>
      <c r="N287" s="24">
        <f t="shared" ref="N287:N288" si="460">IF($E287="M",$J287,0)</f>
        <v>0</v>
      </c>
      <c r="O287" s="24">
        <f t="shared" ref="O287:O288" si="461">IF($E287="P",$J287,0)</f>
        <v>135</v>
      </c>
      <c r="P287" s="24">
        <f t="shared" ref="P287:P288" si="462">IF($E287="S",$J287,0)</f>
        <v>0</v>
      </c>
      <c r="Q287" s="24">
        <f t="shared" ref="Q287:Q288" si="463">SUM(M287:P287)</f>
        <v>135</v>
      </c>
      <c r="R287" s="87">
        <v>81</v>
      </c>
      <c r="T287" s="235" t="str">
        <f t="shared" si="413"/>
        <v xml:space="preserve"> </v>
      </c>
      <c r="U287" s="232"/>
    </row>
    <row r="288" spans="1:21" s="18" customFormat="1" x14ac:dyDescent="0.25">
      <c r="A288" s="157"/>
      <c r="B288" s="6">
        <v>13</v>
      </c>
      <c r="C288" s="9" t="s">
        <v>8</v>
      </c>
      <c r="D288" s="6" t="s">
        <v>26</v>
      </c>
      <c r="E288" s="17" t="str">
        <f>VLOOKUP(C288,Resources!B:G,3,FALSE)</f>
        <v>L</v>
      </c>
      <c r="F288" s="12">
        <v>1</v>
      </c>
      <c r="G288" s="12">
        <f>G287/2</f>
        <v>0.61</v>
      </c>
      <c r="H288" s="12">
        <f>H275</f>
        <v>1.22</v>
      </c>
      <c r="I288" s="12">
        <f>VLOOKUP(C288,Resources!B:G,6,FALSE)</f>
        <v>51.9</v>
      </c>
      <c r="J288" s="21">
        <f t="shared" si="456"/>
        <v>103.8</v>
      </c>
      <c r="K288" s="21">
        <f t="shared" si="457"/>
        <v>2</v>
      </c>
      <c r="L288" s="24">
        <f t="shared" si="458"/>
        <v>2</v>
      </c>
      <c r="M288" s="24">
        <f t="shared" si="459"/>
        <v>103.8</v>
      </c>
      <c r="N288" s="24">
        <f t="shared" si="460"/>
        <v>0</v>
      </c>
      <c r="O288" s="24">
        <f t="shared" si="461"/>
        <v>0</v>
      </c>
      <c r="P288" s="24">
        <f t="shared" si="462"/>
        <v>0</v>
      </c>
      <c r="Q288" s="24">
        <f t="shared" si="463"/>
        <v>103.8</v>
      </c>
      <c r="R288" s="87">
        <v>81</v>
      </c>
      <c r="T288" s="235" t="str">
        <f t="shared" si="413"/>
        <v xml:space="preserve"> </v>
      </c>
      <c r="U288" s="232"/>
    </row>
    <row r="289" spans="1:21" s="19" customFormat="1" x14ac:dyDescent="0.25">
      <c r="A289" s="159"/>
      <c r="B289" s="28">
        <v>14</v>
      </c>
      <c r="C289" s="29" t="s">
        <v>171</v>
      </c>
      <c r="D289" s="28"/>
      <c r="E289" s="30"/>
      <c r="F289" s="31"/>
      <c r="G289" s="31"/>
      <c r="H289" s="12"/>
      <c r="I289" s="31"/>
      <c r="J289" s="32"/>
      <c r="K289" s="32"/>
      <c r="L289" s="33"/>
      <c r="M289" s="33"/>
      <c r="N289" s="33"/>
      <c r="O289" s="33"/>
      <c r="P289" s="33"/>
      <c r="Q289" s="33"/>
      <c r="R289" s="89"/>
      <c r="T289" s="235" t="str">
        <f t="shared" si="413"/>
        <v xml:space="preserve"> </v>
      </c>
      <c r="U289" s="236"/>
    </row>
    <row r="290" spans="1:21" s="18" customFormat="1" x14ac:dyDescent="0.25">
      <c r="A290" s="157">
        <v>47.4</v>
      </c>
      <c r="B290" s="6">
        <v>15</v>
      </c>
      <c r="C290" s="9" t="s">
        <v>8</v>
      </c>
      <c r="D290" s="6" t="s">
        <v>26</v>
      </c>
      <c r="E290" s="17" t="str">
        <f>VLOOKUP(C290,Resources!B:G,3,FALSE)</f>
        <v>L</v>
      </c>
      <c r="F290" s="12">
        <v>1</v>
      </c>
      <c r="G290" s="26">
        <f>VLOOKUP($A290,'Model Inputs'!$A:$C,3,FALSE)</f>
        <v>0.30499999999999999</v>
      </c>
      <c r="H290" s="12">
        <f>H275</f>
        <v>1.22</v>
      </c>
      <c r="I290" s="12">
        <f>VLOOKUP(C290,Resources!B:G,6,FALSE)</f>
        <v>51.9</v>
      </c>
      <c r="J290" s="21">
        <f t="shared" ref="J290:J292" si="464">(H290/G290)*I290*F290</f>
        <v>207.6</v>
      </c>
      <c r="K290" s="21">
        <f t="shared" ref="K290:K292" si="465">IF(E290="M"," ",L290*F290)</f>
        <v>4</v>
      </c>
      <c r="L290" s="24">
        <f t="shared" ref="L290:L292" si="466">IF(E290="M"," ",H290/G290)</f>
        <v>4</v>
      </c>
      <c r="M290" s="24">
        <f t="shared" ref="M290:M292" si="467">IF($E290="L",$J290,0)</f>
        <v>207.6</v>
      </c>
      <c r="N290" s="24">
        <f t="shared" ref="N290:N292" si="468">IF($E290="M",$J290,0)</f>
        <v>0</v>
      </c>
      <c r="O290" s="24">
        <f t="shared" ref="O290:O292" si="469">IF($E290="P",$J290,0)</f>
        <v>0</v>
      </c>
      <c r="P290" s="24">
        <f t="shared" ref="P290:P292" si="470">IF($E290="S",$J290,0)</f>
        <v>0</v>
      </c>
      <c r="Q290" s="24">
        <f t="shared" ref="Q290:Q292" si="471">SUM(M290:P290)</f>
        <v>207.6</v>
      </c>
      <c r="R290" s="87">
        <v>81</v>
      </c>
      <c r="T290" s="235" t="str">
        <f t="shared" si="413"/>
        <v xml:space="preserve"> </v>
      </c>
      <c r="U290" s="232"/>
    </row>
    <row r="291" spans="1:21" s="18" customFormat="1" x14ac:dyDescent="0.25">
      <c r="A291" s="157"/>
      <c r="B291" s="6">
        <v>16</v>
      </c>
      <c r="C291" s="9" t="s">
        <v>82</v>
      </c>
      <c r="D291" s="6" t="s">
        <v>26</v>
      </c>
      <c r="E291" s="17" t="str">
        <f>VLOOKUP(C291,Resources!B:G,3,FALSE)</f>
        <v>P</v>
      </c>
      <c r="F291" s="12">
        <v>1</v>
      </c>
      <c r="G291" s="12">
        <f>G290*2</f>
        <v>0.61</v>
      </c>
      <c r="H291" s="12">
        <f>H275</f>
        <v>1.22</v>
      </c>
      <c r="I291" s="12">
        <f>VLOOKUP(C291,Resources!B:G,6,FALSE)</f>
        <v>95</v>
      </c>
      <c r="J291" s="21">
        <f t="shared" si="464"/>
        <v>190</v>
      </c>
      <c r="K291" s="21">
        <f t="shared" si="465"/>
        <v>2</v>
      </c>
      <c r="L291" s="24">
        <f t="shared" si="466"/>
        <v>2</v>
      </c>
      <c r="M291" s="24">
        <f t="shared" si="467"/>
        <v>0</v>
      </c>
      <c r="N291" s="24">
        <f t="shared" si="468"/>
        <v>0</v>
      </c>
      <c r="O291" s="24">
        <f t="shared" si="469"/>
        <v>190</v>
      </c>
      <c r="P291" s="24">
        <f t="shared" si="470"/>
        <v>0</v>
      </c>
      <c r="Q291" s="24">
        <f t="shared" si="471"/>
        <v>190</v>
      </c>
      <c r="R291" s="87">
        <v>81</v>
      </c>
      <c r="T291" s="235" t="str">
        <f t="shared" si="413"/>
        <v xml:space="preserve"> </v>
      </c>
      <c r="U291" s="232"/>
    </row>
    <row r="292" spans="1:21" s="18" customFormat="1" x14ac:dyDescent="0.25">
      <c r="A292" s="157"/>
      <c r="B292" s="6">
        <v>17</v>
      </c>
      <c r="C292" s="9" t="s">
        <v>28</v>
      </c>
      <c r="D292" s="6" t="s">
        <v>26</v>
      </c>
      <c r="E292" s="17" t="str">
        <f>VLOOKUP(C292,Resources!B:G,3,FALSE)</f>
        <v>P</v>
      </c>
      <c r="F292" s="12">
        <v>1</v>
      </c>
      <c r="G292" s="12">
        <f>G290*4</f>
        <v>1.22</v>
      </c>
      <c r="H292" s="12">
        <f>H275</f>
        <v>1.22</v>
      </c>
      <c r="I292" s="12">
        <f>VLOOKUP(C292,Resources!B:G,6,FALSE)</f>
        <v>95</v>
      </c>
      <c r="J292" s="21">
        <f t="shared" si="464"/>
        <v>95</v>
      </c>
      <c r="K292" s="21">
        <f t="shared" si="465"/>
        <v>1</v>
      </c>
      <c r="L292" s="24">
        <f t="shared" si="466"/>
        <v>1</v>
      </c>
      <c r="M292" s="24">
        <f t="shared" si="467"/>
        <v>0</v>
      </c>
      <c r="N292" s="24">
        <f t="shared" si="468"/>
        <v>0</v>
      </c>
      <c r="O292" s="24">
        <f t="shared" si="469"/>
        <v>95</v>
      </c>
      <c r="P292" s="24">
        <f t="shared" si="470"/>
        <v>0</v>
      </c>
      <c r="Q292" s="24">
        <f t="shared" si="471"/>
        <v>95</v>
      </c>
      <c r="R292" s="87">
        <v>81</v>
      </c>
      <c r="T292" s="235" t="str">
        <f t="shared" si="413"/>
        <v xml:space="preserve"> </v>
      </c>
      <c r="U292" s="232"/>
    </row>
    <row r="293" spans="1:21" x14ac:dyDescent="0.25">
      <c r="F293" s="11"/>
      <c r="G293" s="11"/>
      <c r="H293" s="11"/>
      <c r="I293" s="11"/>
      <c r="J293" s="11"/>
      <c r="K293" s="11"/>
      <c r="R293" s="88"/>
      <c r="T293" s="235" t="str">
        <f t="shared" si="413"/>
        <v xml:space="preserve"> </v>
      </c>
    </row>
    <row r="294" spans="1:21" ht="30" x14ac:dyDescent="0.25">
      <c r="A294" s="156">
        <v>48</v>
      </c>
      <c r="B294" s="3" t="s">
        <v>178</v>
      </c>
      <c r="C294" s="3" t="s">
        <v>179</v>
      </c>
      <c r="D294" s="4" t="s">
        <v>145</v>
      </c>
      <c r="E294" s="15"/>
      <c r="F294" s="10"/>
      <c r="G294" s="10"/>
      <c r="H294" s="26">
        <f>VLOOKUP($A294,'Model Inputs'!$A:$C,3,FALSE)</f>
        <v>1</v>
      </c>
      <c r="I294" s="10"/>
      <c r="J294" s="10">
        <f>SUBTOTAL(9,J295:J299)</f>
        <v>2338.85</v>
      </c>
      <c r="K294" s="10"/>
      <c r="L294" s="10">
        <f>ROUNDUP(MAX(L295:L299)/Workhrs,0)</f>
        <v>1</v>
      </c>
      <c r="M294" s="10">
        <f>SUBTOTAL(9,M295:M299)</f>
        <v>1245.5999999999999</v>
      </c>
      <c r="N294" s="10">
        <f t="shared" ref="N294:Q294" si="472">SUBTOTAL(9,N295:N299)</f>
        <v>553.25</v>
      </c>
      <c r="O294" s="10">
        <f t="shared" si="472"/>
        <v>540</v>
      </c>
      <c r="P294" s="10">
        <f t="shared" si="472"/>
        <v>0</v>
      </c>
      <c r="Q294" s="10">
        <f t="shared" si="472"/>
        <v>2338.85</v>
      </c>
      <c r="R294" s="86"/>
      <c r="T294" s="235" t="str">
        <f t="shared" si="413"/>
        <v xml:space="preserve"> </v>
      </c>
    </row>
    <row r="295" spans="1:21" x14ac:dyDescent="0.25">
      <c r="A295" s="157"/>
      <c r="B295" s="6">
        <v>1</v>
      </c>
      <c r="C295" s="9" t="s">
        <v>194</v>
      </c>
      <c r="D295" s="6" t="s">
        <v>180</v>
      </c>
      <c r="E295" s="17" t="str">
        <f>VLOOKUP(C295,Resources!B:G,3,FALSE)</f>
        <v>M</v>
      </c>
      <c r="F295" s="12">
        <v>1</v>
      </c>
      <c r="G295" s="12">
        <v>1</v>
      </c>
      <c r="H295" s="12">
        <f>H294*1.21</f>
        <v>1.21</v>
      </c>
      <c r="I295" s="12">
        <f>VLOOKUP(C295,Resources!B:G,6,FALSE)</f>
        <v>325</v>
      </c>
      <c r="J295" s="21">
        <f t="shared" ref="J295:J299" si="473">(H295/G295)*I295*F295</f>
        <v>393.25</v>
      </c>
      <c r="K295" s="21" t="str">
        <f t="shared" ref="K295:K299" si="474">IF(E295="M"," ",L295*F295)</f>
        <v xml:space="preserve"> </v>
      </c>
      <c r="L295" s="24" t="str">
        <f t="shared" ref="L295:L299" si="475">IF(E295="M"," ",H295/G295)</f>
        <v xml:space="preserve"> </v>
      </c>
      <c r="M295" s="24">
        <f t="shared" ref="M295:M299" si="476">IF($E295="L",$J295,0)</f>
        <v>0</v>
      </c>
      <c r="N295" s="24">
        <f t="shared" ref="N295:N299" si="477">IF($E295="M",$J295,0)</f>
        <v>393.25</v>
      </c>
      <c r="O295" s="24">
        <f t="shared" ref="O295:O299" si="478">IF($E295="P",$J295,0)</f>
        <v>0</v>
      </c>
      <c r="P295" s="24">
        <f t="shared" ref="P295:P299" si="479">IF($E295="S",$J295,0)</f>
        <v>0</v>
      </c>
      <c r="Q295" s="24">
        <f t="shared" ref="Q295:Q299" si="480">SUM(M295:P295)</f>
        <v>393.25</v>
      </c>
      <c r="R295" s="87" t="s">
        <v>543</v>
      </c>
      <c r="T295" s="235" t="str">
        <f t="shared" si="413"/>
        <v xml:space="preserve"> </v>
      </c>
    </row>
    <row r="296" spans="1:21" x14ac:dyDescent="0.25">
      <c r="A296" s="157"/>
      <c r="B296" s="6">
        <v>2</v>
      </c>
      <c r="C296" s="9" t="s">
        <v>181</v>
      </c>
      <c r="D296" s="6" t="s">
        <v>109</v>
      </c>
      <c r="E296" s="17" t="str">
        <f>VLOOKUP(C296,Resources!B:G,3,FALSE)</f>
        <v>M</v>
      </c>
      <c r="F296" s="12">
        <v>1</v>
      </c>
      <c r="G296" s="12">
        <v>1</v>
      </c>
      <c r="H296" s="12">
        <f>H294*6</f>
        <v>6</v>
      </c>
      <c r="I296" s="12">
        <f>VLOOKUP(C296,Resources!B:G,6,FALSE)</f>
        <v>10</v>
      </c>
      <c r="J296" s="21">
        <f t="shared" si="473"/>
        <v>60</v>
      </c>
      <c r="K296" s="21" t="str">
        <f t="shared" si="474"/>
        <v xml:space="preserve"> </v>
      </c>
      <c r="L296" s="24" t="str">
        <f t="shared" si="475"/>
        <v xml:space="preserve"> </v>
      </c>
      <c r="M296" s="24">
        <f t="shared" si="476"/>
        <v>0</v>
      </c>
      <c r="N296" s="24">
        <f t="shared" si="477"/>
        <v>60</v>
      </c>
      <c r="O296" s="24">
        <f t="shared" si="478"/>
        <v>0</v>
      </c>
      <c r="P296" s="24">
        <f t="shared" si="479"/>
        <v>0</v>
      </c>
      <c r="Q296" s="24">
        <f t="shared" si="480"/>
        <v>60</v>
      </c>
      <c r="R296" s="87">
        <v>72</v>
      </c>
      <c r="T296" s="235" t="str">
        <f t="shared" si="413"/>
        <v xml:space="preserve"> </v>
      </c>
    </row>
    <row r="297" spans="1:21" x14ac:dyDescent="0.25">
      <c r="A297" s="157"/>
      <c r="B297" s="6">
        <v>3</v>
      </c>
      <c r="C297" s="9" t="s">
        <v>182</v>
      </c>
      <c r="D297" s="6" t="s">
        <v>32</v>
      </c>
      <c r="E297" s="17" t="str">
        <f>VLOOKUP(C297,Resources!B:G,3,FALSE)</f>
        <v>M</v>
      </c>
      <c r="F297" s="12">
        <v>1</v>
      </c>
      <c r="G297" s="12">
        <v>1</v>
      </c>
      <c r="H297" s="12">
        <f>H294*20</f>
        <v>20</v>
      </c>
      <c r="I297" s="12">
        <f>VLOOKUP(C297,Resources!B:G,6,FALSE)</f>
        <v>5</v>
      </c>
      <c r="J297" s="21">
        <f t="shared" si="473"/>
        <v>100</v>
      </c>
      <c r="K297" s="21" t="str">
        <f t="shared" si="474"/>
        <v xml:space="preserve"> </v>
      </c>
      <c r="L297" s="24" t="str">
        <f t="shared" si="475"/>
        <v xml:space="preserve"> </v>
      </c>
      <c r="M297" s="24">
        <f t="shared" si="476"/>
        <v>0</v>
      </c>
      <c r="N297" s="24">
        <f t="shared" si="477"/>
        <v>100</v>
      </c>
      <c r="O297" s="24">
        <f t="shared" si="478"/>
        <v>0</v>
      </c>
      <c r="P297" s="24">
        <f t="shared" si="479"/>
        <v>0</v>
      </c>
      <c r="Q297" s="24">
        <f t="shared" si="480"/>
        <v>100</v>
      </c>
      <c r="R297" s="87">
        <v>72</v>
      </c>
      <c r="T297" s="235" t="str">
        <f t="shared" si="413"/>
        <v xml:space="preserve"> </v>
      </c>
    </row>
    <row r="298" spans="1:21" x14ac:dyDescent="0.25">
      <c r="A298" s="157">
        <v>48.1</v>
      </c>
      <c r="B298" s="6">
        <v>4</v>
      </c>
      <c r="C298" s="9" t="s">
        <v>8</v>
      </c>
      <c r="D298" s="6" t="s">
        <v>26</v>
      </c>
      <c r="E298" s="17" t="str">
        <f>VLOOKUP(C298,Resources!B:G,3,FALSE)</f>
        <v>L</v>
      </c>
      <c r="F298" s="12">
        <v>3</v>
      </c>
      <c r="G298" s="26">
        <f>VLOOKUP($A298,'Model Inputs'!$A:$C,3,FALSE)</f>
        <v>0.125</v>
      </c>
      <c r="H298" s="12">
        <f>H294</f>
        <v>1</v>
      </c>
      <c r="I298" s="12">
        <f>VLOOKUP(C298,Resources!B:G,6,FALSE)</f>
        <v>51.9</v>
      </c>
      <c r="J298" s="21">
        <f t="shared" si="473"/>
        <v>1245.5999999999999</v>
      </c>
      <c r="K298" s="21">
        <f t="shared" si="474"/>
        <v>24</v>
      </c>
      <c r="L298" s="24">
        <f t="shared" si="475"/>
        <v>8</v>
      </c>
      <c r="M298" s="24">
        <f t="shared" si="476"/>
        <v>1245.5999999999999</v>
      </c>
      <c r="N298" s="24">
        <f t="shared" si="477"/>
        <v>0</v>
      </c>
      <c r="O298" s="24">
        <f t="shared" si="478"/>
        <v>0</v>
      </c>
      <c r="P298" s="24">
        <f t="shared" si="479"/>
        <v>0</v>
      </c>
      <c r="Q298" s="24">
        <f t="shared" si="480"/>
        <v>1245.5999999999999</v>
      </c>
      <c r="R298" s="87">
        <v>72</v>
      </c>
      <c r="T298" s="235" t="str">
        <f t="shared" si="413"/>
        <v xml:space="preserve"> </v>
      </c>
    </row>
    <row r="299" spans="1:21" x14ac:dyDescent="0.25">
      <c r="A299" s="157"/>
      <c r="B299" s="6">
        <v>5</v>
      </c>
      <c r="C299" s="9" t="s">
        <v>70</v>
      </c>
      <c r="D299" s="6" t="s">
        <v>26</v>
      </c>
      <c r="E299" s="17" t="str">
        <f>VLOOKUP(C299,Resources!B:G,3,FALSE)</f>
        <v>P</v>
      </c>
      <c r="F299" s="12">
        <v>1</v>
      </c>
      <c r="G299" s="12">
        <f>G298*2</f>
        <v>0.25</v>
      </c>
      <c r="H299" s="12">
        <f>H294</f>
        <v>1</v>
      </c>
      <c r="I299" s="12">
        <f>VLOOKUP(C299,Resources!B:G,6,FALSE)</f>
        <v>135</v>
      </c>
      <c r="J299" s="21">
        <f t="shared" si="473"/>
        <v>540</v>
      </c>
      <c r="K299" s="21">
        <f t="shared" si="474"/>
        <v>4</v>
      </c>
      <c r="L299" s="24">
        <f t="shared" si="475"/>
        <v>4</v>
      </c>
      <c r="M299" s="24">
        <f t="shared" si="476"/>
        <v>0</v>
      </c>
      <c r="N299" s="24">
        <f t="shared" si="477"/>
        <v>0</v>
      </c>
      <c r="O299" s="24">
        <f t="shared" si="478"/>
        <v>540</v>
      </c>
      <c r="P299" s="24">
        <f t="shared" si="479"/>
        <v>0</v>
      </c>
      <c r="Q299" s="24">
        <f t="shared" si="480"/>
        <v>540</v>
      </c>
      <c r="R299" s="87">
        <v>72</v>
      </c>
      <c r="T299" s="235" t="str">
        <f t="shared" si="413"/>
        <v xml:space="preserve"> </v>
      </c>
    </row>
    <row r="300" spans="1:21" x14ac:dyDescent="0.25">
      <c r="F300" s="11"/>
      <c r="G300" s="11"/>
      <c r="H300" s="11"/>
      <c r="I300" s="11"/>
      <c r="J300" s="11"/>
      <c r="K300" s="11"/>
      <c r="R300" s="88"/>
      <c r="T300" s="235" t="str">
        <f t="shared" si="413"/>
        <v xml:space="preserve"> </v>
      </c>
    </row>
    <row r="301" spans="1:21" ht="30" x14ac:dyDescent="0.25">
      <c r="A301" s="156"/>
      <c r="B301" s="3" t="s">
        <v>183</v>
      </c>
      <c r="C301" s="3" t="s">
        <v>184</v>
      </c>
      <c r="D301" s="4"/>
      <c r="E301" s="15"/>
      <c r="F301" s="10"/>
      <c r="G301" s="10"/>
      <c r="H301" s="10"/>
      <c r="I301" s="10"/>
      <c r="J301" s="10"/>
      <c r="K301" s="10"/>
      <c r="L301" s="23"/>
      <c r="M301" s="23"/>
      <c r="N301" s="23"/>
      <c r="O301" s="23"/>
      <c r="P301" s="23"/>
      <c r="Q301" s="23"/>
      <c r="R301" s="86"/>
      <c r="T301" s="235" t="str">
        <f t="shared" si="413"/>
        <v xml:space="preserve"> </v>
      </c>
    </row>
    <row r="302" spans="1:21" ht="75" x14ac:dyDescent="0.25">
      <c r="A302" s="156">
        <v>49</v>
      </c>
      <c r="B302" s="3" t="s">
        <v>185</v>
      </c>
      <c r="C302" s="3" t="s">
        <v>575</v>
      </c>
      <c r="D302" s="4" t="s">
        <v>32</v>
      </c>
      <c r="E302" s="15"/>
      <c r="F302" s="10"/>
      <c r="G302" s="10"/>
      <c r="H302" s="26">
        <f>VLOOKUP($A302,'Model Inputs'!$A:$C,3,FALSE)</f>
        <v>2.44</v>
      </c>
      <c r="I302" s="10"/>
      <c r="J302" s="10">
        <f>SUBTOTAL(9,J305:J307,J309:J312,J314:J317,J319:J320,J321,J323:J326)</f>
        <v>20898.888739999999</v>
      </c>
      <c r="K302" s="10"/>
      <c r="L302" s="10">
        <f>ROUNDUP(SUM(L305,L311,L316,L320,L324)/Workhrs,0)</f>
        <v>4</v>
      </c>
      <c r="M302" s="10">
        <f>SUBTOTAL(9,M305:M307,M309:M312,M314:M317,M319:M320,M321,M323:M326)</f>
        <v>2135.6849999999999</v>
      </c>
      <c r="N302" s="10">
        <f t="shared" ref="N302:Q302" si="481">SUBTOTAL(9,N305:N307,N309:N312,N314:N317,N319:N320,N321,N323:N326)</f>
        <v>14141.453847999999</v>
      </c>
      <c r="O302" s="10">
        <f t="shared" si="481"/>
        <v>2626.75</v>
      </c>
      <c r="P302" s="10">
        <f t="shared" si="481"/>
        <v>1994.999892</v>
      </c>
      <c r="Q302" s="10">
        <f t="shared" si="481"/>
        <v>20898.888739999999</v>
      </c>
      <c r="R302" s="86"/>
      <c r="T302" s="235" t="str">
        <f t="shared" si="413"/>
        <v xml:space="preserve"> </v>
      </c>
    </row>
    <row r="303" spans="1:21" s="19" customFormat="1" ht="30" x14ac:dyDescent="0.25">
      <c r="A303" s="159"/>
      <c r="B303" s="28">
        <v>1</v>
      </c>
      <c r="C303" s="29" t="s">
        <v>186</v>
      </c>
      <c r="D303" s="28"/>
      <c r="E303" s="30"/>
      <c r="F303" s="31"/>
      <c r="G303" s="31"/>
      <c r="H303" s="31"/>
      <c r="I303" s="31"/>
      <c r="J303" s="32"/>
      <c r="K303" s="32"/>
      <c r="L303" s="33"/>
      <c r="M303" s="33"/>
      <c r="N303" s="33"/>
      <c r="O303" s="33"/>
      <c r="P303" s="33"/>
      <c r="Q303" s="33"/>
      <c r="R303" s="89"/>
      <c r="T303" s="235" t="str">
        <f t="shared" si="413"/>
        <v xml:space="preserve"> </v>
      </c>
      <c r="U303" s="236"/>
    </row>
    <row r="304" spans="1:21" s="19" customFormat="1" x14ac:dyDescent="0.25">
      <c r="A304" s="159"/>
      <c r="B304" s="28">
        <v>2</v>
      </c>
      <c r="C304" s="29" t="s">
        <v>187</v>
      </c>
      <c r="D304" s="28"/>
      <c r="E304" s="30"/>
      <c r="F304" s="31"/>
      <c r="G304" s="31"/>
      <c r="H304" s="31"/>
      <c r="I304" s="31"/>
      <c r="J304" s="32"/>
      <c r="K304" s="32"/>
      <c r="L304" s="33"/>
      <c r="M304" s="33"/>
      <c r="N304" s="33"/>
      <c r="O304" s="33"/>
      <c r="P304" s="33"/>
      <c r="Q304" s="33"/>
      <c r="R304" s="89"/>
      <c r="T304" s="235" t="str">
        <f t="shared" si="413"/>
        <v xml:space="preserve"> </v>
      </c>
      <c r="U304" s="236"/>
    </row>
    <row r="305" spans="1:21" s="18" customFormat="1" x14ac:dyDescent="0.25">
      <c r="A305" s="157">
        <v>49.1</v>
      </c>
      <c r="B305" s="6">
        <v>3</v>
      </c>
      <c r="C305" s="9" t="s">
        <v>70</v>
      </c>
      <c r="D305" s="6" t="s">
        <v>26</v>
      </c>
      <c r="E305" s="17" t="str">
        <f>VLOOKUP(C305,Resources!B:G,3,FALSE)</f>
        <v>P</v>
      </c>
      <c r="F305" s="12">
        <v>1</v>
      </c>
      <c r="G305" s="26">
        <f>VLOOKUP($A305,'Model Inputs'!$A:$C,3,FALSE)</f>
        <v>0.61</v>
      </c>
      <c r="H305" s="12">
        <f>H302</f>
        <v>2.44</v>
      </c>
      <c r="I305" s="12">
        <f>VLOOKUP(C305,Resources!B:G,6,FALSE)</f>
        <v>135</v>
      </c>
      <c r="J305" s="21">
        <f t="shared" ref="J305:J307" si="482">(H305/G305)*I305*F305</f>
        <v>540</v>
      </c>
      <c r="K305" s="21">
        <f t="shared" ref="K305:K307" si="483">IF(E305="M"," ",L305*F305)</f>
        <v>4</v>
      </c>
      <c r="L305" s="24">
        <f t="shared" ref="L305:L307" si="484">IF(E305="M"," ",H305/G305)</f>
        <v>4</v>
      </c>
      <c r="M305" s="24">
        <f t="shared" ref="M305:M307" si="485">IF($E305="L",$J305,0)</f>
        <v>0</v>
      </c>
      <c r="N305" s="24">
        <f t="shared" ref="N305:N307" si="486">IF($E305="M",$J305,0)</f>
        <v>0</v>
      </c>
      <c r="O305" s="24">
        <f t="shared" ref="O305:O307" si="487">IF($E305="P",$J305,0)</f>
        <v>540</v>
      </c>
      <c r="P305" s="24">
        <f t="shared" ref="P305:P307" si="488">IF($E305="S",$J305,0)</f>
        <v>0</v>
      </c>
      <c r="Q305" s="24">
        <f t="shared" ref="Q305:Q307" si="489">SUM(M305:P305)</f>
        <v>540</v>
      </c>
      <c r="R305" s="87">
        <v>81</v>
      </c>
      <c r="T305" s="235" t="str">
        <f t="shared" si="413"/>
        <v xml:space="preserve"> </v>
      </c>
      <c r="U305" s="232"/>
    </row>
    <row r="306" spans="1:21" s="18" customFormat="1" x14ac:dyDescent="0.25">
      <c r="A306" s="157"/>
      <c r="B306" s="6">
        <v>4</v>
      </c>
      <c r="C306" s="9" t="s">
        <v>27</v>
      </c>
      <c r="D306" s="6" t="s">
        <v>26</v>
      </c>
      <c r="E306" s="17" t="str">
        <f>VLOOKUP(C306,Resources!B:G,3,FALSE)</f>
        <v>P</v>
      </c>
      <c r="F306" s="12">
        <v>1</v>
      </c>
      <c r="G306" s="12">
        <f>G305</f>
        <v>0.61</v>
      </c>
      <c r="H306" s="12">
        <f>H302</f>
        <v>2.44</v>
      </c>
      <c r="I306" s="12">
        <f>VLOOKUP(C306,Resources!B:G,6,FALSE)</f>
        <v>90</v>
      </c>
      <c r="J306" s="21">
        <f t="shared" si="482"/>
        <v>360</v>
      </c>
      <c r="K306" s="21">
        <f t="shared" si="483"/>
        <v>4</v>
      </c>
      <c r="L306" s="24">
        <f t="shared" si="484"/>
        <v>4</v>
      </c>
      <c r="M306" s="24">
        <f t="shared" si="485"/>
        <v>0</v>
      </c>
      <c r="N306" s="24">
        <f t="shared" si="486"/>
        <v>0</v>
      </c>
      <c r="O306" s="24">
        <f t="shared" si="487"/>
        <v>360</v>
      </c>
      <c r="P306" s="24">
        <f t="shared" si="488"/>
        <v>0</v>
      </c>
      <c r="Q306" s="24">
        <f t="shared" si="489"/>
        <v>360</v>
      </c>
      <c r="R306" s="87">
        <v>81</v>
      </c>
      <c r="T306" s="235" t="str">
        <f t="shared" si="413"/>
        <v xml:space="preserve"> </v>
      </c>
      <c r="U306" s="232"/>
    </row>
    <row r="307" spans="1:21" s="18" customFormat="1" x14ac:dyDescent="0.25">
      <c r="A307" s="157"/>
      <c r="B307" s="6">
        <v>5</v>
      </c>
      <c r="C307" s="9" t="s">
        <v>8</v>
      </c>
      <c r="D307" s="6" t="s">
        <v>26</v>
      </c>
      <c r="E307" s="17" t="str">
        <f>VLOOKUP(C307,Resources!B:G,3,FALSE)</f>
        <v>L</v>
      </c>
      <c r="F307" s="12">
        <v>2</v>
      </c>
      <c r="G307" s="12">
        <f>G305</f>
        <v>0.61</v>
      </c>
      <c r="H307" s="12">
        <f>H302</f>
        <v>2.44</v>
      </c>
      <c r="I307" s="12">
        <f>VLOOKUP(C307,Resources!B:G,6,FALSE)</f>
        <v>51.9</v>
      </c>
      <c r="J307" s="21">
        <f t="shared" si="482"/>
        <v>415.2</v>
      </c>
      <c r="K307" s="21">
        <f t="shared" si="483"/>
        <v>8</v>
      </c>
      <c r="L307" s="24">
        <f t="shared" si="484"/>
        <v>4</v>
      </c>
      <c r="M307" s="24">
        <f t="shared" si="485"/>
        <v>415.2</v>
      </c>
      <c r="N307" s="24">
        <f t="shared" si="486"/>
        <v>0</v>
      </c>
      <c r="O307" s="24">
        <f t="shared" si="487"/>
        <v>0</v>
      </c>
      <c r="P307" s="24">
        <f t="shared" si="488"/>
        <v>0</v>
      </c>
      <c r="Q307" s="24">
        <f t="shared" si="489"/>
        <v>415.2</v>
      </c>
      <c r="R307" s="87">
        <v>81</v>
      </c>
      <c r="T307" s="235" t="str">
        <f t="shared" si="413"/>
        <v xml:space="preserve"> </v>
      </c>
      <c r="U307" s="232"/>
    </row>
    <row r="308" spans="1:21" s="19" customFormat="1" x14ac:dyDescent="0.25">
      <c r="A308" s="159"/>
      <c r="B308" s="28">
        <v>6</v>
      </c>
      <c r="C308" s="29" t="s">
        <v>188</v>
      </c>
      <c r="D308" s="28"/>
      <c r="E308" s="30"/>
      <c r="F308" s="31"/>
      <c r="G308" s="31"/>
      <c r="H308" s="31"/>
      <c r="I308" s="31"/>
      <c r="J308" s="32"/>
      <c r="K308" s="32"/>
      <c r="L308" s="33"/>
      <c r="M308" s="33"/>
      <c r="N308" s="33"/>
      <c r="O308" s="33"/>
      <c r="P308" s="33"/>
      <c r="Q308" s="33"/>
      <c r="R308" s="89"/>
      <c r="T308" s="235" t="str">
        <f t="shared" si="413"/>
        <v xml:space="preserve"> </v>
      </c>
      <c r="U308" s="236"/>
    </row>
    <row r="309" spans="1:21" s="18" customFormat="1" x14ac:dyDescent="0.25">
      <c r="A309" s="157"/>
      <c r="B309" s="6">
        <v>7</v>
      </c>
      <c r="C309" s="9" t="s">
        <v>189</v>
      </c>
      <c r="D309" s="6" t="s">
        <v>100</v>
      </c>
      <c r="E309" s="17" t="str">
        <f>VLOOKUP(C309,Resources!B:G,3,FALSE)</f>
        <v>M</v>
      </c>
      <c r="F309" s="12">
        <v>1</v>
      </c>
      <c r="G309" s="12">
        <v>1</v>
      </c>
      <c r="H309" s="12">
        <f>H302*1.817</f>
        <v>4.4334799999999994</v>
      </c>
      <c r="I309" s="12">
        <f>VLOOKUP(C309,Resources!B:G,6,FALSE)</f>
        <v>28</v>
      </c>
      <c r="J309" s="21">
        <f t="shared" ref="J309:J312" si="490">(H309/G309)*I309*F309</f>
        <v>124.13743999999998</v>
      </c>
      <c r="K309" s="21" t="str">
        <f t="shared" ref="K309:K312" si="491">IF(E309="M"," ",L309*F309)</f>
        <v xml:space="preserve"> </v>
      </c>
      <c r="L309" s="24" t="str">
        <f t="shared" ref="L309:L312" si="492">IF(E309="M"," ",H309/G309)</f>
        <v xml:space="preserve"> </v>
      </c>
      <c r="M309" s="24">
        <f t="shared" ref="M309:M312" si="493">IF($E309="L",$J309,0)</f>
        <v>0</v>
      </c>
      <c r="N309" s="24">
        <f t="shared" ref="N309:N312" si="494">IF($E309="M",$J309,0)</f>
        <v>124.13743999999998</v>
      </c>
      <c r="O309" s="24">
        <f t="shared" ref="O309:O312" si="495">IF($E309="P",$J309,0)</f>
        <v>0</v>
      </c>
      <c r="P309" s="24">
        <f t="shared" ref="P309:P312" si="496">IF($E309="S",$J309,0)</f>
        <v>0</v>
      </c>
      <c r="Q309" s="24">
        <f t="shared" ref="Q309:Q312" si="497">SUM(M309:P309)</f>
        <v>124.13743999999998</v>
      </c>
      <c r="R309" s="87" t="s">
        <v>542</v>
      </c>
      <c r="T309" s="235" t="str">
        <f t="shared" si="413"/>
        <v>y</v>
      </c>
      <c r="U309" s="232"/>
    </row>
    <row r="310" spans="1:21" s="18" customFormat="1" x14ac:dyDescent="0.25">
      <c r="A310" s="157">
        <v>49.2</v>
      </c>
      <c r="B310" s="6">
        <v>8</v>
      </c>
      <c r="C310" s="9" t="s">
        <v>70</v>
      </c>
      <c r="D310" s="6" t="s">
        <v>26</v>
      </c>
      <c r="E310" s="17" t="str">
        <f>VLOOKUP(C310,Resources!B:G,3,FALSE)</f>
        <v>P</v>
      </c>
      <c r="F310" s="12">
        <v>1</v>
      </c>
      <c r="G310" s="26">
        <f>VLOOKUP($A310,'Model Inputs'!$A:$C,3,FALSE)</f>
        <v>1.22</v>
      </c>
      <c r="H310" s="12">
        <f>H302</f>
        <v>2.44</v>
      </c>
      <c r="I310" s="12">
        <f>VLOOKUP(C310,Resources!B:G,6,FALSE)</f>
        <v>135</v>
      </c>
      <c r="J310" s="21">
        <f t="shared" si="490"/>
        <v>270</v>
      </c>
      <c r="K310" s="21">
        <f t="shared" si="491"/>
        <v>2</v>
      </c>
      <c r="L310" s="24">
        <f t="shared" si="492"/>
        <v>2</v>
      </c>
      <c r="M310" s="24">
        <f t="shared" si="493"/>
        <v>0</v>
      </c>
      <c r="N310" s="24">
        <f t="shared" si="494"/>
        <v>0</v>
      </c>
      <c r="O310" s="24">
        <f t="shared" si="495"/>
        <v>270</v>
      </c>
      <c r="P310" s="24">
        <f t="shared" si="496"/>
        <v>0</v>
      </c>
      <c r="Q310" s="24">
        <f t="shared" si="497"/>
        <v>270</v>
      </c>
      <c r="R310" s="87">
        <v>81</v>
      </c>
      <c r="T310" s="235" t="str">
        <f t="shared" si="413"/>
        <v xml:space="preserve"> </v>
      </c>
      <c r="U310" s="232"/>
    </row>
    <row r="311" spans="1:21" s="18" customFormat="1" x14ac:dyDescent="0.25">
      <c r="A311" s="157"/>
      <c r="B311" s="6">
        <v>9</v>
      </c>
      <c r="C311" s="9" t="s">
        <v>8</v>
      </c>
      <c r="D311" s="6" t="s">
        <v>26</v>
      </c>
      <c r="E311" s="17" t="str">
        <f>VLOOKUP(C311,Resources!B:G,3,FALSE)</f>
        <v>L</v>
      </c>
      <c r="F311" s="12">
        <v>3</v>
      </c>
      <c r="G311" s="12">
        <v>0.48799999999999999</v>
      </c>
      <c r="H311" s="12">
        <f>H302</f>
        <v>2.44</v>
      </c>
      <c r="I311" s="12">
        <f>VLOOKUP(C311,Resources!B:G,6,FALSE)</f>
        <v>51.9</v>
      </c>
      <c r="J311" s="21">
        <f t="shared" si="490"/>
        <v>778.5</v>
      </c>
      <c r="K311" s="21">
        <f t="shared" si="491"/>
        <v>15</v>
      </c>
      <c r="L311" s="24">
        <f t="shared" si="492"/>
        <v>5</v>
      </c>
      <c r="M311" s="24">
        <f t="shared" si="493"/>
        <v>778.5</v>
      </c>
      <c r="N311" s="24">
        <f t="shared" si="494"/>
        <v>0</v>
      </c>
      <c r="O311" s="24">
        <f t="shared" si="495"/>
        <v>0</v>
      </c>
      <c r="P311" s="24">
        <f t="shared" si="496"/>
        <v>0</v>
      </c>
      <c r="Q311" s="24">
        <f t="shared" si="497"/>
        <v>778.5</v>
      </c>
      <c r="R311" s="87">
        <v>81</v>
      </c>
      <c r="T311" s="235" t="str">
        <f t="shared" si="413"/>
        <v xml:space="preserve"> </v>
      </c>
      <c r="U311" s="232"/>
    </row>
    <row r="312" spans="1:21" s="18" customFormat="1" x14ac:dyDescent="0.25">
      <c r="A312" s="157"/>
      <c r="B312" s="6">
        <v>10</v>
      </c>
      <c r="C312" s="9" t="s">
        <v>28</v>
      </c>
      <c r="D312" s="6" t="s">
        <v>26</v>
      </c>
      <c r="E312" s="17" t="str">
        <f>VLOOKUP(C312,Resources!B:G,3,FALSE)</f>
        <v>P</v>
      </c>
      <c r="F312" s="12">
        <v>1</v>
      </c>
      <c r="G312" s="12">
        <v>0.48799999999999999</v>
      </c>
      <c r="H312" s="12">
        <f>H302</f>
        <v>2.44</v>
      </c>
      <c r="I312" s="12">
        <f>VLOOKUP(C312,Resources!B:G,6,FALSE)</f>
        <v>95</v>
      </c>
      <c r="J312" s="21">
        <f t="shared" si="490"/>
        <v>475</v>
      </c>
      <c r="K312" s="21">
        <f t="shared" si="491"/>
        <v>5</v>
      </c>
      <c r="L312" s="24">
        <f t="shared" si="492"/>
        <v>5</v>
      </c>
      <c r="M312" s="24">
        <f t="shared" si="493"/>
        <v>0</v>
      </c>
      <c r="N312" s="24">
        <f t="shared" si="494"/>
        <v>0</v>
      </c>
      <c r="O312" s="24">
        <f t="shared" si="495"/>
        <v>475</v>
      </c>
      <c r="P312" s="24">
        <f t="shared" si="496"/>
        <v>0</v>
      </c>
      <c r="Q312" s="24">
        <f t="shared" si="497"/>
        <v>475</v>
      </c>
      <c r="R312" s="87">
        <v>81</v>
      </c>
      <c r="T312" s="235" t="str">
        <f t="shared" si="413"/>
        <v xml:space="preserve"> </v>
      </c>
      <c r="U312" s="232"/>
    </row>
    <row r="313" spans="1:21" s="19" customFormat="1" x14ac:dyDescent="0.25">
      <c r="A313" s="159"/>
      <c r="B313" s="28">
        <v>11</v>
      </c>
      <c r="C313" s="29" t="s">
        <v>190</v>
      </c>
      <c r="D313" s="28"/>
      <c r="E313" s="30"/>
      <c r="F313" s="31"/>
      <c r="G313" s="31"/>
      <c r="H313" s="31"/>
      <c r="I313" s="31"/>
      <c r="J313" s="32"/>
      <c r="K313" s="32"/>
      <c r="L313" s="33"/>
      <c r="M313" s="33"/>
      <c r="N313" s="33"/>
      <c r="O313" s="33"/>
      <c r="P313" s="33"/>
      <c r="Q313" s="33"/>
      <c r="R313" s="89"/>
      <c r="T313" s="235" t="str">
        <f t="shared" si="413"/>
        <v xml:space="preserve"> </v>
      </c>
      <c r="U313" s="236"/>
    </row>
    <row r="314" spans="1:21" s="18" customFormat="1" x14ac:dyDescent="0.25">
      <c r="A314" s="157"/>
      <c r="B314" s="6">
        <v>12</v>
      </c>
      <c r="C314" s="9" t="s">
        <v>191</v>
      </c>
      <c r="D314" s="6" t="s">
        <v>100</v>
      </c>
      <c r="E314" s="17" t="str">
        <f>VLOOKUP(C314,Resources!B:G,3,FALSE)</f>
        <v>M</v>
      </c>
      <c r="F314" s="12">
        <v>1</v>
      </c>
      <c r="G314" s="12">
        <v>1</v>
      </c>
      <c r="H314" s="12">
        <v>0.6</v>
      </c>
      <c r="I314" s="12">
        <f>VLOOKUP(C314,Resources!B:G,6,FALSE)</f>
        <v>2200</v>
      </c>
      <c r="J314" s="21">
        <f t="shared" ref="J314:J317" si="498">(H314/G314)*I314*F314</f>
        <v>1320</v>
      </c>
      <c r="K314" s="21" t="str">
        <f t="shared" ref="K314:K317" si="499">IF(E314="M"," ",L314*F314)</f>
        <v xml:space="preserve"> </v>
      </c>
      <c r="L314" s="24" t="str">
        <f t="shared" ref="L314:L317" si="500">IF(E314="M"," ",H314/G314)</f>
        <v xml:space="preserve"> </v>
      </c>
      <c r="M314" s="24">
        <f t="shared" ref="M314:M317" si="501">IF($E314="L",$J314,0)</f>
        <v>0</v>
      </c>
      <c r="N314" s="24">
        <f t="shared" ref="N314:N317" si="502">IF($E314="M",$J314,0)</f>
        <v>1320</v>
      </c>
      <c r="O314" s="24">
        <f t="shared" ref="O314:O317" si="503">IF($E314="P",$J314,0)</f>
        <v>0</v>
      </c>
      <c r="P314" s="24">
        <f t="shared" ref="P314:P317" si="504">IF($E314="S",$J314,0)</f>
        <v>0</v>
      </c>
      <c r="Q314" s="24">
        <f t="shared" ref="Q314:Q317" si="505">SUM(M314:P314)</f>
        <v>1320</v>
      </c>
      <c r="R314" s="87" t="s">
        <v>544</v>
      </c>
      <c r="T314" s="235" t="str">
        <f t="shared" si="413"/>
        <v xml:space="preserve"> </v>
      </c>
      <c r="U314" s="232"/>
    </row>
    <row r="315" spans="1:21" s="18" customFormat="1" x14ac:dyDescent="0.25">
      <c r="A315" s="157"/>
      <c r="B315" s="6">
        <v>13</v>
      </c>
      <c r="C315" s="9" t="s">
        <v>192</v>
      </c>
      <c r="D315" s="6" t="s">
        <v>100</v>
      </c>
      <c r="E315" s="17" t="str">
        <f>VLOOKUP(C315,Resources!B:G,3,FALSE)</f>
        <v>S</v>
      </c>
      <c r="F315" s="12">
        <v>1</v>
      </c>
      <c r="G315" s="12">
        <v>1</v>
      </c>
      <c r="H315" s="12">
        <v>0.6</v>
      </c>
      <c r="I315" s="12">
        <f>VLOOKUP(C315,Resources!B:G,6,FALSE)</f>
        <v>2200</v>
      </c>
      <c r="J315" s="21">
        <f t="shared" si="498"/>
        <v>1320</v>
      </c>
      <c r="K315" s="21">
        <f t="shared" si="499"/>
        <v>0.6</v>
      </c>
      <c r="L315" s="24">
        <f t="shared" si="500"/>
        <v>0.6</v>
      </c>
      <c r="M315" s="24">
        <f t="shared" si="501"/>
        <v>0</v>
      </c>
      <c r="N315" s="24">
        <f t="shared" si="502"/>
        <v>0</v>
      </c>
      <c r="O315" s="24">
        <f t="shared" si="503"/>
        <v>0</v>
      </c>
      <c r="P315" s="24">
        <f t="shared" si="504"/>
        <v>1320</v>
      </c>
      <c r="Q315" s="24">
        <f t="shared" si="505"/>
        <v>1320</v>
      </c>
      <c r="R315" s="87">
        <v>72</v>
      </c>
      <c r="T315" s="235" t="str">
        <f t="shared" si="413"/>
        <v xml:space="preserve"> </v>
      </c>
      <c r="U315" s="232"/>
    </row>
    <row r="316" spans="1:21" s="18" customFormat="1" x14ac:dyDescent="0.25">
      <c r="A316" s="157"/>
      <c r="B316" s="6">
        <v>14</v>
      </c>
      <c r="C316" s="9" t="s">
        <v>193</v>
      </c>
      <c r="D316" s="6" t="s">
        <v>109</v>
      </c>
      <c r="E316" s="17" t="str">
        <f>VLOOKUP(C316,Resources!B:G,3,FALSE)</f>
        <v>S</v>
      </c>
      <c r="F316" s="12">
        <v>1</v>
      </c>
      <c r="G316" s="12">
        <v>1</v>
      </c>
      <c r="H316" s="12">
        <f>H302*6.14754</f>
        <v>14.9999976</v>
      </c>
      <c r="I316" s="12">
        <f>VLOOKUP(C316,Resources!B:G,6,FALSE)</f>
        <v>45</v>
      </c>
      <c r="J316" s="21">
        <f t="shared" si="498"/>
        <v>674.99989200000005</v>
      </c>
      <c r="K316" s="21">
        <f t="shared" si="499"/>
        <v>14.9999976</v>
      </c>
      <c r="L316" s="24">
        <f t="shared" si="500"/>
        <v>14.9999976</v>
      </c>
      <c r="M316" s="24">
        <f t="shared" si="501"/>
        <v>0</v>
      </c>
      <c r="N316" s="24">
        <f t="shared" si="502"/>
        <v>0</v>
      </c>
      <c r="O316" s="24">
        <f t="shared" si="503"/>
        <v>0</v>
      </c>
      <c r="P316" s="24">
        <f t="shared" si="504"/>
        <v>674.99989200000005</v>
      </c>
      <c r="Q316" s="24">
        <f t="shared" si="505"/>
        <v>674.99989200000005</v>
      </c>
      <c r="R316" s="87">
        <v>72</v>
      </c>
      <c r="T316" s="235" t="str">
        <f t="shared" si="413"/>
        <v xml:space="preserve"> </v>
      </c>
      <c r="U316" s="232"/>
    </row>
    <row r="317" spans="1:21" s="18" customFormat="1" x14ac:dyDescent="0.25">
      <c r="A317" s="157"/>
      <c r="B317" s="6">
        <v>15</v>
      </c>
      <c r="C317" s="9" t="s">
        <v>194</v>
      </c>
      <c r="D317" s="6" t="s">
        <v>180</v>
      </c>
      <c r="E317" s="17" t="str">
        <f>VLOOKUP(C317,Resources!B:G,3,FALSE)</f>
        <v>M</v>
      </c>
      <c r="F317" s="12">
        <v>1</v>
      </c>
      <c r="G317" s="12">
        <v>1</v>
      </c>
      <c r="H317" s="12">
        <f>H316*1.4</f>
        <v>20.999996639999999</v>
      </c>
      <c r="I317" s="12">
        <f>VLOOKUP(C317,Resources!B:G,6,FALSE)</f>
        <v>325</v>
      </c>
      <c r="J317" s="21">
        <f t="shared" si="498"/>
        <v>6824.9989079999996</v>
      </c>
      <c r="K317" s="21" t="str">
        <f t="shared" si="499"/>
        <v xml:space="preserve"> </v>
      </c>
      <c r="L317" s="24" t="str">
        <f t="shared" si="500"/>
        <v xml:space="preserve"> </v>
      </c>
      <c r="M317" s="24">
        <f t="shared" si="501"/>
        <v>0</v>
      </c>
      <c r="N317" s="24">
        <f t="shared" si="502"/>
        <v>6824.9989079999996</v>
      </c>
      <c r="O317" s="24">
        <f t="shared" si="503"/>
        <v>0</v>
      </c>
      <c r="P317" s="24">
        <f t="shared" si="504"/>
        <v>0</v>
      </c>
      <c r="Q317" s="24">
        <f t="shared" si="505"/>
        <v>6824.9989079999996</v>
      </c>
      <c r="R317" s="87" t="s">
        <v>543</v>
      </c>
      <c r="T317" s="235" t="str">
        <f t="shared" si="413"/>
        <v xml:space="preserve"> </v>
      </c>
      <c r="U317" s="232"/>
    </row>
    <row r="318" spans="1:21" s="19" customFormat="1" x14ac:dyDescent="0.25">
      <c r="A318" s="159"/>
      <c r="B318" s="28">
        <v>16</v>
      </c>
      <c r="C318" s="29" t="s">
        <v>195</v>
      </c>
      <c r="D318" s="28"/>
      <c r="E318" s="30"/>
      <c r="F318" s="31"/>
      <c r="G318" s="31"/>
      <c r="H318" s="31"/>
      <c r="I318" s="31"/>
      <c r="J318" s="32"/>
      <c r="K318" s="32"/>
      <c r="L318" s="33"/>
      <c r="M318" s="33"/>
      <c r="N318" s="33"/>
      <c r="O318" s="33"/>
      <c r="P318" s="33"/>
      <c r="Q318" s="33"/>
      <c r="R318" s="89"/>
      <c r="T318" s="235" t="str">
        <f t="shared" si="413"/>
        <v xml:space="preserve"> </v>
      </c>
      <c r="U318" s="236"/>
    </row>
    <row r="319" spans="1:21" s="18" customFormat="1" x14ac:dyDescent="0.25">
      <c r="A319" s="157"/>
      <c r="B319" s="6">
        <v>17</v>
      </c>
      <c r="C319" s="9" t="s">
        <v>196</v>
      </c>
      <c r="D319" s="6" t="s">
        <v>32</v>
      </c>
      <c r="E319" s="17" t="str">
        <f>VLOOKUP(C319,Resources!B:G,3,FALSE)</f>
        <v>M</v>
      </c>
      <c r="F319" s="12">
        <v>1</v>
      </c>
      <c r="G319" s="12">
        <v>1</v>
      </c>
      <c r="H319" s="12">
        <f>H302*2.5</f>
        <v>6.1</v>
      </c>
      <c r="I319" s="12">
        <f>VLOOKUP(C319,Resources!B:G,6,FALSE)</f>
        <v>935</v>
      </c>
      <c r="J319" s="21">
        <f t="shared" ref="J319:J321" si="506">(H319/G319)*I319*F319</f>
        <v>5703.5</v>
      </c>
      <c r="K319" s="21" t="str">
        <f t="shared" ref="K319:K321" si="507">IF(E319="M"," ",L319*F319)</f>
        <v xml:space="preserve"> </v>
      </c>
      <c r="L319" s="24" t="str">
        <f t="shared" ref="L319:L321" si="508">IF(E319="M"," ",H319/G319)</f>
        <v xml:space="preserve"> </v>
      </c>
      <c r="M319" s="24">
        <f t="shared" ref="M319:M321" si="509">IF($E319="L",$J319,0)</f>
        <v>0</v>
      </c>
      <c r="N319" s="24">
        <f t="shared" ref="N319:N321" si="510">IF($E319="M",$J319,0)</f>
        <v>5703.5</v>
      </c>
      <c r="O319" s="24">
        <f t="shared" ref="O319:O321" si="511">IF($E319="P",$J319,0)</f>
        <v>0</v>
      </c>
      <c r="P319" s="24">
        <f t="shared" ref="P319:P321" si="512">IF($E319="S",$J319,0)</f>
        <v>0</v>
      </c>
      <c r="Q319" s="24">
        <f t="shared" ref="Q319:Q321" si="513">SUM(M319:P319)</f>
        <v>5703.5</v>
      </c>
      <c r="R319" s="87" t="s">
        <v>545</v>
      </c>
      <c r="T319" s="235" t="str">
        <f t="shared" si="413"/>
        <v xml:space="preserve"> </v>
      </c>
      <c r="U319" s="232"/>
    </row>
    <row r="320" spans="1:21" s="18" customFormat="1" x14ac:dyDescent="0.25">
      <c r="A320" s="157"/>
      <c r="B320" s="6">
        <v>18</v>
      </c>
      <c r="C320" s="9" t="s">
        <v>70</v>
      </c>
      <c r="D320" s="6" t="s">
        <v>26</v>
      </c>
      <c r="E320" s="17" t="str">
        <f>VLOOKUP(C320,Resources!B:G,3,FALSE)</f>
        <v>P</v>
      </c>
      <c r="F320" s="12">
        <v>1</v>
      </c>
      <c r="G320" s="12">
        <v>2</v>
      </c>
      <c r="H320" s="12">
        <f>H319</f>
        <v>6.1</v>
      </c>
      <c r="I320" s="12">
        <f>VLOOKUP(C320,Resources!B:G,6,FALSE)</f>
        <v>135</v>
      </c>
      <c r="J320" s="21">
        <f t="shared" si="506"/>
        <v>411.75</v>
      </c>
      <c r="K320" s="21">
        <f t="shared" si="507"/>
        <v>3.05</v>
      </c>
      <c r="L320" s="24">
        <f t="shared" si="508"/>
        <v>3.05</v>
      </c>
      <c r="M320" s="24">
        <f t="shared" si="509"/>
        <v>0</v>
      </c>
      <c r="N320" s="24">
        <f t="shared" si="510"/>
        <v>0</v>
      </c>
      <c r="O320" s="24">
        <f t="shared" si="511"/>
        <v>411.75</v>
      </c>
      <c r="P320" s="24">
        <f t="shared" si="512"/>
        <v>0</v>
      </c>
      <c r="Q320" s="24">
        <f t="shared" si="513"/>
        <v>411.75</v>
      </c>
      <c r="R320" s="87">
        <v>81</v>
      </c>
      <c r="T320" s="235" t="str">
        <f t="shared" si="413"/>
        <v xml:space="preserve"> </v>
      </c>
      <c r="U320" s="232"/>
    </row>
    <row r="321" spans="1:21" s="18" customFormat="1" x14ac:dyDescent="0.25">
      <c r="A321" s="157"/>
      <c r="B321" s="6">
        <v>19</v>
      </c>
      <c r="C321" s="9" t="s">
        <v>8</v>
      </c>
      <c r="D321" s="6" t="s">
        <v>26</v>
      </c>
      <c r="E321" s="17" t="str">
        <f>VLOOKUP(C321,Resources!B:G,3,FALSE)</f>
        <v>L</v>
      </c>
      <c r="F321" s="12">
        <v>3</v>
      </c>
      <c r="G321" s="12">
        <v>2</v>
      </c>
      <c r="H321" s="12">
        <f>H319</f>
        <v>6.1</v>
      </c>
      <c r="I321" s="12">
        <f>VLOOKUP(C321,Resources!B:G,6,FALSE)</f>
        <v>51.9</v>
      </c>
      <c r="J321" s="21">
        <f t="shared" si="506"/>
        <v>474.88499999999999</v>
      </c>
      <c r="K321" s="21">
        <f t="shared" si="507"/>
        <v>9.1499999999999986</v>
      </c>
      <c r="L321" s="24">
        <f t="shared" si="508"/>
        <v>3.05</v>
      </c>
      <c r="M321" s="24">
        <f t="shared" si="509"/>
        <v>474.88499999999999</v>
      </c>
      <c r="N321" s="24">
        <f t="shared" si="510"/>
        <v>0</v>
      </c>
      <c r="O321" s="24">
        <f t="shared" si="511"/>
        <v>0</v>
      </c>
      <c r="P321" s="24">
        <f t="shared" si="512"/>
        <v>0</v>
      </c>
      <c r="Q321" s="24">
        <f t="shared" si="513"/>
        <v>474.88499999999999</v>
      </c>
      <c r="R321" s="87">
        <v>81</v>
      </c>
      <c r="T321" s="235" t="str">
        <f t="shared" si="413"/>
        <v xml:space="preserve"> </v>
      </c>
      <c r="U321" s="232"/>
    </row>
    <row r="322" spans="1:21" s="19" customFormat="1" x14ac:dyDescent="0.25">
      <c r="A322" s="159"/>
      <c r="B322" s="28">
        <v>20</v>
      </c>
      <c r="C322" s="29" t="s">
        <v>197</v>
      </c>
      <c r="D322" s="28"/>
      <c r="E322" s="30"/>
      <c r="F322" s="31"/>
      <c r="G322" s="31"/>
      <c r="H322" s="31"/>
      <c r="I322" s="31"/>
      <c r="J322" s="32"/>
      <c r="K322" s="32"/>
      <c r="L322" s="33"/>
      <c r="M322" s="33"/>
      <c r="N322" s="33"/>
      <c r="O322" s="33"/>
      <c r="P322" s="33"/>
      <c r="Q322" s="33"/>
      <c r="R322" s="89"/>
      <c r="T322" s="235" t="str">
        <f t="shared" si="413"/>
        <v xml:space="preserve"> </v>
      </c>
      <c r="U322" s="236"/>
    </row>
    <row r="323" spans="1:21" s="18" customFormat="1" x14ac:dyDescent="0.25">
      <c r="A323" s="157"/>
      <c r="B323" s="6">
        <v>21</v>
      </c>
      <c r="C323" s="9" t="s">
        <v>198</v>
      </c>
      <c r="D323" s="6" t="s">
        <v>100</v>
      </c>
      <c r="E323" s="17" t="str">
        <f>VLOOKUP(C323,Resources!B:G,3,FALSE)</f>
        <v>M</v>
      </c>
      <c r="F323" s="12">
        <v>1</v>
      </c>
      <c r="G323" s="12">
        <v>1</v>
      </c>
      <c r="H323" s="12">
        <f>H302*2.05</f>
        <v>5.0019999999999998</v>
      </c>
      <c r="I323" s="12">
        <f>VLOOKUP(C323,Resources!B:G,6,FALSE)</f>
        <v>33.75</v>
      </c>
      <c r="J323" s="21">
        <f t="shared" ref="J323:J326" si="514">(H323/G323)*I323*F323</f>
        <v>168.8175</v>
      </c>
      <c r="K323" s="21" t="str">
        <f t="shared" ref="K323:K326" si="515">IF(E323="M"," ",L323*F323)</f>
        <v xml:space="preserve"> </v>
      </c>
      <c r="L323" s="24" t="str">
        <f t="shared" ref="L323:L326" si="516">IF(E323="M"," ",H323/G323)</f>
        <v xml:space="preserve"> </v>
      </c>
      <c r="M323" s="24">
        <f t="shared" ref="M323:M326" si="517">IF($E323="L",$J323,0)</f>
        <v>0</v>
      </c>
      <c r="N323" s="24">
        <f t="shared" ref="N323:N326" si="518">IF($E323="M",$J323,0)</f>
        <v>168.8175</v>
      </c>
      <c r="O323" s="24">
        <f t="shared" ref="O323:O326" si="519">IF($E323="P",$J323,0)</f>
        <v>0</v>
      </c>
      <c r="P323" s="24">
        <f t="shared" ref="P323:P326" si="520">IF($E323="S",$J323,0)</f>
        <v>0</v>
      </c>
      <c r="Q323" s="24">
        <f t="shared" ref="Q323:Q326" si="521">SUM(M323:P323)</f>
        <v>168.8175</v>
      </c>
      <c r="R323" s="87" t="s">
        <v>539</v>
      </c>
      <c r="T323" s="235" t="str">
        <f t="shared" si="413"/>
        <v xml:space="preserve"> </v>
      </c>
      <c r="U323" s="232"/>
    </row>
    <row r="324" spans="1:21" x14ac:dyDescent="0.25">
      <c r="A324" s="157"/>
      <c r="B324" s="6">
        <v>22</v>
      </c>
      <c r="C324" s="9" t="s">
        <v>82</v>
      </c>
      <c r="D324" s="6" t="s">
        <v>26</v>
      </c>
      <c r="E324" s="17" t="str">
        <f>VLOOKUP(C324,Resources!B:G,3,FALSE)</f>
        <v>P</v>
      </c>
      <c r="F324" s="12">
        <v>1</v>
      </c>
      <c r="G324" s="12">
        <f>H323/3</f>
        <v>1.6673333333333333</v>
      </c>
      <c r="H324" s="12">
        <f>H323</f>
        <v>5.0019999999999998</v>
      </c>
      <c r="I324" s="12">
        <f>VLOOKUP(C324,Resources!B:G,6,FALSE)</f>
        <v>95</v>
      </c>
      <c r="J324" s="21">
        <f t="shared" si="514"/>
        <v>285</v>
      </c>
      <c r="K324" s="21">
        <f t="shared" si="515"/>
        <v>3</v>
      </c>
      <c r="L324" s="24">
        <f t="shared" si="516"/>
        <v>3</v>
      </c>
      <c r="M324" s="24">
        <f t="shared" si="517"/>
        <v>0</v>
      </c>
      <c r="N324" s="24">
        <f t="shared" si="518"/>
        <v>0</v>
      </c>
      <c r="O324" s="24">
        <f t="shared" si="519"/>
        <v>285</v>
      </c>
      <c r="P324" s="24">
        <f t="shared" si="520"/>
        <v>0</v>
      </c>
      <c r="Q324" s="24">
        <f t="shared" si="521"/>
        <v>285</v>
      </c>
      <c r="R324" s="87">
        <v>72</v>
      </c>
      <c r="T324" s="235" t="str">
        <f t="shared" si="413"/>
        <v xml:space="preserve"> </v>
      </c>
    </row>
    <row r="325" spans="1:21" x14ac:dyDescent="0.25">
      <c r="A325" s="157"/>
      <c r="B325" s="6">
        <v>23</v>
      </c>
      <c r="C325" s="9" t="s">
        <v>8</v>
      </c>
      <c r="D325" s="6" t="s">
        <v>26</v>
      </c>
      <c r="E325" s="17" t="str">
        <f>VLOOKUP(C325,Resources!B:G,3,FALSE)</f>
        <v>L</v>
      </c>
      <c r="F325" s="12">
        <v>3</v>
      </c>
      <c r="G325" s="12">
        <f>G324</f>
        <v>1.6673333333333333</v>
      </c>
      <c r="H325" s="12">
        <f>H323</f>
        <v>5.0019999999999998</v>
      </c>
      <c r="I325" s="12">
        <f>VLOOKUP(C325,Resources!B:G,6,FALSE)</f>
        <v>51.9</v>
      </c>
      <c r="J325" s="21">
        <f t="shared" si="514"/>
        <v>467.09999999999997</v>
      </c>
      <c r="K325" s="21">
        <f t="shared" si="515"/>
        <v>9</v>
      </c>
      <c r="L325" s="24">
        <f t="shared" si="516"/>
        <v>3</v>
      </c>
      <c r="M325" s="24">
        <f t="shared" si="517"/>
        <v>467.09999999999997</v>
      </c>
      <c r="N325" s="24">
        <f t="shared" si="518"/>
        <v>0</v>
      </c>
      <c r="O325" s="24">
        <f t="shared" si="519"/>
        <v>0</v>
      </c>
      <c r="P325" s="24">
        <f t="shared" si="520"/>
        <v>0</v>
      </c>
      <c r="Q325" s="24">
        <f t="shared" si="521"/>
        <v>467.09999999999997</v>
      </c>
      <c r="R325" s="87">
        <v>72</v>
      </c>
      <c r="T325" s="235" t="str">
        <f t="shared" si="413"/>
        <v xml:space="preserve"> </v>
      </c>
    </row>
    <row r="326" spans="1:21" x14ac:dyDescent="0.25">
      <c r="A326" s="157"/>
      <c r="B326" s="6">
        <v>24</v>
      </c>
      <c r="C326" s="9" t="s">
        <v>28</v>
      </c>
      <c r="D326" s="6" t="s">
        <v>26</v>
      </c>
      <c r="E326" s="17" t="str">
        <f>VLOOKUP(C326,Resources!B:G,3,FALSE)</f>
        <v>P</v>
      </c>
      <c r="F326" s="12">
        <v>1</v>
      </c>
      <c r="G326" s="12">
        <f>G324</f>
        <v>1.6673333333333333</v>
      </c>
      <c r="H326" s="12">
        <f>H323</f>
        <v>5.0019999999999998</v>
      </c>
      <c r="I326" s="12">
        <f>VLOOKUP(C326,Resources!B:G,6,FALSE)</f>
        <v>95</v>
      </c>
      <c r="J326" s="21">
        <f t="shared" si="514"/>
        <v>285</v>
      </c>
      <c r="K326" s="21">
        <f t="shared" si="515"/>
        <v>3</v>
      </c>
      <c r="L326" s="24">
        <f t="shared" si="516"/>
        <v>3</v>
      </c>
      <c r="M326" s="24">
        <f t="shared" si="517"/>
        <v>0</v>
      </c>
      <c r="N326" s="24">
        <f t="shared" si="518"/>
        <v>0</v>
      </c>
      <c r="O326" s="24">
        <f t="shared" si="519"/>
        <v>285</v>
      </c>
      <c r="P326" s="24">
        <f t="shared" si="520"/>
        <v>0</v>
      </c>
      <c r="Q326" s="24">
        <f t="shared" si="521"/>
        <v>285</v>
      </c>
      <c r="R326" s="87">
        <v>72</v>
      </c>
      <c r="T326" s="235" t="str">
        <f t="shared" si="413"/>
        <v xml:space="preserve"> </v>
      </c>
    </row>
    <row r="327" spans="1:21" x14ac:dyDescent="0.25">
      <c r="F327" s="11"/>
      <c r="G327" s="11"/>
      <c r="H327" s="11"/>
      <c r="I327" s="11"/>
      <c r="J327" s="11"/>
      <c r="K327" s="11"/>
      <c r="R327" s="88"/>
      <c r="T327" s="235" t="str">
        <f t="shared" si="413"/>
        <v xml:space="preserve"> </v>
      </c>
    </row>
    <row r="328" spans="1:21" ht="45" x14ac:dyDescent="0.25">
      <c r="A328" s="156">
        <v>50</v>
      </c>
      <c r="B328" s="3" t="s">
        <v>199</v>
      </c>
      <c r="C328" s="3" t="s">
        <v>200</v>
      </c>
      <c r="D328" s="4" t="s">
        <v>32</v>
      </c>
      <c r="E328" s="15"/>
      <c r="F328" s="10"/>
      <c r="G328" s="10"/>
      <c r="H328" s="26">
        <f>VLOOKUP($A328,'Model Inputs'!$A:$C,3,FALSE)</f>
        <v>12.2</v>
      </c>
      <c r="I328" s="10"/>
      <c r="J328" s="10">
        <f>SUBTOTAL(9,J331:J333,J335:J338,J340:J343,J345:J347,J349:J352)</f>
        <v>64286.638186666249</v>
      </c>
      <c r="K328" s="10"/>
      <c r="L328" s="10">
        <f>ROUNDUP(MAX(L331:L333,L335:L338,L340:L343,L345:L347,L349:L352)/Workhrs,0)</f>
        <v>2</v>
      </c>
      <c r="M328" s="10">
        <f>SUBTOTAL(9,M331:M333,M335:M338,M340:M343,M345:M347,M349:M352)</f>
        <v>5892.0212249390479</v>
      </c>
      <c r="N328" s="10">
        <f t="shared" ref="N328:Q328" si="522">SUBTOTAL(9,N331:N333,N335:N338,N340:N343,N345:N347,N349:N352)</f>
        <v>42394.862498287963</v>
      </c>
      <c r="O328" s="10">
        <f t="shared" si="522"/>
        <v>6808.6922601512679</v>
      </c>
      <c r="P328" s="10">
        <f t="shared" si="522"/>
        <v>9191.0622032879619</v>
      </c>
      <c r="Q328" s="10">
        <f t="shared" si="522"/>
        <v>64286.638186666249</v>
      </c>
      <c r="R328" s="86"/>
      <c r="T328" s="235" t="str">
        <f t="shared" ref="T328:T391" si="523">IF(R328=$U$7,"y"," ")</f>
        <v xml:space="preserve"> </v>
      </c>
    </row>
    <row r="329" spans="1:21" s="19" customFormat="1" ht="30" x14ac:dyDescent="0.25">
      <c r="A329" s="159"/>
      <c r="B329" s="28">
        <v>1</v>
      </c>
      <c r="C329" s="29" t="s">
        <v>186</v>
      </c>
      <c r="D329" s="28"/>
      <c r="E329" s="30"/>
      <c r="F329" s="31"/>
      <c r="G329" s="31"/>
      <c r="H329" s="31"/>
      <c r="I329" s="31"/>
      <c r="J329" s="32"/>
      <c r="K329" s="32"/>
      <c r="L329" s="33"/>
      <c r="M329" s="33"/>
      <c r="N329" s="33"/>
      <c r="O329" s="33"/>
      <c r="P329" s="33"/>
      <c r="Q329" s="33"/>
      <c r="R329" s="89"/>
      <c r="T329" s="235" t="str">
        <f t="shared" si="523"/>
        <v xml:space="preserve"> </v>
      </c>
      <c r="U329" s="236"/>
    </row>
    <row r="330" spans="1:21" s="19" customFormat="1" x14ac:dyDescent="0.25">
      <c r="A330" s="159"/>
      <c r="B330" s="28">
        <v>2</v>
      </c>
      <c r="C330" s="29" t="s">
        <v>187</v>
      </c>
      <c r="D330" s="28"/>
      <c r="E330" s="30"/>
      <c r="F330" s="31"/>
      <c r="G330" s="31"/>
      <c r="H330" s="31"/>
      <c r="I330" s="31"/>
      <c r="J330" s="32"/>
      <c r="K330" s="32"/>
      <c r="L330" s="33"/>
      <c r="M330" s="33"/>
      <c r="N330" s="33"/>
      <c r="O330" s="33"/>
      <c r="P330" s="33"/>
      <c r="Q330" s="33"/>
      <c r="R330" s="89"/>
      <c r="T330" s="235" t="str">
        <f t="shared" si="523"/>
        <v xml:space="preserve"> </v>
      </c>
      <c r="U330" s="236"/>
    </row>
    <row r="331" spans="1:21" s="18" customFormat="1" x14ac:dyDescent="0.25">
      <c r="A331" s="157">
        <v>50.1</v>
      </c>
      <c r="B331" s="6">
        <v>3</v>
      </c>
      <c r="C331" s="9" t="s">
        <v>70</v>
      </c>
      <c r="D331" s="6" t="s">
        <v>26</v>
      </c>
      <c r="E331" s="17" t="str">
        <f>VLOOKUP(C331,Resources!B:G,3,FALSE)</f>
        <v>P</v>
      </c>
      <c r="F331" s="12">
        <v>1</v>
      </c>
      <c r="G331" s="26">
        <f>VLOOKUP($A331,'Model Inputs'!$A:$C,3,FALSE)</f>
        <v>1.5249999999999999</v>
      </c>
      <c r="H331" s="12">
        <f>H328</f>
        <v>12.2</v>
      </c>
      <c r="I331" s="12">
        <f>VLOOKUP(C331,Resources!B:G,6,FALSE)</f>
        <v>135</v>
      </c>
      <c r="J331" s="21">
        <f t="shared" ref="J331:J333" si="524">(H331/G331)*I331*F331</f>
        <v>1080</v>
      </c>
      <c r="K331" s="21">
        <f t="shared" ref="K331:K333" si="525">IF(E331="M"," ",L331*F331)</f>
        <v>8</v>
      </c>
      <c r="L331" s="24">
        <f t="shared" ref="L331:L333" si="526">IF(E331="M"," ",H331/G331)</f>
        <v>8</v>
      </c>
      <c r="M331" s="24">
        <f t="shared" ref="M331:M333" si="527">IF($E331="L",$J331,0)</f>
        <v>0</v>
      </c>
      <c r="N331" s="24">
        <f t="shared" ref="N331:N333" si="528">IF($E331="M",$J331,0)</f>
        <v>0</v>
      </c>
      <c r="O331" s="24">
        <f t="shared" ref="O331:O333" si="529">IF($E331="P",$J331,0)</f>
        <v>1080</v>
      </c>
      <c r="P331" s="24">
        <f t="shared" ref="P331:P333" si="530">IF($E331="S",$J331,0)</f>
        <v>0</v>
      </c>
      <c r="Q331" s="24">
        <f t="shared" ref="Q331:Q333" si="531">SUM(M331:P331)</f>
        <v>1080</v>
      </c>
      <c r="R331" s="87">
        <v>81</v>
      </c>
      <c r="T331" s="235" t="str">
        <f t="shared" si="523"/>
        <v xml:space="preserve"> </v>
      </c>
      <c r="U331" s="232"/>
    </row>
    <row r="332" spans="1:21" s="18" customFormat="1" x14ac:dyDescent="0.25">
      <c r="A332" s="157"/>
      <c r="B332" s="6">
        <v>4</v>
      </c>
      <c r="C332" s="9" t="s">
        <v>27</v>
      </c>
      <c r="D332" s="6" t="s">
        <v>26</v>
      </c>
      <c r="E332" s="17" t="str">
        <f>VLOOKUP(C332,Resources!B:G,3,FALSE)</f>
        <v>P</v>
      </c>
      <c r="F332" s="12">
        <v>1</v>
      </c>
      <c r="G332" s="12">
        <f>G331</f>
        <v>1.5249999999999999</v>
      </c>
      <c r="H332" s="12">
        <f>H328</f>
        <v>12.2</v>
      </c>
      <c r="I332" s="12">
        <f>VLOOKUP(C332,Resources!B:G,6,FALSE)</f>
        <v>90</v>
      </c>
      <c r="J332" s="21">
        <f t="shared" si="524"/>
        <v>720</v>
      </c>
      <c r="K332" s="21">
        <f t="shared" si="525"/>
        <v>8</v>
      </c>
      <c r="L332" s="24">
        <f t="shared" si="526"/>
        <v>8</v>
      </c>
      <c r="M332" s="24">
        <f t="shared" si="527"/>
        <v>0</v>
      </c>
      <c r="N332" s="24">
        <f t="shared" si="528"/>
        <v>0</v>
      </c>
      <c r="O332" s="24">
        <f t="shared" si="529"/>
        <v>720</v>
      </c>
      <c r="P332" s="24">
        <f t="shared" si="530"/>
        <v>0</v>
      </c>
      <c r="Q332" s="24">
        <f t="shared" si="531"/>
        <v>720</v>
      </c>
      <c r="R332" s="87">
        <v>81</v>
      </c>
      <c r="T332" s="235" t="str">
        <f t="shared" si="523"/>
        <v xml:space="preserve"> </v>
      </c>
      <c r="U332" s="232"/>
    </row>
    <row r="333" spans="1:21" s="18" customFormat="1" x14ac:dyDescent="0.25">
      <c r="A333" s="157"/>
      <c r="B333" s="6">
        <v>5</v>
      </c>
      <c r="C333" s="9" t="s">
        <v>8</v>
      </c>
      <c r="D333" s="6" t="s">
        <v>26</v>
      </c>
      <c r="E333" s="17" t="str">
        <f>VLOOKUP(C333,Resources!B:G,3,FALSE)</f>
        <v>L</v>
      </c>
      <c r="F333" s="12">
        <v>2</v>
      </c>
      <c r="G333" s="12">
        <f>G331</f>
        <v>1.5249999999999999</v>
      </c>
      <c r="H333" s="12">
        <f>H328</f>
        <v>12.2</v>
      </c>
      <c r="I333" s="12">
        <f>VLOOKUP(C333,Resources!B:G,6,FALSE)</f>
        <v>51.9</v>
      </c>
      <c r="J333" s="21">
        <f t="shared" si="524"/>
        <v>830.4</v>
      </c>
      <c r="K333" s="21">
        <f t="shared" si="525"/>
        <v>16</v>
      </c>
      <c r="L333" s="24">
        <f t="shared" si="526"/>
        <v>8</v>
      </c>
      <c r="M333" s="24">
        <f t="shared" si="527"/>
        <v>830.4</v>
      </c>
      <c r="N333" s="24">
        <f t="shared" si="528"/>
        <v>0</v>
      </c>
      <c r="O333" s="24">
        <f t="shared" si="529"/>
        <v>0</v>
      </c>
      <c r="P333" s="24">
        <f t="shared" si="530"/>
        <v>0</v>
      </c>
      <c r="Q333" s="24">
        <f t="shared" si="531"/>
        <v>830.4</v>
      </c>
      <c r="R333" s="87">
        <v>81</v>
      </c>
      <c r="T333" s="235" t="str">
        <f t="shared" si="523"/>
        <v xml:space="preserve"> </v>
      </c>
      <c r="U333" s="232"/>
    </row>
    <row r="334" spans="1:21" s="19" customFormat="1" x14ac:dyDescent="0.25">
      <c r="A334" s="159"/>
      <c r="B334" s="28">
        <v>6</v>
      </c>
      <c r="C334" s="29" t="s">
        <v>188</v>
      </c>
      <c r="D334" s="28"/>
      <c r="E334" s="30"/>
      <c r="F334" s="31"/>
      <c r="G334" s="31"/>
      <c r="H334" s="31"/>
      <c r="I334" s="31"/>
      <c r="J334" s="32"/>
      <c r="K334" s="32"/>
      <c r="L334" s="33"/>
      <c r="M334" s="33"/>
      <c r="N334" s="33"/>
      <c r="O334" s="33"/>
      <c r="P334" s="33"/>
      <c r="Q334" s="33"/>
      <c r="R334" s="89"/>
      <c r="T334" s="235" t="str">
        <f t="shared" si="523"/>
        <v xml:space="preserve"> </v>
      </c>
      <c r="U334" s="236"/>
    </row>
    <row r="335" spans="1:21" s="18" customFormat="1" x14ac:dyDescent="0.25">
      <c r="A335" s="157"/>
      <c r="B335" s="6">
        <v>7</v>
      </c>
      <c r="C335" s="9" t="s">
        <v>189</v>
      </c>
      <c r="D335" s="6" t="s">
        <v>100</v>
      </c>
      <c r="E335" s="17" t="str">
        <f>VLOOKUP(C335,Resources!B:G,3,FALSE)</f>
        <v>M</v>
      </c>
      <c r="F335" s="12">
        <v>1</v>
      </c>
      <c r="G335" s="12">
        <v>1</v>
      </c>
      <c r="H335" s="12">
        <f>H328*2.6972</f>
        <v>32.905839999999998</v>
      </c>
      <c r="I335" s="12">
        <f>VLOOKUP(C335,Resources!B:G,6,FALSE)</f>
        <v>28</v>
      </c>
      <c r="J335" s="21">
        <f t="shared" ref="J335:J338" si="532">(H335/G335)*I335*F335</f>
        <v>921.36351999999988</v>
      </c>
      <c r="K335" s="21" t="str">
        <f t="shared" ref="K335:K338" si="533">IF(E335="M"," ",L335*F335)</f>
        <v xml:space="preserve"> </v>
      </c>
      <c r="L335" s="24" t="str">
        <f t="shared" ref="L335:L338" si="534">IF(E335="M"," ",H335/G335)</f>
        <v xml:space="preserve"> </v>
      </c>
      <c r="M335" s="24">
        <f t="shared" ref="M335:M338" si="535">IF($E335="L",$J335,0)</f>
        <v>0</v>
      </c>
      <c r="N335" s="24">
        <f t="shared" ref="N335:N338" si="536">IF($E335="M",$J335,0)</f>
        <v>921.36351999999988</v>
      </c>
      <c r="O335" s="24">
        <f t="shared" ref="O335:O338" si="537">IF($E335="P",$J335,0)</f>
        <v>0</v>
      </c>
      <c r="P335" s="24">
        <f t="shared" ref="P335:P338" si="538">IF($E335="S",$J335,0)</f>
        <v>0</v>
      </c>
      <c r="Q335" s="24">
        <f t="shared" ref="Q335:Q338" si="539">SUM(M335:P335)</f>
        <v>921.36351999999988</v>
      </c>
      <c r="R335" s="87" t="s">
        <v>542</v>
      </c>
      <c r="T335" s="235" t="str">
        <f t="shared" si="523"/>
        <v>y</v>
      </c>
      <c r="U335" s="232"/>
    </row>
    <row r="336" spans="1:21" s="18" customFormat="1" x14ac:dyDescent="0.25">
      <c r="A336" s="157">
        <v>50.2</v>
      </c>
      <c r="B336" s="6">
        <v>8</v>
      </c>
      <c r="C336" s="9" t="s">
        <v>70</v>
      </c>
      <c r="D336" s="6" t="s">
        <v>26</v>
      </c>
      <c r="E336" s="17" t="str">
        <f>VLOOKUP(C336,Resources!B:G,3,FALSE)</f>
        <v>P</v>
      </c>
      <c r="F336" s="12">
        <v>1</v>
      </c>
      <c r="G336" s="26">
        <f>VLOOKUP($A336,'Model Inputs'!$A:$C,3,FALSE)</f>
        <v>3.0499434609324312</v>
      </c>
      <c r="H336" s="12">
        <f>H328</f>
        <v>12.2</v>
      </c>
      <c r="I336" s="12">
        <f>VLOOKUP(C336,Resources!B:G,6,FALSE)</f>
        <v>135</v>
      </c>
      <c r="J336" s="21">
        <f t="shared" si="532"/>
        <v>540.01001038113588</v>
      </c>
      <c r="K336" s="21">
        <f t="shared" si="533"/>
        <v>4.0000741509713773</v>
      </c>
      <c r="L336" s="24">
        <f t="shared" si="534"/>
        <v>4.0000741509713773</v>
      </c>
      <c r="M336" s="24">
        <f t="shared" si="535"/>
        <v>0</v>
      </c>
      <c r="N336" s="24">
        <f t="shared" si="536"/>
        <v>0</v>
      </c>
      <c r="O336" s="24">
        <f t="shared" si="537"/>
        <v>540.01001038113588</v>
      </c>
      <c r="P336" s="24">
        <f t="shared" si="538"/>
        <v>0</v>
      </c>
      <c r="Q336" s="24">
        <f t="shared" si="539"/>
        <v>540.01001038113588</v>
      </c>
      <c r="R336" s="87">
        <v>81</v>
      </c>
      <c r="T336" s="235" t="str">
        <f t="shared" si="523"/>
        <v xml:space="preserve"> </v>
      </c>
      <c r="U336" s="232"/>
    </row>
    <row r="337" spans="1:21" s="18" customFormat="1" x14ac:dyDescent="0.25">
      <c r="A337" s="157"/>
      <c r="B337" s="6">
        <v>9</v>
      </c>
      <c r="C337" s="9" t="s">
        <v>8</v>
      </c>
      <c r="D337" s="6" t="s">
        <v>26</v>
      </c>
      <c r="E337" s="17" t="str">
        <f>VLOOKUP(C337,Resources!B:G,3,FALSE)</f>
        <v>L</v>
      </c>
      <c r="F337" s="12">
        <v>3</v>
      </c>
      <c r="G337" s="12">
        <f>G336/2.25</f>
        <v>1.3555304270810806</v>
      </c>
      <c r="H337" s="12">
        <f>H328</f>
        <v>12.2</v>
      </c>
      <c r="I337" s="12">
        <f>VLOOKUP(C337,Resources!B:G,6,FALSE)</f>
        <v>51.9</v>
      </c>
      <c r="J337" s="21">
        <f t="shared" si="532"/>
        <v>1401.3259769390479</v>
      </c>
      <c r="K337" s="21">
        <f t="shared" si="533"/>
        <v>27.0005005190568</v>
      </c>
      <c r="L337" s="24">
        <f t="shared" si="534"/>
        <v>9.0001668396855994</v>
      </c>
      <c r="M337" s="24">
        <f t="shared" si="535"/>
        <v>1401.3259769390479</v>
      </c>
      <c r="N337" s="24">
        <f t="shared" si="536"/>
        <v>0</v>
      </c>
      <c r="O337" s="24">
        <f t="shared" si="537"/>
        <v>0</v>
      </c>
      <c r="P337" s="24">
        <f t="shared" si="538"/>
        <v>0</v>
      </c>
      <c r="Q337" s="24">
        <f t="shared" si="539"/>
        <v>1401.3259769390479</v>
      </c>
      <c r="R337" s="87">
        <v>81</v>
      </c>
      <c r="T337" s="235" t="str">
        <f t="shared" si="523"/>
        <v xml:space="preserve"> </v>
      </c>
      <c r="U337" s="232"/>
    </row>
    <row r="338" spans="1:21" s="18" customFormat="1" x14ac:dyDescent="0.25">
      <c r="A338" s="157"/>
      <c r="B338" s="6">
        <v>10</v>
      </c>
      <c r="C338" s="9" t="s">
        <v>28</v>
      </c>
      <c r="D338" s="6" t="s">
        <v>26</v>
      </c>
      <c r="E338" s="17" t="str">
        <f>VLOOKUP(C338,Resources!B:G,3,FALSE)</f>
        <v>P</v>
      </c>
      <c r="F338" s="12">
        <v>1</v>
      </c>
      <c r="G338" s="12">
        <f>G337</f>
        <v>1.3555304270810806</v>
      </c>
      <c r="H338" s="12">
        <f>H328</f>
        <v>12.2</v>
      </c>
      <c r="I338" s="12">
        <f>VLOOKUP(C338,Resources!B:G,6,FALSE)</f>
        <v>95</v>
      </c>
      <c r="J338" s="21">
        <f t="shared" si="532"/>
        <v>855.01584977013192</v>
      </c>
      <c r="K338" s="21">
        <f t="shared" si="533"/>
        <v>9.0001668396855994</v>
      </c>
      <c r="L338" s="24">
        <f t="shared" si="534"/>
        <v>9.0001668396855994</v>
      </c>
      <c r="M338" s="24">
        <f t="shared" si="535"/>
        <v>0</v>
      </c>
      <c r="N338" s="24">
        <f t="shared" si="536"/>
        <v>0</v>
      </c>
      <c r="O338" s="24">
        <f t="shared" si="537"/>
        <v>855.01584977013192</v>
      </c>
      <c r="P338" s="24">
        <f t="shared" si="538"/>
        <v>0</v>
      </c>
      <c r="Q338" s="24">
        <f t="shared" si="539"/>
        <v>855.01584977013192</v>
      </c>
      <c r="R338" s="87">
        <v>81</v>
      </c>
      <c r="T338" s="235" t="str">
        <f t="shared" si="523"/>
        <v xml:space="preserve"> </v>
      </c>
      <c r="U338" s="232"/>
    </row>
    <row r="339" spans="1:21" s="19" customFormat="1" x14ac:dyDescent="0.25">
      <c r="A339" s="159"/>
      <c r="B339" s="28">
        <v>11</v>
      </c>
      <c r="C339" s="29" t="s">
        <v>190</v>
      </c>
      <c r="D339" s="28"/>
      <c r="E339" s="30"/>
      <c r="F339" s="31"/>
      <c r="G339" s="31"/>
      <c r="H339" s="31"/>
      <c r="I339" s="31"/>
      <c r="J339" s="32"/>
      <c r="K339" s="32"/>
      <c r="L339" s="33"/>
      <c r="M339" s="33"/>
      <c r="N339" s="33"/>
      <c r="O339" s="33"/>
      <c r="P339" s="33"/>
      <c r="Q339" s="33"/>
      <c r="R339" s="89"/>
      <c r="T339" s="235" t="str">
        <f t="shared" si="523"/>
        <v xml:space="preserve"> </v>
      </c>
      <c r="U339" s="236"/>
    </row>
    <row r="340" spans="1:21" s="18" customFormat="1" x14ac:dyDescent="0.25">
      <c r="A340" s="157"/>
      <c r="B340" s="6">
        <v>12</v>
      </c>
      <c r="C340" s="9" t="s">
        <v>191</v>
      </c>
      <c r="D340" s="6" t="s">
        <v>100</v>
      </c>
      <c r="E340" s="17" t="str">
        <f>VLOOKUP(C340,Resources!B:G,3,FALSE)</f>
        <v>M</v>
      </c>
      <c r="F340" s="12">
        <v>1</v>
      </c>
      <c r="G340" s="12">
        <v>1</v>
      </c>
      <c r="H340" s="12">
        <f>H328/6.0098</f>
        <v>2.0300176378581649</v>
      </c>
      <c r="I340" s="12">
        <f>VLOOKUP(C340,Resources!B:G,6,FALSE)</f>
        <v>2200</v>
      </c>
      <c r="J340" s="21">
        <f t="shared" ref="J340:J343" si="540">(H340/G340)*I340*F340</f>
        <v>4466.0388032879628</v>
      </c>
      <c r="K340" s="21" t="str">
        <f t="shared" ref="K340:K343" si="541">IF(E340="M"," ",L340*F340)</f>
        <v xml:space="preserve"> </v>
      </c>
      <c r="L340" s="24" t="str">
        <f t="shared" ref="L340:L343" si="542">IF(E340="M"," ",H340/G340)</f>
        <v xml:space="preserve"> </v>
      </c>
      <c r="M340" s="24">
        <f t="shared" ref="M340:M343" si="543">IF($E340="L",$J340,0)</f>
        <v>0</v>
      </c>
      <c r="N340" s="24">
        <f t="shared" ref="N340:N343" si="544">IF($E340="M",$J340,0)</f>
        <v>4466.0388032879628</v>
      </c>
      <c r="O340" s="24">
        <f t="shared" ref="O340:O343" si="545">IF($E340="P",$J340,0)</f>
        <v>0</v>
      </c>
      <c r="P340" s="24">
        <f t="shared" ref="P340:P343" si="546">IF($E340="S",$J340,0)</f>
        <v>0</v>
      </c>
      <c r="Q340" s="24">
        <f t="shared" ref="Q340:Q343" si="547">SUM(M340:P340)</f>
        <v>4466.0388032879628</v>
      </c>
      <c r="R340" s="87" t="s">
        <v>544</v>
      </c>
      <c r="T340" s="235" t="str">
        <f t="shared" si="523"/>
        <v xml:space="preserve"> </v>
      </c>
      <c r="U340" s="232"/>
    </row>
    <row r="341" spans="1:21" s="18" customFormat="1" x14ac:dyDescent="0.25">
      <c r="A341" s="157"/>
      <c r="B341" s="6">
        <v>13</v>
      </c>
      <c r="C341" s="9" t="s">
        <v>192</v>
      </c>
      <c r="D341" s="6" t="s">
        <v>100</v>
      </c>
      <c r="E341" s="17" t="str">
        <f>VLOOKUP(C341,Resources!B:G,3,FALSE)</f>
        <v>S</v>
      </c>
      <c r="F341" s="12">
        <v>1</v>
      </c>
      <c r="G341" s="12">
        <v>1</v>
      </c>
      <c r="H341" s="12">
        <f>H340</f>
        <v>2.0300176378581649</v>
      </c>
      <c r="I341" s="12">
        <f>VLOOKUP(C341,Resources!B:G,6,FALSE)</f>
        <v>2200</v>
      </c>
      <c r="J341" s="21">
        <f t="shared" si="540"/>
        <v>4466.0388032879628</v>
      </c>
      <c r="K341" s="21">
        <f t="shared" si="541"/>
        <v>2.0300176378581649</v>
      </c>
      <c r="L341" s="24">
        <f t="shared" si="542"/>
        <v>2.0300176378581649</v>
      </c>
      <c r="M341" s="24">
        <f t="shared" si="543"/>
        <v>0</v>
      </c>
      <c r="N341" s="24">
        <f t="shared" si="544"/>
        <v>0</v>
      </c>
      <c r="O341" s="24">
        <f t="shared" si="545"/>
        <v>0</v>
      </c>
      <c r="P341" s="24">
        <f t="shared" si="546"/>
        <v>4466.0388032879628</v>
      </c>
      <c r="Q341" s="24">
        <f t="shared" si="547"/>
        <v>4466.0388032879628</v>
      </c>
      <c r="R341" s="87">
        <v>72</v>
      </c>
      <c r="T341" s="235" t="str">
        <f t="shared" si="523"/>
        <v xml:space="preserve"> </v>
      </c>
      <c r="U341" s="232"/>
    </row>
    <row r="342" spans="1:21" s="18" customFormat="1" x14ac:dyDescent="0.25">
      <c r="A342" s="157"/>
      <c r="B342" s="6">
        <v>14</v>
      </c>
      <c r="C342" s="9" t="s">
        <v>193</v>
      </c>
      <c r="D342" s="6" t="s">
        <v>109</v>
      </c>
      <c r="E342" s="17" t="str">
        <f>VLOOKUP(C342,Resources!B:G,3,FALSE)</f>
        <v>S</v>
      </c>
      <c r="F342" s="12">
        <v>1</v>
      </c>
      <c r="G342" s="12">
        <v>1</v>
      </c>
      <c r="H342" s="12">
        <f>H328*8.6066</f>
        <v>105.00051999999999</v>
      </c>
      <c r="I342" s="12">
        <f>VLOOKUP(C342,Resources!B:G,6,FALSE)</f>
        <v>45</v>
      </c>
      <c r="J342" s="21">
        <f t="shared" si="540"/>
        <v>4725.0234</v>
      </c>
      <c r="K342" s="21">
        <f t="shared" si="541"/>
        <v>10.500052</v>
      </c>
      <c r="L342" s="24">
        <f>IF(E342="M"," ",H342/G342/10)</f>
        <v>10.500052</v>
      </c>
      <c r="M342" s="24">
        <f t="shared" si="543"/>
        <v>0</v>
      </c>
      <c r="N342" s="24">
        <f t="shared" si="544"/>
        <v>0</v>
      </c>
      <c r="O342" s="24">
        <f t="shared" si="545"/>
        <v>0</v>
      </c>
      <c r="P342" s="24">
        <f t="shared" si="546"/>
        <v>4725.0234</v>
      </c>
      <c r="Q342" s="24">
        <f t="shared" si="547"/>
        <v>4725.0234</v>
      </c>
      <c r="R342" s="87">
        <v>72</v>
      </c>
      <c r="T342" s="235" t="str">
        <f t="shared" si="523"/>
        <v xml:space="preserve"> </v>
      </c>
      <c r="U342" s="232"/>
    </row>
    <row r="343" spans="1:21" s="18" customFormat="1" x14ac:dyDescent="0.25">
      <c r="A343" s="157"/>
      <c r="B343" s="6">
        <v>15</v>
      </c>
      <c r="C343" s="9" t="s">
        <v>194</v>
      </c>
      <c r="D343" s="6" t="s">
        <v>180</v>
      </c>
      <c r="E343" s="17" t="str">
        <f>VLOOKUP(C343,Resources!B:G,3,FALSE)</f>
        <v>M</v>
      </c>
      <c r="F343" s="12">
        <v>1</v>
      </c>
      <c r="G343" s="12">
        <v>1</v>
      </c>
      <c r="H343" s="12">
        <f>H342/5</f>
        <v>21.000104</v>
      </c>
      <c r="I343" s="12">
        <f>VLOOKUP(C343,Resources!B:G,6,FALSE)</f>
        <v>325</v>
      </c>
      <c r="J343" s="21">
        <f t="shared" si="540"/>
        <v>6825.0338000000002</v>
      </c>
      <c r="K343" s="21" t="str">
        <f t="shared" si="541"/>
        <v xml:space="preserve"> </v>
      </c>
      <c r="L343" s="24" t="str">
        <f t="shared" si="542"/>
        <v xml:space="preserve"> </v>
      </c>
      <c r="M343" s="24">
        <f t="shared" si="543"/>
        <v>0</v>
      </c>
      <c r="N343" s="24">
        <f t="shared" si="544"/>
        <v>6825.0338000000002</v>
      </c>
      <c r="O343" s="24">
        <f t="shared" si="545"/>
        <v>0</v>
      </c>
      <c r="P343" s="24">
        <f t="shared" si="546"/>
        <v>0</v>
      </c>
      <c r="Q343" s="24">
        <f t="shared" si="547"/>
        <v>6825.0338000000002</v>
      </c>
      <c r="R343" s="87" t="s">
        <v>543</v>
      </c>
      <c r="T343" s="235" t="str">
        <f t="shared" si="523"/>
        <v xml:space="preserve"> </v>
      </c>
      <c r="U343" s="232"/>
    </row>
    <row r="344" spans="1:21" s="19" customFormat="1" x14ac:dyDescent="0.25">
      <c r="A344" s="159"/>
      <c r="B344" s="28">
        <v>16</v>
      </c>
      <c r="C344" s="29" t="s">
        <v>195</v>
      </c>
      <c r="D344" s="28"/>
      <c r="E344" s="30"/>
      <c r="F344" s="31"/>
      <c r="G344" s="31"/>
      <c r="H344" s="31"/>
      <c r="I344" s="31"/>
      <c r="J344" s="32"/>
      <c r="K344" s="32"/>
      <c r="L344" s="33"/>
      <c r="M344" s="33"/>
      <c r="N344" s="33"/>
      <c r="O344" s="33"/>
      <c r="P344" s="33"/>
      <c r="Q344" s="33"/>
      <c r="R344" s="89"/>
      <c r="T344" s="235" t="str">
        <f t="shared" si="523"/>
        <v xml:space="preserve"> </v>
      </c>
      <c r="U344" s="236"/>
    </row>
    <row r="345" spans="1:21" s="18" customFormat="1" x14ac:dyDescent="0.25">
      <c r="A345" s="157"/>
      <c r="B345" s="6">
        <v>17</v>
      </c>
      <c r="C345" s="9" t="s">
        <v>196</v>
      </c>
      <c r="D345" s="6" t="s">
        <v>32</v>
      </c>
      <c r="E345" s="17" t="str">
        <f>VLOOKUP(C345,Resources!B:G,3,FALSE)</f>
        <v>M</v>
      </c>
      <c r="F345" s="12">
        <v>1</v>
      </c>
      <c r="G345" s="12">
        <v>1</v>
      </c>
      <c r="H345" s="12">
        <f>H328*2.5424</f>
        <v>31.01728</v>
      </c>
      <c r="I345" s="12">
        <f>VLOOKUP(C345,Resources!B:G,6,FALSE)</f>
        <v>935</v>
      </c>
      <c r="J345" s="21">
        <f t="shared" ref="J345:J347" si="548">(H345/G345)*I345*F345</f>
        <v>29001.156800000001</v>
      </c>
      <c r="K345" s="21" t="str">
        <f t="shared" ref="K345:K347" si="549">IF(E345="M"," ",L345*F345)</f>
        <v xml:space="preserve"> </v>
      </c>
      <c r="L345" s="24" t="str">
        <f t="shared" ref="L345:L347" si="550">IF(E345="M"," ",H345/G345)</f>
        <v xml:space="preserve"> </v>
      </c>
      <c r="M345" s="24">
        <f t="shared" ref="M345:M347" si="551">IF($E345="L",$J345,0)</f>
        <v>0</v>
      </c>
      <c r="N345" s="24">
        <f t="shared" ref="N345:N347" si="552">IF($E345="M",$J345,0)</f>
        <v>29001.156800000001</v>
      </c>
      <c r="O345" s="24">
        <f t="shared" ref="O345:O347" si="553">IF($E345="P",$J345,0)</f>
        <v>0</v>
      </c>
      <c r="P345" s="24">
        <f t="shared" ref="P345:P347" si="554">IF($E345="S",$J345,0)</f>
        <v>0</v>
      </c>
      <c r="Q345" s="24">
        <f t="shared" ref="Q345:Q347" si="555">SUM(M345:P345)</f>
        <v>29001.156800000001</v>
      </c>
      <c r="R345" s="87" t="s">
        <v>545</v>
      </c>
      <c r="T345" s="235" t="str">
        <f t="shared" si="523"/>
        <v xml:space="preserve"> </v>
      </c>
      <c r="U345" s="232"/>
    </row>
    <row r="346" spans="1:21" s="18" customFormat="1" x14ac:dyDescent="0.25">
      <c r="A346" s="157"/>
      <c r="B346" s="6">
        <v>18</v>
      </c>
      <c r="C346" s="9" t="s">
        <v>70</v>
      </c>
      <c r="D346" s="6" t="s">
        <v>26</v>
      </c>
      <c r="E346" s="17" t="str">
        <f>VLOOKUP(C346,Resources!B:G,3,FALSE)</f>
        <v>P</v>
      </c>
      <c r="F346" s="12">
        <v>1</v>
      </c>
      <c r="G346" s="12">
        <v>2</v>
      </c>
      <c r="H346" s="12">
        <f>H345</f>
        <v>31.01728</v>
      </c>
      <c r="I346" s="12">
        <f>VLOOKUP(C346,Resources!B:G,6,FALSE)</f>
        <v>135</v>
      </c>
      <c r="J346" s="21">
        <f t="shared" si="548"/>
        <v>2093.6664000000001</v>
      </c>
      <c r="K346" s="21">
        <f t="shared" si="549"/>
        <v>15.50864</v>
      </c>
      <c r="L346" s="24">
        <f t="shared" si="550"/>
        <v>15.50864</v>
      </c>
      <c r="M346" s="24">
        <f t="shared" si="551"/>
        <v>0</v>
      </c>
      <c r="N346" s="24">
        <f t="shared" si="552"/>
        <v>0</v>
      </c>
      <c r="O346" s="24">
        <f t="shared" si="553"/>
        <v>2093.6664000000001</v>
      </c>
      <c r="P346" s="24">
        <f t="shared" si="554"/>
        <v>0</v>
      </c>
      <c r="Q346" s="24">
        <f t="shared" si="555"/>
        <v>2093.6664000000001</v>
      </c>
      <c r="R346" s="87">
        <v>81</v>
      </c>
      <c r="T346" s="235" t="str">
        <f t="shared" si="523"/>
        <v xml:space="preserve"> </v>
      </c>
      <c r="U346" s="232"/>
    </row>
    <row r="347" spans="1:21" s="18" customFormat="1" x14ac:dyDescent="0.25">
      <c r="A347" s="157"/>
      <c r="B347" s="6">
        <v>19</v>
      </c>
      <c r="C347" s="9" t="s">
        <v>8</v>
      </c>
      <c r="D347" s="6" t="s">
        <v>26</v>
      </c>
      <c r="E347" s="17" t="str">
        <f>VLOOKUP(C347,Resources!B:G,3,FALSE)</f>
        <v>L</v>
      </c>
      <c r="F347" s="12">
        <v>3</v>
      </c>
      <c r="G347" s="12">
        <v>2</v>
      </c>
      <c r="H347" s="12">
        <f>H345</f>
        <v>31.01728</v>
      </c>
      <c r="I347" s="12">
        <f>VLOOKUP(C347,Resources!B:G,6,FALSE)</f>
        <v>51.9</v>
      </c>
      <c r="J347" s="21">
        <f t="shared" si="548"/>
        <v>2414.695248</v>
      </c>
      <c r="K347" s="21">
        <f t="shared" si="549"/>
        <v>46.525919999999999</v>
      </c>
      <c r="L347" s="24">
        <f t="shared" si="550"/>
        <v>15.50864</v>
      </c>
      <c r="M347" s="24">
        <f t="shared" si="551"/>
        <v>2414.695248</v>
      </c>
      <c r="N347" s="24">
        <f t="shared" si="552"/>
        <v>0</v>
      </c>
      <c r="O347" s="24">
        <f t="shared" si="553"/>
        <v>0</v>
      </c>
      <c r="P347" s="24">
        <f t="shared" si="554"/>
        <v>0</v>
      </c>
      <c r="Q347" s="24">
        <f t="shared" si="555"/>
        <v>2414.695248</v>
      </c>
      <c r="R347" s="87">
        <v>81</v>
      </c>
      <c r="T347" s="235" t="str">
        <f t="shared" si="523"/>
        <v xml:space="preserve"> </v>
      </c>
      <c r="U347" s="232"/>
    </row>
    <row r="348" spans="1:21" s="19" customFormat="1" x14ac:dyDescent="0.25">
      <c r="A348" s="159"/>
      <c r="B348" s="28">
        <v>20</v>
      </c>
      <c r="C348" s="29" t="s">
        <v>197</v>
      </c>
      <c r="D348" s="28"/>
      <c r="E348" s="30"/>
      <c r="F348" s="31"/>
      <c r="G348" s="31"/>
      <c r="H348" s="31"/>
      <c r="I348" s="31"/>
      <c r="J348" s="32"/>
      <c r="K348" s="32"/>
      <c r="L348" s="33"/>
      <c r="M348" s="33"/>
      <c r="N348" s="33"/>
      <c r="O348" s="33"/>
      <c r="P348" s="33"/>
      <c r="Q348" s="33"/>
      <c r="R348" s="89"/>
      <c r="T348" s="235" t="str">
        <f t="shared" si="523"/>
        <v xml:space="preserve"> </v>
      </c>
      <c r="U348" s="236"/>
    </row>
    <row r="349" spans="1:21" x14ac:dyDescent="0.25">
      <c r="A349" s="157"/>
      <c r="B349" s="6">
        <v>21</v>
      </c>
      <c r="C349" s="9" t="s">
        <v>198</v>
      </c>
      <c r="D349" s="6" t="s">
        <v>100</v>
      </c>
      <c r="E349" s="17" t="str">
        <f>VLOOKUP(C349,Resources!B:G,3,FALSE)</f>
        <v>M</v>
      </c>
      <c r="F349" s="12">
        <v>1</v>
      </c>
      <c r="G349" s="12">
        <v>1</v>
      </c>
      <c r="H349" s="12">
        <f>H328*2.8689</f>
        <v>35.000579999999999</v>
      </c>
      <c r="I349" s="12">
        <f>VLOOKUP(C349,Resources!B:G,6,FALSE)</f>
        <v>33.75</v>
      </c>
      <c r="J349" s="21">
        <f t="shared" ref="J349:J352" si="556">(H349/G349)*I349*F349</f>
        <v>1181.269575</v>
      </c>
      <c r="K349" s="21" t="str">
        <f t="shared" ref="K349:K352" si="557">IF(E349="M"," ",L349*F349)</f>
        <v xml:space="preserve"> </v>
      </c>
      <c r="L349" s="24" t="str">
        <f t="shared" ref="L349:L352" si="558">IF(E349="M"," ",H349/G349)</f>
        <v xml:space="preserve"> </v>
      </c>
      <c r="M349" s="24">
        <f t="shared" ref="M349:M352" si="559">IF($E349="L",$J349,0)</f>
        <v>0</v>
      </c>
      <c r="N349" s="24">
        <f t="shared" ref="N349:N352" si="560">IF($E349="M",$J349,0)</f>
        <v>1181.269575</v>
      </c>
      <c r="O349" s="24">
        <f t="shared" ref="O349:O352" si="561">IF($E349="P",$J349,0)</f>
        <v>0</v>
      </c>
      <c r="P349" s="24">
        <f t="shared" ref="P349:P352" si="562">IF($E349="S",$J349,0)</f>
        <v>0</v>
      </c>
      <c r="Q349" s="24">
        <f t="shared" ref="Q349:Q352" si="563">SUM(M349:P349)</f>
        <v>1181.269575</v>
      </c>
      <c r="R349" s="87" t="s">
        <v>539</v>
      </c>
      <c r="T349" s="235" t="str">
        <f t="shared" si="523"/>
        <v xml:space="preserve"> </v>
      </c>
    </row>
    <row r="350" spans="1:21" x14ac:dyDescent="0.25">
      <c r="A350" s="157"/>
      <c r="B350" s="6">
        <v>22</v>
      </c>
      <c r="C350" s="9" t="s">
        <v>82</v>
      </c>
      <c r="D350" s="6" t="s">
        <v>26</v>
      </c>
      <c r="E350" s="17" t="str">
        <f>VLOOKUP(C350,Resources!B:G,3,FALSE)</f>
        <v>P</v>
      </c>
      <c r="F350" s="12">
        <v>1</v>
      </c>
      <c r="G350" s="12">
        <f>H349/8</f>
        <v>4.3750724999999999</v>
      </c>
      <c r="H350" s="12">
        <f>H349</f>
        <v>35.000579999999999</v>
      </c>
      <c r="I350" s="12">
        <f>VLOOKUP(C350,Resources!B:G,6,FALSE)</f>
        <v>95</v>
      </c>
      <c r="J350" s="21">
        <f t="shared" si="556"/>
        <v>760</v>
      </c>
      <c r="K350" s="21">
        <f t="shared" si="557"/>
        <v>8</v>
      </c>
      <c r="L350" s="24">
        <f t="shared" si="558"/>
        <v>8</v>
      </c>
      <c r="M350" s="24">
        <f t="shared" si="559"/>
        <v>0</v>
      </c>
      <c r="N350" s="24">
        <f t="shared" si="560"/>
        <v>0</v>
      </c>
      <c r="O350" s="24">
        <f t="shared" si="561"/>
        <v>760</v>
      </c>
      <c r="P350" s="24">
        <f t="shared" si="562"/>
        <v>0</v>
      </c>
      <c r="Q350" s="24">
        <f t="shared" si="563"/>
        <v>760</v>
      </c>
      <c r="R350" s="87">
        <v>72</v>
      </c>
      <c r="T350" s="235" t="str">
        <f t="shared" si="523"/>
        <v xml:space="preserve"> </v>
      </c>
    </row>
    <row r="351" spans="1:21" x14ac:dyDescent="0.25">
      <c r="A351" s="157"/>
      <c r="B351" s="6">
        <v>23</v>
      </c>
      <c r="C351" s="9" t="s">
        <v>8</v>
      </c>
      <c r="D351" s="6" t="s">
        <v>26</v>
      </c>
      <c r="E351" s="17" t="str">
        <f>VLOOKUP(C351,Resources!B:G,3,FALSE)</f>
        <v>L</v>
      </c>
      <c r="F351" s="12">
        <v>3</v>
      </c>
      <c r="G351" s="12">
        <f>G350</f>
        <v>4.3750724999999999</v>
      </c>
      <c r="H351" s="12">
        <f>H349</f>
        <v>35.000579999999999</v>
      </c>
      <c r="I351" s="12">
        <f>VLOOKUP(C351,Resources!B:G,6,FALSE)</f>
        <v>51.9</v>
      </c>
      <c r="J351" s="21">
        <f t="shared" si="556"/>
        <v>1245.5999999999999</v>
      </c>
      <c r="K351" s="21">
        <f t="shared" si="557"/>
        <v>24</v>
      </c>
      <c r="L351" s="24">
        <f t="shared" si="558"/>
        <v>8</v>
      </c>
      <c r="M351" s="24">
        <f t="shared" si="559"/>
        <v>1245.5999999999999</v>
      </c>
      <c r="N351" s="24">
        <f t="shared" si="560"/>
        <v>0</v>
      </c>
      <c r="O351" s="24">
        <f t="shared" si="561"/>
        <v>0</v>
      </c>
      <c r="P351" s="24">
        <f t="shared" si="562"/>
        <v>0</v>
      </c>
      <c r="Q351" s="24">
        <f t="shared" si="563"/>
        <v>1245.5999999999999</v>
      </c>
      <c r="R351" s="87">
        <v>72</v>
      </c>
      <c r="T351" s="235" t="str">
        <f t="shared" si="523"/>
        <v xml:space="preserve"> </v>
      </c>
    </row>
    <row r="352" spans="1:21" x14ac:dyDescent="0.25">
      <c r="A352" s="157"/>
      <c r="B352" s="6">
        <v>24</v>
      </c>
      <c r="C352" s="9" t="s">
        <v>28</v>
      </c>
      <c r="D352" s="6" t="s">
        <v>26</v>
      </c>
      <c r="E352" s="17" t="str">
        <f>VLOOKUP(C352,Resources!B:G,3,FALSE)</f>
        <v>P</v>
      </c>
      <c r="F352" s="12">
        <v>1</v>
      </c>
      <c r="G352" s="12">
        <f>G350</f>
        <v>4.3750724999999999</v>
      </c>
      <c r="H352" s="12">
        <f>H349</f>
        <v>35.000579999999999</v>
      </c>
      <c r="I352" s="12">
        <f>VLOOKUP(C352,Resources!B:G,6,FALSE)</f>
        <v>95</v>
      </c>
      <c r="J352" s="21">
        <f t="shared" si="556"/>
        <v>760</v>
      </c>
      <c r="K352" s="21">
        <f t="shared" si="557"/>
        <v>8</v>
      </c>
      <c r="L352" s="24">
        <f t="shared" si="558"/>
        <v>8</v>
      </c>
      <c r="M352" s="24">
        <f t="shared" si="559"/>
        <v>0</v>
      </c>
      <c r="N352" s="24">
        <f t="shared" si="560"/>
        <v>0</v>
      </c>
      <c r="O352" s="24">
        <f t="shared" si="561"/>
        <v>760</v>
      </c>
      <c r="P352" s="24">
        <f t="shared" si="562"/>
        <v>0</v>
      </c>
      <c r="Q352" s="24">
        <f t="shared" si="563"/>
        <v>760</v>
      </c>
      <c r="R352" s="87">
        <v>72</v>
      </c>
      <c r="T352" s="235" t="str">
        <f t="shared" si="523"/>
        <v xml:space="preserve"> </v>
      </c>
    </row>
    <row r="353" spans="1:20" x14ac:dyDescent="0.25">
      <c r="F353" s="11"/>
      <c r="G353" s="11"/>
      <c r="H353" s="11"/>
      <c r="I353" s="11"/>
      <c r="J353" s="11"/>
      <c r="K353" s="11"/>
      <c r="R353" s="88"/>
      <c r="T353" s="235" t="str">
        <f t="shared" si="523"/>
        <v xml:space="preserve"> </v>
      </c>
    </row>
    <row r="354" spans="1:20" ht="60" x14ac:dyDescent="0.25">
      <c r="A354" s="156">
        <v>51</v>
      </c>
      <c r="B354" s="3" t="s">
        <v>201</v>
      </c>
      <c r="C354" s="3" t="s">
        <v>202</v>
      </c>
      <c r="D354" s="4" t="s">
        <v>145</v>
      </c>
      <c r="E354" s="15"/>
      <c r="F354" s="10"/>
      <c r="G354" s="10"/>
      <c r="H354" s="26">
        <f>VLOOKUP($A354,'Model Inputs'!$A:$C,3,FALSE)</f>
        <v>2</v>
      </c>
      <c r="I354" s="10"/>
      <c r="J354" s="10">
        <f>SUBTOTAL(9,J355:J359)</f>
        <v>2161.4</v>
      </c>
      <c r="K354" s="10"/>
      <c r="L354" s="10">
        <f>ROUNDUP(MAX(L355:L359)/Workhrs,0)</f>
        <v>1</v>
      </c>
      <c r="M354" s="10">
        <f>SUBTOTAL(9,M355:M359)</f>
        <v>311.39999999999998</v>
      </c>
      <c r="N354" s="10">
        <f t="shared" ref="N354:Q354" si="564">SUBTOTAL(9,N355:N359)</f>
        <v>1675</v>
      </c>
      <c r="O354" s="10">
        <f t="shared" si="564"/>
        <v>175</v>
      </c>
      <c r="P354" s="10">
        <f t="shared" si="564"/>
        <v>0</v>
      </c>
      <c r="Q354" s="10">
        <f t="shared" si="564"/>
        <v>2161.4</v>
      </c>
      <c r="R354" s="86"/>
      <c r="T354" s="235" t="str">
        <f t="shared" si="523"/>
        <v xml:space="preserve"> </v>
      </c>
    </row>
    <row r="355" spans="1:20" x14ac:dyDescent="0.25">
      <c r="A355" s="157"/>
      <c r="B355" s="6">
        <v>1</v>
      </c>
      <c r="C355" s="9" t="s">
        <v>194</v>
      </c>
      <c r="D355" s="6" t="s">
        <v>180</v>
      </c>
      <c r="E355" s="17" t="str">
        <f>VLOOKUP(C355,Resources!B:G,3,FALSE)</f>
        <v>M</v>
      </c>
      <c r="F355" s="12">
        <v>1</v>
      </c>
      <c r="G355" s="12">
        <v>1</v>
      </c>
      <c r="H355" s="12">
        <f>H354*1.5</f>
        <v>3</v>
      </c>
      <c r="I355" s="12">
        <f>VLOOKUP(C355,Resources!B:G,6,FALSE)</f>
        <v>325</v>
      </c>
      <c r="J355" s="21">
        <f t="shared" ref="J355:J359" si="565">(H355/G355)*I355*F355</f>
        <v>975</v>
      </c>
      <c r="K355" s="21" t="str">
        <f t="shared" ref="K355:K359" si="566">IF(E355="M"," ",L355*F355)</f>
        <v xml:space="preserve"> </v>
      </c>
      <c r="L355" s="24" t="str">
        <f t="shared" ref="L355:L359" si="567">IF(E355="M"," ",H355/G355)</f>
        <v xml:space="preserve"> </v>
      </c>
      <c r="M355" s="24">
        <f t="shared" ref="M355:M359" si="568">IF($E355="L",$J355,0)</f>
        <v>0</v>
      </c>
      <c r="N355" s="24">
        <f t="shared" ref="N355:N359" si="569">IF($E355="M",$J355,0)</f>
        <v>975</v>
      </c>
      <c r="O355" s="24">
        <f t="shared" ref="O355:O359" si="570">IF($E355="P",$J355,0)</f>
        <v>0</v>
      </c>
      <c r="P355" s="24">
        <f t="shared" ref="P355:P359" si="571">IF($E355="S",$J355,0)</f>
        <v>0</v>
      </c>
      <c r="Q355" s="24">
        <f t="shared" ref="Q355:Q359" si="572">SUM(M355:P355)</f>
        <v>975</v>
      </c>
      <c r="R355" s="87" t="s">
        <v>543</v>
      </c>
      <c r="T355" s="235" t="str">
        <f t="shared" si="523"/>
        <v xml:space="preserve"> </v>
      </c>
    </row>
    <row r="356" spans="1:20" x14ac:dyDescent="0.25">
      <c r="A356" s="157"/>
      <c r="B356" s="6">
        <v>2</v>
      </c>
      <c r="C356" s="9" t="s">
        <v>181</v>
      </c>
      <c r="D356" s="6" t="s">
        <v>109</v>
      </c>
      <c r="E356" s="17" t="str">
        <f>VLOOKUP(C356,Resources!B:G,3,FALSE)</f>
        <v>M</v>
      </c>
      <c r="F356" s="12">
        <v>1</v>
      </c>
      <c r="G356" s="12">
        <v>1</v>
      </c>
      <c r="H356" s="12">
        <f>H354*10</f>
        <v>20</v>
      </c>
      <c r="I356" s="12">
        <f>VLOOKUP(C356,Resources!B:G,6,FALSE)</f>
        <v>10</v>
      </c>
      <c r="J356" s="21">
        <f t="shared" si="565"/>
        <v>200</v>
      </c>
      <c r="K356" s="21" t="str">
        <f t="shared" si="566"/>
        <v xml:space="preserve"> </v>
      </c>
      <c r="L356" s="24" t="str">
        <f t="shared" si="567"/>
        <v xml:space="preserve"> </v>
      </c>
      <c r="M356" s="24">
        <f t="shared" si="568"/>
        <v>0</v>
      </c>
      <c r="N356" s="24">
        <f t="shared" si="569"/>
        <v>200</v>
      </c>
      <c r="O356" s="24">
        <f t="shared" si="570"/>
        <v>0</v>
      </c>
      <c r="P356" s="24">
        <f t="shared" si="571"/>
        <v>0</v>
      </c>
      <c r="Q356" s="24">
        <f t="shared" si="572"/>
        <v>200</v>
      </c>
      <c r="R356" s="87">
        <v>72</v>
      </c>
      <c r="T356" s="235" t="str">
        <f t="shared" si="523"/>
        <v xml:space="preserve"> </v>
      </c>
    </row>
    <row r="357" spans="1:20" x14ac:dyDescent="0.25">
      <c r="A357" s="157"/>
      <c r="B357" s="6">
        <v>3</v>
      </c>
      <c r="C357" s="9" t="s">
        <v>182</v>
      </c>
      <c r="D357" s="6" t="s">
        <v>32</v>
      </c>
      <c r="E357" s="17" t="str">
        <f>VLOOKUP(C357,Resources!B:G,3,FALSE)</f>
        <v>M</v>
      </c>
      <c r="F357" s="12">
        <v>1</v>
      </c>
      <c r="G357" s="12">
        <v>1</v>
      </c>
      <c r="H357" s="12">
        <f>H354*50</f>
        <v>100</v>
      </c>
      <c r="I357" s="12">
        <f>VLOOKUP(C357,Resources!B:G,6,FALSE)</f>
        <v>5</v>
      </c>
      <c r="J357" s="21">
        <f t="shared" si="565"/>
        <v>500</v>
      </c>
      <c r="K357" s="21" t="str">
        <f t="shared" si="566"/>
        <v xml:space="preserve"> </v>
      </c>
      <c r="L357" s="24" t="str">
        <f t="shared" si="567"/>
        <v xml:space="preserve"> </v>
      </c>
      <c r="M357" s="24">
        <f t="shared" si="568"/>
        <v>0</v>
      </c>
      <c r="N357" s="24">
        <f t="shared" si="569"/>
        <v>500</v>
      </c>
      <c r="O357" s="24">
        <f t="shared" si="570"/>
        <v>0</v>
      </c>
      <c r="P357" s="24">
        <f t="shared" si="571"/>
        <v>0</v>
      </c>
      <c r="Q357" s="24">
        <f t="shared" si="572"/>
        <v>500</v>
      </c>
      <c r="R357" s="87">
        <v>72</v>
      </c>
      <c r="T357" s="235" t="str">
        <f t="shared" si="523"/>
        <v xml:space="preserve"> </v>
      </c>
    </row>
    <row r="358" spans="1:20" x14ac:dyDescent="0.25">
      <c r="A358" s="157">
        <v>51.1</v>
      </c>
      <c r="B358" s="6">
        <v>4</v>
      </c>
      <c r="C358" s="9" t="s">
        <v>8</v>
      </c>
      <c r="D358" s="6" t="s">
        <v>26</v>
      </c>
      <c r="E358" s="17" t="str">
        <f>VLOOKUP(C358,Resources!B:G,3,FALSE)</f>
        <v>L</v>
      </c>
      <c r="F358" s="12">
        <v>3</v>
      </c>
      <c r="G358" s="26">
        <f>VLOOKUP($A358,'Model Inputs'!$A:$C,3,FALSE)</f>
        <v>1</v>
      </c>
      <c r="H358" s="12">
        <f>H354</f>
        <v>2</v>
      </c>
      <c r="I358" s="12">
        <f>VLOOKUP(C358,Resources!B:G,6,FALSE)</f>
        <v>51.9</v>
      </c>
      <c r="J358" s="21">
        <f t="shared" si="565"/>
        <v>311.39999999999998</v>
      </c>
      <c r="K358" s="21">
        <f t="shared" si="566"/>
        <v>6</v>
      </c>
      <c r="L358" s="24">
        <f t="shared" si="567"/>
        <v>2</v>
      </c>
      <c r="M358" s="24">
        <f t="shared" si="568"/>
        <v>311.39999999999998</v>
      </c>
      <c r="N358" s="24">
        <f t="shared" si="569"/>
        <v>0</v>
      </c>
      <c r="O358" s="24">
        <f t="shared" si="570"/>
        <v>0</v>
      </c>
      <c r="P358" s="24">
        <f t="shared" si="571"/>
        <v>0</v>
      </c>
      <c r="Q358" s="24">
        <f t="shared" si="572"/>
        <v>311.39999999999998</v>
      </c>
      <c r="R358" s="87">
        <v>72</v>
      </c>
      <c r="T358" s="235" t="str">
        <f t="shared" si="523"/>
        <v xml:space="preserve"> </v>
      </c>
    </row>
    <row r="359" spans="1:20" x14ac:dyDescent="0.25">
      <c r="A359" s="157"/>
      <c r="B359" s="6">
        <v>5</v>
      </c>
      <c r="C359" s="9" t="s">
        <v>203</v>
      </c>
      <c r="D359" s="6" t="s">
        <v>26</v>
      </c>
      <c r="E359" s="17" t="str">
        <f>VLOOKUP(C359,Resources!B:G,3,FALSE)</f>
        <v>P</v>
      </c>
      <c r="F359" s="12">
        <v>1</v>
      </c>
      <c r="G359" s="12">
        <f>G358*4</f>
        <v>4</v>
      </c>
      <c r="H359" s="12">
        <f>H354*2</f>
        <v>4</v>
      </c>
      <c r="I359" s="12">
        <f>VLOOKUP(C359,Resources!B:G,6,FALSE)</f>
        <v>175</v>
      </c>
      <c r="J359" s="21">
        <f t="shared" si="565"/>
        <v>175</v>
      </c>
      <c r="K359" s="21">
        <f t="shared" si="566"/>
        <v>1</v>
      </c>
      <c r="L359" s="24">
        <f t="shared" si="567"/>
        <v>1</v>
      </c>
      <c r="M359" s="24">
        <f t="shared" si="568"/>
        <v>0</v>
      </c>
      <c r="N359" s="24">
        <f t="shared" si="569"/>
        <v>0</v>
      </c>
      <c r="O359" s="24">
        <f t="shared" si="570"/>
        <v>175</v>
      </c>
      <c r="P359" s="24">
        <f t="shared" si="571"/>
        <v>0</v>
      </c>
      <c r="Q359" s="24">
        <f t="shared" si="572"/>
        <v>175</v>
      </c>
      <c r="R359" s="87">
        <v>72</v>
      </c>
      <c r="T359" s="235" t="str">
        <f t="shared" si="523"/>
        <v xml:space="preserve"> </v>
      </c>
    </row>
    <row r="360" spans="1:20" x14ac:dyDescent="0.25">
      <c r="F360" s="11"/>
      <c r="G360" s="11"/>
      <c r="H360" s="11"/>
      <c r="I360" s="11"/>
      <c r="J360" s="11"/>
      <c r="K360" s="11"/>
      <c r="R360" s="88"/>
      <c r="T360" s="235" t="str">
        <f t="shared" si="523"/>
        <v xml:space="preserve"> </v>
      </c>
    </row>
    <row r="361" spans="1:20" ht="45" x14ac:dyDescent="0.25">
      <c r="A361" s="156">
        <v>52</v>
      </c>
      <c r="B361" s="3" t="s">
        <v>204</v>
      </c>
      <c r="C361" s="3" t="s">
        <v>205</v>
      </c>
      <c r="D361" s="4" t="s">
        <v>18</v>
      </c>
      <c r="E361" s="15"/>
      <c r="F361" s="10"/>
      <c r="G361" s="10"/>
      <c r="H361" s="26">
        <f>VLOOKUP($A361,'Model Inputs'!$A:$C,3,FALSE)</f>
        <v>1</v>
      </c>
      <c r="I361" s="10"/>
      <c r="J361" s="10">
        <f>SUBTOTAL(9,J362:J364)</f>
        <v>1661.4</v>
      </c>
      <c r="K361" s="10"/>
      <c r="L361" s="10">
        <f>ROUNDUP(MAX(L362:L364)/Workhrs,0)</f>
        <v>1</v>
      </c>
      <c r="M361" s="10">
        <f>SUBTOTAL(9,M362:M364)</f>
        <v>311.39999999999998</v>
      </c>
      <c r="N361" s="10">
        <f t="shared" ref="N361:Q361" si="573">SUBTOTAL(9,N362:N364)</f>
        <v>0</v>
      </c>
      <c r="O361" s="10">
        <f t="shared" si="573"/>
        <v>1350</v>
      </c>
      <c r="P361" s="10">
        <f t="shared" si="573"/>
        <v>0</v>
      </c>
      <c r="Q361" s="10">
        <f t="shared" si="573"/>
        <v>1661.4</v>
      </c>
      <c r="R361" s="86"/>
      <c r="T361" s="235" t="str">
        <f t="shared" si="523"/>
        <v xml:space="preserve"> </v>
      </c>
    </row>
    <row r="362" spans="1:20" x14ac:dyDescent="0.25">
      <c r="A362" s="157">
        <v>52.1</v>
      </c>
      <c r="B362" s="6">
        <v>1</v>
      </c>
      <c r="C362" s="9" t="s">
        <v>70</v>
      </c>
      <c r="D362" s="6" t="s">
        <v>26</v>
      </c>
      <c r="E362" s="17" t="str">
        <f>VLOOKUP(C362,Resources!B:G,3,FALSE)</f>
        <v>P</v>
      </c>
      <c r="F362" s="12">
        <v>1</v>
      </c>
      <c r="G362" s="26">
        <f>VLOOKUP($A362,'Model Inputs'!$A:$C,3,FALSE)</f>
        <v>0.16666666666666666</v>
      </c>
      <c r="H362" s="12">
        <f>H361</f>
        <v>1</v>
      </c>
      <c r="I362" s="12">
        <f>VLOOKUP(C362,Resources!B:G,6,FALSE)</f>
        <v>135</v>
      </c>
      <c r="J362" s="21">
        <f t="shared" ref="J362:J364" si="574">(H362/G362)*I362*F362</f>
        <v>810</v>
      </c>
      <c r="K362" s="21">
        <f t="shared" ref="K362:K364" si="575">IF(E362="M"," ",L362*F362)</f>
        <v>6</v>
      </c>
      <c r="L362" s="24">
        <f t="shared" ref="L362:L364" si="576">IF(E362="M"," ",H362/G362)</f>
        <v>6</v>
      </c>
      <c r="M362" s="24">
        <f t="shared" ref="M362:M364" si="577">IF($E362="L",$J362,0)</f>
        <v>0</v>
      </c>
      <c r="N362" s="24">
        <f t="shared" ref="N362:N364" si="578">IF($E362="M",$J362,0)</f>
        <v>0</v>
      </c>
      <c r="O362" s="24">
        <f t="shared" ref="O362:O364" si="579">IF($E362="P",$J362,0)</f>
        <v>810</v>
      </c>
      <c r="P362" s="24">
        <f t="shared" ref="P362:P364" si="580">IF($E362="S",$J362,0)</f>
        <v>0</v>
      </c>
      <c r="Q362" s="24">
        <f t="shared" ref="Q362:Q364" si="581">SUM(M362:P362)</f>
        <v>810</v>
      </c>
      <c r="R362" s="87">
        <v>53</v>
      </c>
      <c r="T362" s="235" t="str">
        <f t="shared" si="523"/>
        <v xml:space="preserve"> </v>
      </c>
    </row>
    <row r="363" spans="1:20" x14ac:dyDescent="0.25">
      <c r="A363" s="157"/>
      <c r="B363" s="6">
        <v>2</v>
      </c>
      <c r="C363" s="9" t="s">
        <v>27</v>
      </c>
      <c r="D363" s="6" t="s">
        <v>26</v>
      </c>
      <c r="E363" s="17" t="str">
        <f>VLOOKUP(C363,Resources!B:G,3,FALSE)</f>
        <v>P</v>
      </c>
      <c r="F363" s="12">
        <v>1</v>
      </c>
      <c r="G363" s="12">
        <f>G362</f>
        <v>0.16666666666666666</v>
      </c>
      <c r="H363" s="12">
        <f>H361</f>
        <v>1</v>
      </c>
      <c r="I363" s="12">
        <f>VLOOKUP(C363,Resources!B:G,6,FALSE)</f>
        <v>90</v>
      </c>
      <c r="J363" s="21">
        <f t="shared" si="574"/>
        <v>540</v>
      </c>
      <c r="K363" s="21">
        <f t="shared" si="575"/>
        <v>6</v>
      </c>
      <c r="L363" s="24">
        <f t="shared" si="576"/>
        <v>6</v>
      </c>
      <c r="M363" s="24">
        <f t="shared" si="577"/>
        <v>0</v>
      </c>
      <c r="N363" s="24">
        <f t="shared" si="578"/>
        <v>0</v>
      </c>
      <c r="O363" s="24">
        <f t="shared" si="579"/>
        <v>540</v>
      </c>
      <c r="P363" s="24">
        <f t="shared" si="580"/>
        <v>0</v>
      </c>
      <c r="Q363" s="24">
        <f t="shared" si="581"/>
        <v>540</v>
      </c>
      <c r="R363" s="87">
        <v>53</v>
      </c>
      <c r="T363" s="235" t="str">
        <f t="shared" si="523"/>
        <v xml:space="preserve"> </v>
      </c>
    </row>
    <row r="364" spans="1:20" x14ac:dyDescent="0.25">
      <c r="A364" s="157"/>
      <c r="B364" s="6">
        <v>3</v>
      </c>
      <c r="C364" s="9" t="s">
        <v>8</v>
      </c>
      <c r="D364" s="6" t="s">
        <v>26</v>
      </c>
      <c r="E364" s="17" t="str">
        <f>VLOOKUP(C364,Resources!B:G,3,FALSE)</f>
        <v>L</v>
      </c>
      <c r="F364" s="12">
        <v>1</v>
      </c>
      <c r="G364" s="12">
        <f>G362</f>
        <v>0.16666666666666666</v>
      </c>
      <c r="H364" s="12">
        <f>H361</f>
        <v>1</v>
      </c>
      <c r="I364" s="12">
        <f>VLOOKUP(C364,Resources!B:G,6,FALSE)</f>
        <v>51.9</v>
      </c>
      <c r="J364" s="21">
        <f t="shared" si="574"/>
        <v>311.39999999999998</v>
      </c>
      <c r="K364" s="21">
        <f t="shared" si="575"/>
        <v>6</v>
      </c>
      <c r="L364" s="24">
        <f t="shared" si="576"/>
        <v>6</v>
      </c>
      <c r="M364" s="24">
        <f t="shared" si="577"/>
        <v>311.39999999999998</v>
      </c>
      <c r="N364" s="24">
        <f t="shared" si="578"/>
        <v>0</v>
      </c>
      <c r="O364" s="24">
        <f t="shared" si="579"/>
        <v>0</v>
      </c>
      <c r="P364" s="24">
        <f t="shared" si="580"/>
        <v>0</v>
      </c>
      <c r="Q364" s="24">
        <f t="shared" si="581"/>
        <v>311.39999999999998</v>
      </c>
      <c r="R364" s="87">
        <v>53</v>
      </c>
      <c r="T364" s="235" t="str">
        <f t="shared" si="523"/>
        <v xml:space="preserve"> </v>
      </c>
    </row>
    <row r="365" spans="1:20" x14ac:dyDescent="0.25">
      <c r="F365" s="11"/>
      <c r="G365" s="11"/>
      <c r="H365" s="11"/>
      <c r="I365" s="11"/>
      <c r="J365" s="11"/>
      <c r="K365" s="11"/>
      <c r="R365" s="88"/>
      <c r="T365" s="235" t="str">
        <f t="shared" si="523"/>
        <v xml:space="preserve"> </v>
      </c>
    </row>
    <row r="366" spans="1:20" ht="60" x14ac:dyDescent="0.25">
      <c r="A366" s="156">
        <v>53</v>
      </c>
      <c r="B366" s="3" t="s">
        <v>206</v>
      </c>
      <c r="C366" s="3" t="s">
        <v>207</v>
      </c>
      <c r="D366" s="4" t="s">
        <v>18</v>
      </c>
      <c r="E366" s="15"/>
      <c r="F366" s="10"/>
      <c r="G366" s="10"/>
      <c r="H366" s="26">
        <f>VLOOKUP($A366,'Model Inputs'!$A:$C,3,FALSE)</f>
        <v>1</v>
      </c>
      <c r="I366" s="10"/>
      <c r="J366" s="10">
        <f>SUBTOTAL(9,J367:J369)</f>
        <v>3372.6</v>
      </c>
      <c r="K366" s="10"/>
      <c r="L366" s="10">
        <f>ROUNDUP(MAX(L367:L369)/Workhrs,0)</f>
        <v>1</v>
      </c>
      <c r="M366" s="10">
        <f>SUBTOTAL(9,M367:M369)</f>
        <v>207.6</v>
      </c>
      <c r="N366" s="10">
        <f t="shared" ref="N366:Q366" si="582">SUBTOTAL(9,N367:N369)</f>
        <v>2625</v>
      </c>
      <c r="O366" s="10">
        <f t="shared" si="582"/>
        <v>540</v>
      </c>
      <c r="P366" s="10">
        <f t="shared" si="582"/>
        <v>0</v>
      </c>
      <c r="Q366" s="10">
        <f t="shared" si="582"/>
        <v>3372.6</v>
      </c>
      <c r="R366" s="86"/>
      <c r="T366" s="235" t="str">
        <f t="shared" si="523"/>
        <v xml:space="preserve"> </v>
      </c>
    </row>
    <row r="367" spans="1:20" x14ac:dyDescent="0.25">
      <c r="A367" s="157"/>
      <c r="B367" s="6">
        <v>1</v>
      </c>
      <c r="C367" s="9" t="s">
        <v>146</v>
      </c>
      <c r="D367" s="6" t="s">
        <v>100</v>
      </c>
      <c r="E367" s="17" t="str">
        <f>VLOOKUP(C367,Resources!B:G,3,FALSE)</f>
        <v>M</v>
      </c>
      <c r="F367" s="12">
        <v>1</v>
      </c>
      <c r="G367" s="12">
        <v>1</v>
      </c>
      <c r="H367" s="12">
        <f>H366*75</f>
        <v>75</v>
      </c>
      <c r="I367" s="12">
        <f>VLOOKUP(C367,Resources!B:G,6,FALSE)</f>
        <v>35</v>
      </c>
      <c r="J367" s="21">
        <f t="shared" ref="J367:J369" si="583">(H367/G367)*I367*F367</f>
        <v>2625</v>
      </c>
      <c r="K367" s="21" t="str">
        <f t="shared" ref="K367:K369" si="584">IF(E367="M"," ",L367*F367)</f>
        <v xml:space="preserve"> </v>
      </c>
      <c r="L367" s="24" t="str">
        <f t="shared" ref="L367:L369" si="585">IF(E367="M"," ",H367/G367)</f>
        <v xml:space="preserve"> </v>
      </c>
      <c r="M367" s="24">
        <f t="shared" ref="M367:M369" si="586">IF($E367="L",$J367,0)</f>
        <v>0</v>
      </c>
      <c r="N367" s="24">
        <f t="shared" ref="N367:N369" si="587">IF($E367="M",$J367,0)</f>
        <v>2625</v>
      </c>
      <c r="O367" s="24">
        <f t="shared" ref="O367:O369" si="588">IF($E367="P",$J367,0)</f>
        <v>0</v>
      </c>
      <c r="P367" s="24">
        <f t="shared" ref="P367:P369" si="589">IF($E367="S",$J367,0)</f>
        <v>0</v>
      </c>
      <c r="Q367" s="24">
        <f t="shared" ref="Q367:Q369" si="590">SUM(M367:P367)</f>
        <v>2625</v>
      </c>
      <c r="R367" s="87" t="s">
        <v>540</v>
      </c>
      <c r="T367" s="235" t="str">
        <f t="shared" si="523"/>
        <v xml:space="preserve"> </v>
      </c>
    </row>
    <row r="368" spans="1:20" x14ac:dyDescent="0.25">
      <c r="A368" s="157">
        <v>53.1</v>
      </c>
      <c r="B368" s="6">
        <v>2</v>
      </c>
      <c r="C368" s="9" t="s">
        <v>70</v>
      </c>
      <c r="D368" s="6" t="s">
        <v>26</v>
      </c>
      <c r="E368" s="17" t="str">
        <f>VLOOKUP(C368,Resources!B:G,3,FALSE)</f>
        <v>P</v>
      </c>
      <c r="F368" s="12">
        <v>1</v>
      </c>
      <c r="G368" s="26">
        <f>VLOOKUP($A368,'Model Inputs'!$A:$C,3,FALSE)</f>
        <v>18.75</v>
      </c>
      <c r="H368" s="12">
        <f>H367</f>
        <v>75</v>
      </c>
      <c r="I368" s="12">
        <f>VLOOKUP(C368,Resources!B:G,6,FALSE)</f>
        <v>135</v>
      </c>
      <c r="J368" s="21">
        <f t="shared" si="583"/>
        <v>540</v>
      </c>
      <c r="K368" s="21">
        <f t="shared" si="584"/>
        <v>4</v>
      </c>
      <c r="L368" s="24">
        <f t="shared" si="585"/>
        <v>4</v>
      </c>
      <c r="M368" s="24">
        <f t="shared" si="586"/>
        <v>0</v>
      </c>
      <c r="N368" s="24">
        <f t="shared" si="587"/>
        <v>0</v>
      </c>
      <c r="O368" s="24">
        <f t="shared" si="588"/>
        <v>540</v>
      </c>
      <c r="P368" s="24">
        <f t="shared" si="589"/>
        <v>0</v>
      </c>
      <c r="Q368" s="24">
        <f t="shared" si="590"/>
        <v>540</v>
      </c>
      <c r="R368" s="87">
        <v>81</v>
      </c>
      <c r="T368" s="235" t="str">
        <f t="shared" si="523"/>
        <v xml:space="preserve"> </v>
      </c>
    </row>
    <row r="369" spans="1:21" x14ac:dyDescent="0.25">
      <c r="A369" s="157"/>
      <c r="B369" s="6">
        <v>3</v>
      </c>
      <c r="C369" s="9" t="s">
        <v>8</v>
      </c>
      <c r="D369" s="6" t="s">
        <v>26</v>
      </c>
      <c r="E369" s="17" t="str">
        <f>VLOOKUP(C369,Resources!B:G,3,FALSE)</f>
        <v>L</v>
      </c>
      <c r="F369" s="12">
        <v>1</v>
      </c>
      <c r="G369" s="12">
        <f>G368</f>
        <v>18.75</v>
      </c>
      <c r="H369" s="12">
        <f>H367</f>
        <v>75</v>
      </c>
      <c r="I369" s="12">
        <f>VLOOKUP(C369,Resources!B:G,6,FALSE)</f>
        <v>51.9</v>
      </c>
      <c r="J369" s="21">
        <f t="shared" si="583"/>
        <v>207.6</v>
      </c>
      <c r="K369" s="21">
        <f t="shared" si="584"/>
        <v>4</v>
      </c>
      <c r="L369" s="24">
        <f t="shared" si="585"/>
        <v>4</v>
      </c>
      <c r="M369" s="24">
        <f t="shared" si="586"/>
        <v>207.6</v>
      </c>
      <c r="N369" s="24">
        <f t="shared" si="587"/>
        <v>0</v>
      </c>
      <c r="O369" s="24">
        <f t="shared" si="588"/>
        <v>0</v>
      </c>
      <c r="P369" s="24">
        <f t="shared" si="589"/>
        <v>0</v>
      </c>
      <c r="Q369" s="24">
        <f t="shared" si="590"/>
        <v>207.6</v>
      </c>
      <c r="R369" s="87">
        <v>81</v>
      </c>
      <c r="T369" s="235" t="str">
        <f t="shared" si="523"/>
        <v xml:space="preserve"> </v>
      </c>
    </row>
    <row r="370" spans="1:21" x14ac:dyDescent="0.25">
      <c r="F370" s="11"/>
      <c r="G370" s="11"/>
      <c r="H370" s="11"/>
      <c r="I370" s="11"/>
      <c r="J370" s="11"/>
      <c r="K370" s="11"/>
      <c r="R370" s="88"/>
      <c r="T370" s="235" t="str">
        <f t="shared" si="523"/>
        <v xml:space="preserve"> </v>
      </c>
    </row>
    <row r="371" spans="1:21" ht="30" x14ac:dyDescent="0.25">
      <c r="A371" s="156"/>
      <c r="B371" s="3" t="s">
        <v>208</v>
      </c>
      <c r="C371" s="3" t="s">
        <v>209</v>
      </c>
      <c r="D371" s="4"/>
      <c r="E371" s="15"/>
      <c r="F371" s="10"/>
      <c r="G371" s="10"/>
      <c r="H371" s="10"/>
      <c r="I371" s="10"/>
      <c r="J371" s="10"/>
      <c r="K371" s="10"/>
      <c r="L371" s="23"/>
      <c r="M371" s="23"/>
      <c r="N371" s="23"/>
      <c r="O371" s="23"/>
      <c r="P371" s="23"/>
      <c r="Q371" s="23"/>
      <c r="R371" s="86"/>
      <c r="T371" s="235" t="str">
        <f t="shared" si="523"/>
        <v xml:space="preserve"> </v>
      </c>
    </row>
    <row r="372" spans="1:21" ht="60" x14ac:dyDescent="0.25">
      <c r="A372" s="156">
        <v>54</v>
      </c>
      <c r="B372" s="3" t="s">
        <v>210</v>
      </c>
      <c r="C372" s="3" t="s">
        <v>576</v>
      </c>
      <c r="D372" s="4" t="s">
        <v>32</v>
      </c>
      <c r="E372" s="15"/>
      <c r="F372" s="10"/>
      <c r="G372" s="10"/>
      <c r="H372" s="26">
        <f>VLOOKUP($A372,'Model Inputs'!$A:$C,3,FALSE)</f>
        <v>1.22</v>
      </c>
      <c r="I372" s="10"/>
      <c r="J372" s="10">
        <f>SUBTOTAL(9,J374:J375,J377:J379,J381:J382,J384:J385,J387:J389)</f>
        <v>2118.8739999999998</v>
      </c>
      <c r="K372" s="10"/>
      <c r="L372" s="10">
        <f>ROUNDUP(SUM(L377,L381,L385,L387)/Workhrs,0)</f>
        <v>1</v>
      </c>
      <c r="M372" s="10">
        <f>SUBTOTAL(9,M374:M375,M377:M379,M381:M382,M384:M385,M387:M389)</f>
        <v>337.35</v>
      </c>
      <c r="N372" s="10">
        <f t="shared" ref="N372:Q372" si="591">SUBTOTAL(9,N374:N375,N377:N379,N381:N382,N384:N385,N387:N389)</f>
        <v>1066.5240000000001</v>
      </c>
      <c r="O372" s="10">
        <f t="shared" si="591"/>
        <v>715</v>
      </c>
      <c r="P372" s="10">
        <f t="shared" si="591"/>
        <v>0</v>
      </c>
      <c r="Q372" s="10">
        <f t="shared" si="591"/>
        <v>2118.8739999999998</v>
      </c>
      <c r="R372" s="86"/>
      <c r="T372" s="235" t="str">
        <f t="shared" si="523"/>
        <v xml:space="preserve"> </v>
      </c>
    </row>
    <row r="373" spans="1:21" s="19" customFormat="1" x14ac:dyDescent="0.25">
      <c r="A373" s="159"/>
      <c r="B373" s="28">
        <v>1</v>
      </c>
      <c r="C373" s="29" t="s">
        <v>165</v>
      </c>
      <c r="D373" s="28"/>
      <c r="E373" s="30"/>
      <c r="F373" s="31"/>
      <c r="G373" s="31"/>
      <c r="H373" s="31"/>
      <c r="I373" s="31"/>
      <c r="J373" s="32"/>
      <c r="K373" s="32"/>
      <c r="L373" s="33"/>
      <c r="M373" s="33"/>
      <c r="N373" s="33"/>
      <c r="O373" s="33"/>
      <c r="P373" s="33"/>
      <c r="Q373" s="33"/>
      <c r="R373" s="89"/>
      <c r="T373" s="235" t="str">
        <f t="shared" si="523"/>
        <v xml:space="preserve"> </v>
      </c>
      <c r="U373" s="236"/>
    </row>
    <row r="374" spans="1:21" s="18" customFormat="1" x14ac:dyDescent="0.25">
      <c r="A374" s="157"/>
      <c r="B374" s="6">
        <v>2</v>
      </c>
      <c r="C374" s="9" t="s">
        <v>478</v>
      </c>
      <c r="D374" s="6" t="s">
        <v>32</v>
      </c>
      <c r="E374" s="17" t="str">
        <f>VLOOKUP(C374,Resources!B:G,3,FALSE)</f>
        <v>M</v>
      </c>
      <c r="F374" s="12">
        <v>1</v>
      </c>
      <c r="G374" s="12">
        <v>1</v>
      </c>
      <c r="H374" s="12">
        <f>H372*8</f>
        <v>9.76</v>
      </c>
      <c r="I374" s="12">
        <f>VLOOKUP(C374,Resources!B:G,6,FALSE)</f>
        <v>102.9</v>
      </c>
      <c r="J374" s="21">
        <f t="shared" ref="J374:J375" si="592">(H374/G374)*I374*F374</f>
        <v>1004.3040000000001</v>
      </c>
      <c r="K374" s="21" t="str">
        <f t="shared" ref="K374:K375" si="593">IF(E374="M"," ",L374*F374)</f>
        <v xml:space="preserve"> </v>
      </c>
      <c r="L374" s="24" t="str">
        <f t="shared" ref="L374:L375" si="594">IF(E374="M"," ",H374/G374)</f>
        <v xml:space="preserve"> </v>
      </c>
      <c r="M374" s="24">
        <f t="shared" ref="M374:M375" si="595">IF($E374="L",$J374,0)</f>
        <v>0</v>
      </c>
      <c r="N374" s="24">
        <f t="shared" ref="N374:N375" si="596">IF($E374="M",$J374,0)</f>
        <v>1004.3040000000001</v>
      </c>
      <c r="O374" s="24">
        <f t="shared" ref="O374:O375" si="597">IF($E374="P",$J374,0)</f>
        <v>0</v>
      </c>
      <c r="P374" s="24">
        <f t="shared" ref="P374:P375" si="598">IF($E374="S",$J374,0)</f>
        <v>0</v>
      </c>
      <c r="Q374" s="24">
        <f t="shared" ref="Q374:Q375" si="599">SUM(M374:P374)</f>
        <v>1004.3040000000001</v>
      </c>
      <c r="R374" s="87" t="s">
        <v>541</v>
      </c>
      <c r="T374" s="235" t="str">
        <f t="shared" si="523"/>
        <v xml:space="preserve"> </v>
      </c>
      <c r="U374" s="232"/>
    </row>
    <row r="375" spans="1:21" s="18" customFormat="1" x14ac:dyDescent="0.25">
      <c r="A375" s="157"/>
      <c r="B375" s="6">
        <v>3</v>
      </c>
      <c r="C375" s="9" t="s">
        <v>167</v>
      </c>
      <c r="D375" s="6" t="s">
        <v>100</v>
      </c>
      <c r="E375" s="17" t="str">
        <f>VLOOKUP(C375,Resources!B:G,3,FALSE)</f>
        <v>M</v>
      </c>
      <c r="F375" s="12">
        <v>1</v>
      </c>
      <c r="G375" s="12">
        <v>1</v>
      </c>
      <c r="H375" s="12">
        <f>H372*2</f>
        <v>2.44</v>
      </c>
      <c r="I375" s="12">
        <f>VLOOKUP(C375,Resources!B:G,6,FALSE)</f>
        <v>25.5</v>
      </c>
      <c r="J375" s="21">
        <f t="shared" si="592"/>
        <v>62.22</v>
      </c>
      <c r="K375" s="21" t="str">
        <f t="shared" si="593"/>
        <v xml:space="preserve"> </v>
      </c>
      <c r="L375" s="24" t="str">
        <f t="shared" si="594"/>
        <v xml:space="preserve"> </v>
      </c>
      <c r="M375" s="24">
        <f t="shared" si="595"/>
        <v>0</v>
      </c>
      <c r="N375" s="24">
        <f t="shared" si="596"/>
        <v>62.22</v>
      </c>
      <c r="O375" s="24">
        <f t="shared" si="597"/>
        <v>0</v>
      </c>
      <c r="P375" s="24">
        <f t="shared" si="598"/>
        <v>0</v>
      </c>
      <c r="Q375" s="24">
        <f t="shared" si="599"/>
        <v>62.22</v>
      </c>
      <c r="R375" s="87" t="s">
        <v>542</v>
      </c>
      <c r="T375" s="235" t="str">
        <f t="shared" si="523"/>
        <v>y</v>
      </c>
      <c r="U375" s="232"/>
    </row>
    <row r="376" spans="1:21" s="19" customFormat="1" x14ac:dyDescent="0.25">
      <c r="A376" s="159"/>
      <c r="B376" s="28">
        <v>4</v>
      </c>
      <c r="C376" s="29" t="s">
        <v>168</v>
      </c>
      <c r="D376" s="28"/>
      <c r="E376" s="30"/>
      <c r="F376" s="31"/>
      <c r="G376" s="31"/>
      <c r="H376" s="31"/>
      <c r="I376" s="31"/>
      <c r="J376" s="32"/>
      <c r="K376" s="32"/>
      <c r="L376" s="33"/>
      <c r="M376" s="33"/>
      <c r="N376" s="33"/>
      <c r="O376" s="33"/>
      <c r="P376" s="33"/>
      <c r="Q376" s="33"/>
      <c r="R376" s="89"/>
      <c r="T376" s="235" t="str">
        <f t="shared" si="523"/>
        <v xml:space="preserve"> </v>
      </c>
      <c r="U376" s="236"/>
    </row>
    <row r="377" spans="1:21" s="18" customFormat="1" x14ac:dyDescent="0.25">
      <c r="A377" s="157">
        <v>54.1</v>
      </c>
      <c r="B377" s="6">
        <v>5</v>
      </c>
      <c r="C377" s="9" t="s">
        <v>70</v>
      </c>
      <c r="D377" s="6" t="s">
        <v>26</v>
      </c>
      <c r="E377" s="17" t="str">
        <f>VLOOKUP(C377,Resources!B:G,3,FALSE)</f>
        <v>P</v>
      </c>
      <c r="F377" s="12">
        <v>1</v>
      </c>
      <c r="G377" s="26">
        <f>VLOOKUP($A377,'Model Inputs'!$A:$C,3,FALSE)</f>
        <v>2.44</v>
      </c>
      <c r="H377" s="12">
        <f>H372</f>
        <v>1.22</v>
      </c>
      <c r="I377" s="12">
        <f>VLOOKUP(C377,Resources!B:G,6,FALSE)</f>
        <v>135</v>
      </c>
      <c r="J377" s="21">
        <f t="shared" ref="J377:J379" si="600">(H377/G377)*I377*F377</f>
        <v>67.5</v>
      </c>
      <c r="K377" s="21">
        <f t="shared" ref="K377:K379" si="601">IF(E377="M"," ",L377*F377)</f>
        <v>0.5</v>
      </c>
      <c r="L377" s="24">
        <f t="shared" ref="L377:L379" si="602">IF(E377="M"," ",H377/G377)</f>
        <v>0.5</v>
      </c>
      <c r="M377" s="24">
        <f t="shared" ref="M377:M379" si="603">IF($E377="L",$J377,0)</f>
        <v>0</v>
      </c>
      <c r="N377" s="24">
        <f t="shared" ref="N377:N379" si="604">IF($E377="M",$J377,0)</f>
        <v>0</v>
      </c>
      <c r="O377" s="24">
        <f t="shared" ref="O377:O379" si="605">IF($E377="P",$J377,0)</f>
        <v>67.5</v>
      </c>
      <c r="P377" s="24">
        <f t="shared" ref="P377:P379" si="606">IF($E377="S",$J377,0)</f>
        <v>0</v>
      </c>
      <c r="Q377" s="24">
        <f t="shared" ref="Q377:Q379" si="607">SUM(M377:P377)</f>
        <v>67.5</v>
      </c>
      <c r="R377" s="87">
        <v>81</v>
      </c>
      <c r="T377" s="235" t="str">
        <f t="shared" si="523"/>
        <v xml:space="preserve"> </v>
      </c>
      <c r="U377" s="232"/>
    </row>
    <row r="378" spans="1:21" s="18" customFormat="1" x14ac:dyDescent="0.25">
      <c r="A378" s="157"/>
      <c r="B378" s="6">
        <v>6</v>
      </c>
      <c r="C378" s="9" t="s">
        <v>27</v>
      </c>
      <c r="D378" s="6" t="s">
        <v>26</v>
      </c>
      <c r="E378" s="17" t="str">
        <f>VLOOKUP(C378,Resources!B:G,3,FALSE)</f>
        <v>P</v>
      </c>
      <c r="F378" s="12">
        <v>1</v>
      </c>
      <c r="G378" s="12">
        <f>G377</f>
        <v>2.44</v>
      </c>
      <c r="H378" s="12">
        <f>H377</f>
        <v>1.22</v>
      </c>
      <c r="I378" s="12">
        <f>VLOOKUP(C378,Resources!B:G,6,FALSE)</f>
        <v>90</v>
      </c>
      <c r="J378" s="21">
        <f t="shared" si="600"/>
        <v>45</v>
      </c>
      <c r="K378" s="21">
        <f t="shared" si="601"/>
        <v>0.5</v>
      </c>
      <c r="L378" s="24">
        <f t="shared" si="602"/>
        <v>0.5</v>
      </c>
      <c r="M378" s="24">
        <f t="shared" si="603"/>
        <v>0</v>
      </c>
      <c r="N378" s="24">
        <f t="shared" si="604"/>
        <v>0</v>
      </c>
      <c r="O378" s="24">
        <f t="shared" si="605"/>
        <v>45</v>
      </c>
      <c r="P378" s="24">
        <f t="shared" si="606"/>
        <v>0</v>
      </c>
      <c r="Q378" s="24">
        <f t="shared" si="607"/>
        <v>45</v>
      </c>
      <c r="R378" s="87">
        <v>81</v>
      </c>
      <c r="T378" s="235" t="str">
        <f t="shared" si="523"/>
        <v xml:space="preserve"> </v>
      </c>
      <c r="U378" s="232"/>
    </row>
    <row r="379" spans="1:21" s="18" customFormat="1" x14ac:dyDescent="0.25">
      <c r="A379" s="157"/>
      <c r="B379" s="6">
        <v>7</v>
      </c>
      <c r="C379" s="9" t="s">
        <v>8</v>
      </c>
      <c r="D379" s="6" t="s">
        <v>26</v>
      </c>
      <c r="E379" s="17" t="str">
        <f>VLOOKUP(C379,Resources!B:G,3,FALSE)</f>
        <v>L</v>
      </c>
      <c r="F379" s="12">
        <v>1</v>
      </c>
      <c r="G379" s="12">
        <f>G377</f>
        <v>2.44</v>
      </c>
      <c r="H379" s="12">
        <f>H377</f>
        <v>1.22</v>
      </c>
      <c r="I379" s="12">
        <f>VLOOKUP(C379,Resources!B:G,6,FALSE)</f>
        <v>51.9</v>
      </c>
      <c r="J379" s="21">
        <f t="shared" si="600"/>
        <v>25.95</v>
      </c>
      <c r="K379" s="21">
        <f t="shared" si="601"/>
        <v>0.5</v>
      </c>
      <c r="L379" s="24">
        <f t="shared" si="602"/>
        <v>0.5</v>
      </c>
      <c r="M379" s="24">
        <f t="shared" si="603"/>
        <v>25.95</v>
      </c>
      <c r="N379" s="24">
        <f t="shared" si="604"/>
        <v>0</v>
      </c>
      <c r="O379" s="24">
        <f t="shared" si="605"/>
        <v>0</v>
      </c>
      <c r="P379" s="24">
        <f t="shared" si="606"/>
        <v>0</v>
      </c>
      <c r="Q379" s="24">
        <f t="shared" si="607"/>
        <v>25.95</v>
      </c>
      <c r="R379" s="87">
        <v>81</v>
      </c>
      <c r="T379" s="235" t="str">
        <f t="shared" si="523"/>
        <v xml:space="preserve"> </v>
      </c>
      <c r="U379" s="232"/>
    </row>
    <row r="380" spans="1:21" s="19" customFormat="1" x14ac:dyDescent="0.25">
      <c r="A380" s="159"/>
      <c r="B380" s="28">
        <v>8</v>
      </c>
      <c r="C380" s="29" t="s">
        <v>169</v>
      </c>
      <c r="D380" s="28"/>
      <c r="E380" s="30"/>
      <c r="F380" s="31"/>
      <c r="G380" s="31"/>
      <c r="H380" s="12"/>
      <c r="I380" s="31"/>
      <c r="J380" s="32"/>
      <c r="K380" s="32"/>
      <c r="L380" s="33"/>
      <c r="M380" s="33"/>
      <c r="N380" s="33"/>
      <c r="O380" s="33"/>
      <c r="P380" s="33"/>
      <c r="Q380" s="33"/>
      <c r="R380" s="89"/>
      <c r="T380" s="235" t="str">
        <f t="shared" si="523"/>
        <v xml:space="preserve"> </v>
      </c>
      <c r="U380" s="236"/>
    </row>
    <row r="381" spans="1:21" s="18" customFormat="1" x14ac:dyDescent="0.25">
      <c r="A381" s="157">
        <v>54.2</v>
      </c>
      <c r="B381" s="6">
        <v>9</v>
      </c>
      <c r="C381" s="9" t="s">
        <v>70</v>
      </c>
      <c r="D381" s="6" t="s">
        <v>26</v>
      </c>
      <c r="E381" s="17" t="str">
        <f>VLOOKUP(C381,Resources!B:G,3,FALSE)</f>
        <v>P</v>
      </c>
      <c r="F381" s="12">
        <v>1</v>
      </c>
      <c r="G381" s="26">
        <f>VLOOKUP($A381,'Model Inputs'!$A:$C,3,FALSE)</f>
        <v>1.22</v>
      </c>
      <c r="H381" s="12">
        <f>H372</f>
        <v>1.22</v>
      </c>
      <c r="I381" s="12">
        <f>VLOOKUP(C381,Resources!B:G,6,FALSE)</f>
        <v>135</v>
      </c>
      <c r="J381" s="21">
        <f t="shared" ref="J381:J382" si="608">(H381/G381)*I381*F381</f>
        <v>135</v>
      </c>
      <c r="K381" s="21">
        <f t="shared" ref="K381:K382" si="609">IF(E381="M"," ",L381*F381)</f>
        <v>1</v>
      </c>
      <c r="L381" s="24">
        <f t="shared" ref="L381:L382" si="610">IF(E381="M"," ",H381/G381)</f>
        <v>1</v>
      </c>
      <c r="M381" s="24">
        <f t="shared" ref="M381:M382" si="611">IF($E381="L",$J381,0)</f>
        <v>0</v>
      </c>
      <c r="N381" s="24">
        <f t="shared" ref="N381:N382" si="612">IF($E381="M",$J381,0)</f>
        <v>0</v>
      </c>
      <c r="O381" s="24">
        <f t="shared" ref="O381:O382" si="613">IF($E381="P",$J381,0)</f>
        <v>135</v>
      </c>
      <c r="P381" s="24">
        <f t="shared" ref="P381:P382" si="614">IF($E381="S",$J381,0)</f>
        <v>0</v>
      </c>
      <c r="Q381" s="24">
        <f t="shared" ref="Q381:Q382" si="615">SUM(M381:P381)</f>
        <v>135</v>
      </c>
      <c r="R381" s="87">
        <v>81</v>
      </c>
      <c r="T381" s="235" t="str">
        <f t="shared" si="523"/>
        <v xml:space="preserve"> </v>
      </c>
      <c r="U381" s="232"/>
    </row>
    <row r="382" spans="1:21" s="18" customFormat="1" x14ac:dyDescent="0.25">
      <c r="A382" s="157"/>
      <c r="B382" s="6">
        <v>10</v>
      </c>
      <c r="C382" s="9" t="s">
        <v>28</v>
      </c>
      <c r="D382" s="6" t="s">
        <v>26</v>
      </c>
      <c r="E382" s="17" t="str">
        <f>VLOOKUP(C382,Resources!B:G,3,FALSE)</f>
        <v>P</v>
      </c>
      <c r="F382" s="12">
        <v>1</v>
      </c>
      <c r="G382" s="12">
        <f>G381*2</f>
        <v>2.44</v>
      </c>
      <c r="H382" s="12">
        <f>H372</f>
        <v>1.22</v>
      </c>
      <c r="I382" s="12">
        <f>VLOOKUP(C382,Resources!B:G,6,FALSE)</f>
        <v>95</v>
      </c>
      <c r="J382" s="21">
        <f t="shared" si="608"/>
        <v>47.5</v>
      </c>
      <c r="K382" s="21">
        <f t="shared" si="609"/>
        <v>0.5</v>
      </c>
      <c r="L382" s="24">
        <f t="shared" si="610"/>
        <v>0.5</v>
      </c>
      <c r="M382" s="24">
        <f t="shared" si="611"/>
        <v>0</v>
      </c>
      <c r="N382" s="24">
        <f t="shared" si="612"/>
        <v>0</v>
      </c>
      <c r="O382" s="24">
        <f t="shared" si="613"/>
        <v>47.5</v>
      </c>
      <c r="P382" s="24">
        <f t="shared" si="614"/>
        <v>0</v>
      </c>
      <c r="Q382" s="24">
        <f t="shared" si="615"/>
        <v>47.5</v>
      </c>
      <c r="R382" s="87">
        <v>81</v>
      </c>
      <c r="T382" s="235" t="str">
        <f t="shared" si="523"/>
        <v xml:space="preserve"> </v>
      </c>
      <c r="U382" s="232"/>
    </row>
    <row r="383" spans="1:21" s="19" customFormat="1" x14ac:dyDescent="0.25">
      <c r="A383" s="159"/>
      <c r="B383" s="28">
        <v>11</v>
      </c>
      <c r="C383" s="29" t="s">
        <v>170</v>
      </c>
      <c r="D383" s="28"/>
      <c r="E383" s="30"/>
      <c r="F383" s="31"/>
      <c r="G383" s="31"/>
      <c r="H383" s="12"/>
      <c r="I383" s="31"/>
      <c r="J383" s="32"/>
      <c r="K383" s="32"/>
      <c r="L383" s="33"/>
      <c r="M383" s="33"/>
      <c r="N383" s="33"/>
      <c r="O383" s="33"/>
      <c r="P383" s="33"/>
      <c r="Q383" s="33"/>
      <c r="R383" s="89"/>
      <c r="T383" s="235" t="str">
        <f t="shared" si="523"/>
        <v xml:space="preserve"> </v>
      </c>
      <c r="U383" s="236"/>
    </row>
    <row r="384" spans="1:21" s="18" customFormat="1" x14ac:dyDescent="0.25">
      <c r="A384" s="157">
        <v>54.3</v>
      </c>
      <c r="B384" s="6">
        <v>12</v>
      </c>
      <c r="C384" s="9" t="s">
        <v>70</v>
      </c>
      <c r="D384" s="6" t="s">
        <v>26</v>
      </c>
      <c r="E384" s="17" t="str">
        <f>VLOOKUP(C384,Resources!B:G,3,FALSE)</f>
        <v>P</v>
      </c>
      <c r="F384" s="12">
        <v>1</v>
      </c>
      <c r="G384" s="26">
        <f>VLOOKUP($A384,'Model Inputs'!$A:$C,3,FALSE)</f>
        <v>1.22</v>
      </c>
      <c r="H384" s="12">
        <f>H372</f>
        <v>1.22</v>
      </c>
      <c r="I384" s="12">
        <f>VLOOKUP(C384,Resources!B:G,6,FALSE)</f>
        <v>135</v>
      </c>
      <c r="J384" s="21">
        <f t="shared" ref="J384:J385" si="616">(H384/G384)*I384*F384</f>
        <v>135</v>
      </c>
      <c r="K384" s="21">
        <f t="shared" ref="K384:K385" si="617">IF(E384="M"," ",L384*F384)</f>
        <v>1</v>
      </c>
      <c r="L384" s="24">
        <f t="shared" ref="L384:L385" si="618">IF(E384="M"," ",H384/G384)</f>
        <v>1</v>
      </c>
      <c r="M384" s="24">
        <f t="shared" ref="M384:M385" si="619">IF($E384="L",$J384,0)</f>
        <v>0</v>
      </c>
      <c r="N384" s="24">
        <f t="shared" ref="N384:N385" si="620">IF($E384="M",$J384,0)</f>
        <v>0</v>
      </c>
      <c r="O384" s="24">
        <f t="shared" ref="O384:O385" si="621">IF($E384="P",$J384,0)</f>
        <v>135</v>
      </c>
      <c r="P384" s="24">
        <f t="shared" ref="P384:P385" si="622">IF($E384="S",$J384,0)</f>
        <v>0</v>
      </c>
      <c r="Q384" s="24">
        <f t="shared" ref="Q384:Q385" si="623">SUM(M384:P384)</f>
        <v>135</v>
      </c>
      <c r="R384" s="87">
        <v>81</v>
      </c>
      <c r="T384" s="235" t="str">
        <f t="shared" si="523"/>
        <v xml:space="preserve"> </v>
      </c>
      <c r="U384" s="232"/>
    </row>
    <row r="385" spans="1:21" s="18" customFormat="1" x14ac:dyDescent="0.25">
      <c r="A385" s="157"/>
      <c r="B385" s="6">
        <v>13</v>
      </c>
      <c r="C385" s="9" t="s">
        <v>8</v>
      </c>
      <c r="D385" s="6" t="s">
        <v>26</v>
      </c>
      <c r="E385" s="17" t="str">
        <f>VLOOKUP(C385,Resources!B:G,3,FALSE)</f>
        <v>L</v>
      </c>
      <c r="F385" s="12">
        <v>1</v>
      </c>
      <c r="G385" s="12">
        <f>G384/2</f>
        <v>0.61</v>
      </c>
      <c r="H385" s="12">
        <f>H372</f>
        <v>1.22</v>
      </c>
      <c r="I385" s="12">
        <f>VLOOKUP(C385,Resources!B:G,6,FALSE)</f>
        <v>51.9</v>
      </c>
      <c r="J385" s="21">
        <f t="shared" si="616"/>
        <v>103.8</v>
      </c>
      <c r="K385" s="21">
        <f t="shared" si="617"/>
        <v>2</v>
      </c>
      <c r="L385" s="24">
        <f t="shared" si="618"/>
        <v>2</v>
      </c>
      <c r="M385" s="24">
        <f t="shared" si="619"/>
        <v>103.8</v>
      </c>
      <c r="N385" s="24">
        <f t="shared" si="620"/>
        <v>0</v>
      </c>
      <c r="O385" s="24">
        <f t="shared" si="621"/>
        <v>0</v>
      </c>
      <c r="P385" s="24">
        <f t="shared" si="622"/>
        <v>0</v>
      </c>
      <c r="Q385" s="24">
        <f t="shared" si="623"/>
        <v>103.8</v>
      </c>
      <c r="R385" s="87">
        <v>81</v>
      </c>
      <c r="T385" s="235" t="str">
        <f t="shared" si="523"/>
        <v xml:space="preserve"> </v>
      </c>
      <c r="U385" s="232"/>
    </row>
    <row r="386" spans="1:21" s="19" customFormat="1" x14ac:dyDescent="0.25">
      <c r="A386" s="159"/>
      <c r="B386" s="28">
        <v>14</v>
      </c>
      <c r="C386" s="29" t="s">
        <v>171</v>
      </c>
      <c r="D386" s="28"/>
      <c r="E386" s="30"/>
      <c r="F386" s="31"/>
      <c r="G386" s="31"/>
      <c r="H386" s="12"/>
      <c r="I386" s="31"/>
      <c r="J386" s="32"/>
      <c r="K386" s="32"/>
      <c r="L386" s="33"/>
      <c r="M386" s="33"/>
      <c r="N386" s="33"/>
      <c r="O386" s="33"/>
      <c r="P386" s="33"/>
      <c r="Q386" s="33"/>
      <c r="R386" s="89"/>
      <c r="T386" s="235" t="str">
        <f t="shared" si="523"/>
        <v xml:space="preserve"> </v>
      </c>
      <c r="U386" s="236"/>
    </row>
    <row r="387" spans="1:21" s="18" customFormat="1" x14ac:dyDescent="0.25">
      <c r="A387" s="157">
        <v>54.4</v>
      </c>
      <c r="B387" s="6">
        <v>15</v>
      </c>
      <c r="C387" s="9" t="s">
        <v>8</v>
      </c>
      <c r="D387" s="6" t="s">
        <v>26</v>
      </c>
      <c r="E387" s="17" t="str">
        <f>VLOOKUP(C387,Resources!B:G,3,FALSE)</f>
        <v>L</v>
      </c>
      <c r="F387" s="12">
        <v>1</v>
      </c>
      <c r="G387" s="26">
        <f>VLOOKUP($A387,'Model Inputs'!$A:$C,3,FALSE)</f>
        <v>0.30499999999999999</v>
      </c>
      <c r="H387" s="12">
        <f>H372</f>
        <v>1.22</v>
      </c>
      <c r="I387" s="12">
        <f>VLOOKUP(C387,Resources!B:G,6,FALSE)</f>
        <v>51.9</v>
      </c>
      <c r="J387" s="21">
        <f t="shared" ref="J387:J389" si="624">(H387/G387)*I387*F387</f>
        <v>207.6</v>
      </c>
      <c r="K387" s="21">
        <f t="shared" ref="K387:K389" si="625">IF(E387="M"," ",L387*F387)</f>
        <v>4</v>
      </c>
      <c r="L387" s="24">
        <f t="shared" ref="L387:L389" si="626">IF(E387="M"," ",H387/G387)</f>
        <v>4</v>
      </c>
      <c r="M387" s="24">
        <f t="shared" ref="M387:M389" si="627">IF($E387="L",$J387,0)</f>
        <v>207.6</v>
      </c>
      <c r="N387" s="24">
        <f t="shared" ref="N387:N389" si="628">IF($E387="M",$J387,0)</f>
        <v>0</v>
      </c>
      <c r="O387" s="24">
        <f t="shared" ref="O387:O389" si="629">IF($E387="P",$J387,0)</f>
        <v>0</v>
      </c>
      <c r="P387" s="24">
        <f t="shared" ref="P387:P389" si="630">IF($E387="S",$J387,0)</f>
        <v>0</v>
      </c>
      <c r="Q387" s="24">
        <f t="shared" ref="Q387:Q389" si="631">SUM(M387:P387)</f>
        <v>207.6</v>
      </c>
      <c r="R387" s="87">
        <v>81</v>
      </c>
      <c r="T387" s="235" t="str">
        <f t="shared" si="523"/>
        <v xml:space="preserve"> </v>
      </c>
      <c r="U387" s="232"/>
    </row>
    <row r="388" spans="1:21" s="18" customFormat="1" x14ac:dyDescent="0.25">
      <c r="A388" s="157"/>
      <c r="B388" s="6">
        <v>16</v>
      </c>
      <c r="C388" s="9" t="s">
        <v>82</v>
      </c>
      <c r="D388" s="6" t="s">
        <v>26</v>
      </c>
      <c r="E388" s="17" t="str">
        <f>VLOOKUP(C388,Resources!B:G,3,FALSE)</f>
        <v>P</v>
      </c>
      <c r="F388" s="12">
        <v>1</v>
      </c>
      <c r="G388" s="12">
        <f>G387*2</f>
        <v>0.61</v>
      </c>
      <c r="H388" s="12">
        <f>H372</f>
        <v>1.22</v>
      </c>
      <c r="I388" s="12">
        <f>VLOOKUP(C388,Resources!B:G,6,FALSE)</f>
        <v>95</v>
      </c>
      <c r="J388" s="21">
        <f t="shared" si="624"/>
        <v>190</v>
      </c>
      <c r="K388" s="21">
        <f t="shared" si="625"/>
        <v>2</v>
      </c>
      <c r="L388" s="24">
        <f t="shared" si="626"/>
        <v>2</v>
      </c>
      <c r="M388" s="24">
        <f t="shared" si="627"/>
        <v>0</v>
      </c>
      <c r="N388" s="24">
        <f t="shared" si="628"/>
        <v>0</v>
      </c>
      <c r="O388" s="24">
        <f t="shared" si="629"/>
        <v>190</v>
      </c>
      <c r="P388" s="24">
        <f t="shared" si="630"/>
        <v>0</v>
      </c>
      <c r="Q388" s="24">
        <f t="shared" si="631"/>
        <v>190</v>
      </c>
      <c r="R388" s="87">
        <v>81</v>
      </c>
      <c r="T388" s="235" t="str">
        <f t="shared" si="523"/>
        <v xml:space="preserve"> </v>
      </c>
      <c r="U388" s="232"/>
    </row>
    <row r="389" spans="1:21" s="18" customFormat="1" x14ac:dyDescent="0.25">
      <c r="A389" s="157"/>
      <c r="B389" s="6">
        <v>17</v>
      </c>
      <c r="C389" s="9" t="s">
        <v>28</v>
      </c>
      <c r="D389" s="6" t="s">
        <v>26</v>
      </c>
      <c r="E389" s="17" t="str">
        <f>VLOOKUP(C389,Resources!B:G,3,FALSE)</f>
        <v>P</v>
      </c>
      <c r="F389" s="12">
        <v>1</v>
      </c>
      <c r="G389" s="12">
        <f>G387*4</f>
        <v>1.22</v>
      </c>
      <c r="H389" s="12">
        <f>H372</f>
        <v>1.22</v>
      </c>
      <c r="I389" s="12">
        <f>VLOOKUP(C389,Resources!B:G,6,FALSE)</f>
        <v>95</v>
      </c>
      <c r="J389" s="21">
        <f t="shared" si="624"/>
        <v>95</v>
      </c>
      <c r="K389" s="21">
        <f t="shared" si="625"/>
        <v>1</v>
      </c>
      <c r="L389" s="24">
        <f t="shared" si="626"/>
        <v>1</v>
      </c>
      <c r="M389" s="24">
        <f t="shared" si="627"/>
        <v>0</v>
      </c>
      <c r="N389" s="24">
        <f t="shared" si="628"/>
        <v>0</v>
      </c>
      <c r="O389" s="24">
        <f t="shared" si="629"/>
        <v>95</v>
      </c>
      <c r="P389" s="24">
        <f t="shared" si="630"/>
        <v>0</v>
      </c>
      <c r="Q389" s="24">
        <f t="shared" si="631"/>
        <v>95</v>
      </c>
      <c r="R389" s="87">
        <v>81</v>
      </c>
      <c r="T389" s="235" t="str">
        <f t="shared" si="523"/>
        <v xml:space="preserve"> </v>
      </c>
      <c r="U389" s="232"/>
    </row>
    <row r="390" spans="1:21" x14ac:dyDescent="0.25">
      <c r="F390" s="11"/>
      <c r="G390" s="11"/>
      <c r="H390" s="11"/>
      <c r="I390" s="11"/>
      <c r="J390" s="11"/>
      <c r="K390" s="11"/>
      <c r="R390" s="88"/>
      <c r="T390" s="235" t="str">
        <f t="shared" si="523"/>
        <v xml:space="preserve"> </v>
      </c>
    </row>
    <row r="391" spans="1:21" ht="30" x14ac:dyDescent="0.25">
      <c r="A391" s="156">
        <v>55</v>
      </c>
      <c r="B391" s="3" t="s">
        <v>211</v>
      </c>
      <c r="C391" s="3" t="s">
        <v>212</v>
      </c>
      <c r="D391" s="4" t="s">
        <v>145</v>
      </c>
      <c r="E391" s="15"/>
      <c r="F391" s="10"/>
      <c r="G391" s="10"/>
      <c r="H391" s="26">
        <f>VLOOKUP($A391,'Model Inputs'!$A:$C,3,FALSE)</f>
        <v>1</v>
      </c>
      <c r="I391" s="10"/>
      <c r="J391" s="10">
        <f>SUBTOTAL(9,J392:J396)</f>
        <v>2338.85</v>
      </c>
      <c r="K391" s="10"/>
      <c r="L391" s="10">
        <f>ROUNDUP(MAX(L392:L396)/Workhrs,0)</f>
        <v>1</v>
      </c>
      <c r="M391" s="10">
        <f>SUBTOTAL(9,M392:M396)</f>
        <v>1245.5999999999999</v>
      </c>
      <c r="N391" s="10">
        <f t="shared" ref="N391:Q391" si="632">SUBTOTAL(9,N392:N396)</f>
        <v>553.25</v>
      </c>
      <c r="O391" s="10">
        <f t="shared" si="632"/>
        <v>540</v>
      </c>
      <c r="P391" s="10">
        <f t="shared" si="632"/>
        <v>0</v>
      </c>
      <c r="Q391" s="10">
        <f t="shared" si="632"/>
        <v>2338.85</v>
      </c>
      <c r="R391" s="86"/>
      <c r="T391" s="235" t="str">
        <f t="shared" si="523"/>
        <v xml:space="preserve"> </v>
      </c>
    </row>
    <row r="392" spans="1:21" x14ac:dyDescent="0.25">
      <c r="A392" s="157"/>
      <c r="B392" s="6">
        <v>1</v>
      </c>
      <c r="C392" s="9" t="s">
        <v>194</v>
      </c>
      <c r="D392" s="6" t="s">
        <v>180</v>
      </c>
      <c r="E392" s="17" t="str">
        <f>VLOOKUP(C392,Resources!B:G,3,FALSE)</f>
        <v>M</v>
      </c>
      <c r="F392" s="12">
        <v>1</v>
      </c>
      <c r="G392" s="12">
        <v>1</v>
      </c>
      <c r="H392" s="12">
        <f>H391*1.21</f>
        <v>1.21</v>
      </c>
      <c r="I392" s="12">
        <f>VLOOKUP(C392,Resources!B:G,6,FALSE)</f>
        <v>325</v>
      </c>
      <c r="J392" s="21">
        <f t="shared" ref="J392:J396" si="633">(H392/G392)*I392*F392</f>
        <v>393.25</v>
      </c>
      <c r="K392" s="21" t="str">
        <f t="shared" ref="K392:K396" si="634">IF(E392="M"," ",L392*F392)</f>
        <v xml:space="preserve"> </v>
      </c>
      <c r="L392" s="24" t="str">
        <f t="shared" ref="L392:L396" si="635">IF(E392="M"," ",H392/G392)</f>
        <v xml:space="preserve"> </v>
      </c>
      <c r="M392" s="24">
        <f t="shared" ref="M392:M396" si="636">IF($E392="L",$J392,0)</f>
        <v>0</v>
      </c>
      <c r="N392" s="24">
        <f t="shared" ref="N392:N396" si="637">IF($E392="M",$J392,0)</f>
        <v>393.25</v>
      </c>
      <c r="O392" s="24">
        <f t="shared" ref="O392:O396" si="638">IF($E392="P",$J392,0)</f>
        <v>0</v>
      </c>
      <c r="P392" s="24">
        <f t="shared" ref="P392:P396" si="639">IF($E392="S",$J392,0)</f>
        <v>0</v>
      </c>
      <c r="Q392" s="24">
        <f t="shared" ref="Q392:Q396" si="640">SUM(M392:P392)</f>
        <v>393.25</v>
      </c>
      <c r="R392" s="87" t="s">
        <v>543</v>
      </c>
      <c r="T392" s="235" t="str">
        <f t="shared" ref="T392:T455" si="641">IF(R392=$U$7,"y"," ")</f>
        <v xml:space="preserve"> </v>
      </c>
    </row>
    <row r="393" spans="1:21" x14ac:dyDescent="0.25">
      <c r="A393" s="157"/>
      <c r="B393" s="6">
        <v>2</v>
      </c>
      <c r="C393" s="9" t="s">
        <v>181</v>
      </c>
      <c r="D393" s="6" t="s">
        <v>109</v>
      </c>
      <c r="E393" s="17" t="str">
        <f>VLOOKUP(C393,Resources!B:G,3,FALSE)</f>
        <v>M</v>
      </c>
      <c r="F393" s="12">
        <v>1</v>
      </c>
      <c r="G393" s="12">
        <v>1</v>
      </c>
      <c r="H393" s="12">
        <f>H391*6</f>
        <v>6</v>
      </c>
      <c r="I393" s="12">
        <f>VLOOKUP(C393,Resources!B:G,6,FALSE)</f>
        <v>10</v>
      </c>
      <c r="J393" s="21">
        <f t="shared" si="633"/>
        <v>60</v>
      </c>
      <c r="K393" s="21" t="str">
        <f t="shared" si="634"/>
        <v xml:space="preserve"> </v>
      </c>
      <c r="L393" s="24" t="str">
        <f t="shared" si="635"/>
        <v xml:space="preserve"> </v>
      </c>
      <c r="M393" s="24">
        <f t="shared" si="636"/>
        <v>0</v>
      </c>
      <c r="N393" s="24">
        <f t="shared" si="637"/>
        <v>60</v>
      </c>
      <c r="O393" s="24">
        <f t="shared" si="638"/>
        <v>0</v>
      </c>
      <c r="P393" s="24">
        <f t="shared" si="639"/>
        <v>0</v>
      </c>
      <c r="Q393" s="24">
        <f t="shared" si="640"/>
        <v>60</v>
      </c>
      <c r="R393" s="87">
        <v>72</v>
      </c>
      <c r="T393" s="235" t="str">
        <f t="shared" si="641"/>
        <v xml:space="preserve"> </v>
      </c>
    </row>
    <row r="394" spans="1:21" x14ac:dyDescent="0.25">
      <c r="A394" s="157"/>
      <c r="B394" s="6">
        <v>3</v>
      </c>
      <c r="C394" s="9" t="s">
        <v>182</v>
      </c>
      <c r="D394" s="6" t="s">
        <v>32</v>
      </c>
      <c r="E394" s="17" t="str">
        <f>VLOOKUP(C394,Resources!B:G,3,FALSE)</f>
        <v>M</v>
      </c>
      <c r="F394" s="12">
        <v>1</v>
      </c>
      <c r="G394" s="12">
        <v>1</v>
      </c>
      <c r="H394" s="12">
        <f>H391*20</f>
        <v>20</v>
      </c>
      <c r="I394" s="12">
        <f>VLOOKUP(C394,Resources!B:G,6,FALSE)</f>
        <v>5</v>
      </c>
      <c r="J394" s="21">
        <f t="shared" si="633"/>
        <v>100</v>
      </c>
      <c r="K394" s="21" t="str">
        <f t="shared" si="634"/>
        <v xml:space="preserve"> </v>
      </c>
      <c r="L394" s="24" t="str">
        <f t="shared" si="635"/>
        <v xml:space="preserve"> </v>
      </c>
      <c r="M394" s="24">
        <f t="shared" si="636"/>
        <v>0</v>
      </c>
      <c r="N394" s="24">
        <f t="shared" si="637"/>
        <v>100</v>
      </c>
      <c r="O394" s="24">
        <f t="shared" si="638"/>
        <v>0</v>
      </c>
      <c r="P394" s="24">
        <f t="shared" si="639"/>
        <v>0</v>
      </c>
      <c r="Q394" s="24">
        <f t="shared" si="640"/>
        <v>100</v>
      </c>
      <c r="R394" s="87">
        <v>72</v>
      </c>
      <c r="T394" s="235" t="str">
        <f t="shared" si="641"/>
        <v xml:space="preserve"> </v>
      </c>
    </row>
    <row r="395" spans="1:21" x14ac:dyDescent="0.25">
      <c r="A395" s="157">
        <v>55.1</v>
      </c>
      <c r="B395" s="6">
        <v>4</v>
      </c>
      <c r="C395" s="9" t="s">
        <v>8</v>
      </c>
      <c r="D395" s="6" t="s">
        <v>26</v>
      </c>
      <c r="E395" s="17" t="str">
        <f>VLOOKUP(C395,Resources!B:G,3,FALSE)</f>
        <v>L</v>
      </c>
      <c r="F395" s="12">
        <v>3</v>
      </c>
      <c r="G395" s="26">
        <f>VLOOKUP($A395,'Model Inputs'!$A:$C,3,FALSE)</f>
        <v>0.125</v>
      </c>
      <c r="H395" s="12">
        <v>1</v>
      </c>
      <c r="I395" s="12">
        <f>VLOOKUP(C395,Resources!B:G,6,FALSE)</f>
        <v>51.9</v>
      </c>
      <c r="J395" s="21">
        <f t="shared" si="633"/>
        <v>1245.5999999999999</v>
      </c>
      <c r="K395" s="21">
        <f t="shared" si="634"/>
        <v>24</v>
      </c>
      <c r="L395" s="24">
        <f t="shared" si="635"/>
        <v>8</v>
      </c>
      <c r="M395" s="24">
        <f t="shared" si="636"/>
        <v>1245.5999999999999</v>
      </c>
      <c r="N395" s="24">
        <f t="shared" si="637"/>
        <v>0</v>
      </c>
      <c r="O395" s="24">
        <f t="shared" si="638"/>
        <v>0</v>
      </c>
      <c r="P395" s="24">
        <f t="shared" si="639"/>
        <v>0</v>
      </c>
      <c r="Q395" s="24">
        <f t="shared" si="640"/>
        <v>1245.5999999999999</v>
      </c>
      <c r="R395" s="87">
        <v>72</v>
      </c>
      <c r="T395" s="235" t="str">
        <f t="shared" si="641"/>
        <v xml:space="preserve"> </v>
      </c>
    </row>
    <row r="396" spans="1:21" x14ac:dyDescent="0.25">
      <c r="A396" s="157"/>
      <c r="B396" s="6">
        <v>5</v>
      </c>
      <c r="C396" s="9" t="s">
        <v>70</v>
      </c>
      <c r="D396" s="6" t="s">
        <v>26</v>
      </c>
      <c r="E396" s="17" t="str">
        <f>VLOOKUP(C396,Resources!B:G,3,FALSE)</f>
        <v>P</v>
      </c>
      <c r="F396" s="12">
        <v>1</v>
      </c>
      <c r="G396" s="12">
        <f>G395*2</f>
        <v>0.25</v>
      </c>
      <c r="H396" s="12">
        <v>1</v>
      </c>
      <c r="I396" s="12">
        <f>VLOOKUP(C396,Resources!B:G,6,FALSE)</f>
        <v>135</v>
      </c>
      <c r="J396" s="21">
        <f t="shared" si="633"/>
        <v>540</v>
      </c>
      <c r="K396" s="21">
        <f t="shared" si="634"/>
        <v>4</v>
      </c>
      <c r="L396" s="24">
        <f t="shared" si="635"/>
        <v>4</v>
      </c>
      <c r="M396" s="24">
        <f t="shared" si="636"/>
        <v>0</v>
      </c>
      <c r="N396" s="24">
        <f t="shared" si="637"/>
        <v>0</v>
      </c>
      <c r="O396" s="24">
        <f t="shared" si="638"/>
        <v>540</v>
      </c>
      <c r="P396" s="24">
        <f t="shared" si="639"/>
        <v>0</v>
      </c>
      <c r="Q396" s="24">
        <f t="shared" si="640"/>
        <v>540</v>
      </c>
      <c r="R396" s="87">
        <v>72</v>
      </c>
      <c r="T396" s="235" t="str">
        <f t="shared" si="641"/>
        <v xml:space="preserve"> </v>
      </c>
    </row>
    <row r="397" spans="1:21" x14ac:dyDescent="0.25">
      <c r="F397" s="11"/>
      <c r="G397" s="11"/>
      <c r="H397" s="11"/>
      <c r="I397" s="11"/>
      <c r="J397" s="11"/>
      <c r="K397" s="11"/>
      <c r="R397" s="88"/>
      <c r="T397" s="235" t="str">
        <f t="shared" si="641"/>
        <v xml:space="preserve"> </v>
      </c>
    </row>
    <row r="398" spans="1:21" ht="30" x14ac:dyDescent="0.25">
      <c r="A398" s="156"/>
      <c r="B398" s="3" t="s">
        <v>213</v>
      </c>
      <c r="C398" s="3" t="s">
        <v>214</v>
      </c>
      <c r="D398" s="4"/>
      <c r="E398" s="15"/>
      <c r="F398" s="10"/>
      <c r="G398" s="10"/>
      <c r="H398" s="10"/>
      <c r="I398" s="10"/>
      <c r="J398" s="10"/>
      <c r="K398" s="10"/>
      <c r="L398" s="23"/>
      <c r="M398" s="23"/>
      <c r="N398" s="23"/>
      <c r="O398" s="23"/>
      <c r="P398" s="23"/>
      <c r="Q398" s="23"/>
      <c r="R398" s="86"/>
      <c r="T398" s="235" t="str">
        <f t="shared" si="641"/>
        <v xml:space="preserve"> </v>
      </c>
    </row>
    <row r="399" spans="1:21" ht="75" x14ac:dyDescent="0.25">
      <c r="A399" s="156">
        <v>56</v>
      </c>
      <c r="B399" s="3" t="s">
        <v>215</v>
      </c>
      <c r="C399" s="3" t="s">
        <v>577</v>
      </c>
      <c r="D399" s="4" t="s">
        <v>32</v>
      </c>
      <c r="E399" s="15"/>
      <c r="F399" s="10"/>
      <c r="G399" s="10"/>
      <c r="H399" s="26">
        <f>VLOOKUP($A399,'Model Inputs'!$A:$C,3,FALSE)</f>
        <v>1.22</v>
      </c>
      <c r="I399" s="10"/>
      <c r="J399" s="10">
        <f>SUBTOTAL(9,J401:J402,J404:J406,J408:J409,J411:J412,J414:J416)</f>
        <v>2078.3919999999998</v>
      </c>
      <c r="K399" s="10"/>
      <c r="L399" s="10">
        <f>ROUNDUP(SUM(L404,L408,L411,L414)/Workhrs,0)</f>
        <v>1</v>
      </c>
      <c r="M399" s="10">
        <f>SUBTOTAL(9,M401:M402,M404:M406,M408:M409,M411:M412,M414:M416)</f>
        <v>296.86799999999999</v>
      </c>
      <c r="N399" s="10">
        <f t="shared" ref="N399:Q399" si="642">SUBTOTAL(9,N401:N402,N404:N406,N408:N409,N411:N412,N414:N416)</f>
        <v>1066.5240000000001</v>
      </c>
      <c r="O399" s="10">
        <f t="shared" si="642"/>
        <v>715</v>
      </c>
      <c r="P399" s="10">
        <f t="shared" si="642"/>
        <v>0</v>
      </c>
      <c r="Q399" s="10">
        <f t="shared" si="642"/>
        <v>2078.3919999999998</v>
      </c>
      <c r="R399" s="86"/>
      <c r="T399" s="235" t="str">
        <f t="shared" si="641"/>
        <v xml:space="preserve"> </v>
      </c>
    </row>
    <row r="400" spans="1:21" s="19" customFormat="1" x14ac:dyDescent="0.25">
      <c r="A400" s="159"/>
      <c r="B400" s="28">
        <v>1</v>
      </c>
      <c r="C400" s="29" t="s">
        <v>165</v>
      </c>
      <c r="D400" s="28"/>
      <c r="E400" s="30"/>
      <c r="F400" s="31"/>
      <c r="G400" s="31"/>
      <c r="H400" s="31"/>
      <c r="I400" s="31"/>
      <c r="J400" s="32"/>
      <c r="K400" s="32"/>
      <c r="L400" s="33"/>
      <c r="M400" s="33"/>
      <c r="N400" s="33"/>
      <c r="O400" s="33"/>
      <c r="P400" s="33"/>
      <c r="Q400" s="33"/>
      <c r="R400" s="89"/>
      <c r="T400" s="235" t="str">
        <f t="shared" si="641"/>
        <v xml:space="preserve"> </v>
      </c>
      <c r="U400" s="236"/>
    </row>
    <row r="401" spans="1:21" s="18" customFormat="1" x14ac:dyDescent="0.25">
      <c r="A401" s="157"/>
      <c r="B401" s="6">
        <v>2</v>
      </c>
      <c r="C401" s="9" t="s">
        <v>478</v>
      </c>
      <c r="D401" s="6" t="s">
        <v>32</v>
      </c>
      <c r="E401" s="17" t="str">
        <f>VLOOKUP(C401,Resources!B:G,3,FALSE)</f>
        <v>M</v>
      </c>
      <c r="F401" s="12">
        <v>1</v>
      </c>
      <c r="G401" s="12">
        <v>1</v>
      </c>
      <c r="H401" s="12">
        <f>H399*8</f>
        <v>9.76</v>
      </c>
      <c r="I401" s="12">
        <f>VLOOKUP(C401,Resources!B:G,6,FALSE)</f>
        <v>102.9</v>
      </c>
      <c r="J401" s="21">
        <f t="shared" ref="J401:J402" si="643">(H401/G401)*I401*F401</f>
        <v>1004.3040000000001</v>
      </c>
      <c r="K401" s="21" t="str">
        <f t="shared" ref="K401:K402" si="644">IF(E401="M"," ",L401*F401)</f>
        <v xml:space="preserve"> </v>
      </c>
      <c r="L401" s="24" t="str">
        <f t="shared" ref="L401:L402" si="645">IF(E401="M"," ",H401/G401)</f>
        <v xml:space="preserve"> </v>
      </c>
      <c r="M401" s="24">
        <f t="shared" ref="M401:M402" si="646">IF($E401="L",$J401,0)</f>
        <v>0</v>
      </c>
      <c r="N401" s="24">
        <f t="shared" ref="N401:N402" si="647">IF($E401="M",$J401,0)</f>
        <v>1004.3040000000001</v>
      </c>
      <c r="O401" s="24">
        <f t="shared" ref="O401:O402" si="648">IF($E401="P",$J401,0)</f>
        <v>0</v>
      </c>
      <c r="P401" s="24">
        <f t="shared" ref="P401:P402" si="649">IF($E401="S",$J401,0)</f>
        <v>0</v>
      </c>
      <c r="Q401" s="24">
        <f t="shared" ref="Q401:Q402" si="650">SUM(M401:P401)</f>
        <v>1004.3040000000001</v>
      </c>
      <c r="R401" s="87" t="s">
        <v>541</v>
      </c>
      <c r="T401" s="235" t="str">
        <f t="shared" si="641"/>
        <v xml:space="preserve"> </v>
      </c>
      <c r="U401" s="232"/>
    </row>
    <row r="402" spans="1:21" s="18" customFormat="1" x14ac:dyDescent="0.25">
      <c r="A402" s="157"/>
      <c r="B402" s="6">
        <v>3</v>
      </c>
      <c r="C402" s="9" t="s">
        <v>167</v>
      </c>
      <c r="D402" s="6" t="s">
        <v>100</v>
      </c>
      <c r="E402" s="17" t="str">
        <f>VLOOKUP(C402,Resources!B:G,3,FALSE)</f>
        <v>M</v>
      </c>
      <c r="F402" s="12">
        <v>1</v>
      </c>
      <c r="G402" s="12">
        <v>1</v>
      </c>
      <c r="H402" s="12">
        <f>H399*2</f>
        <v>2.44</v>
      </c>
      <c r="I402" s="12">
        <f>VLOOKUP(C402,Resources!B:G,6,FALSE)</f>
        <v>25.5</v>
      </c>
      <c r="J402" s="21">
        <f t="shared" si="643"/>
        <v>62.22</v>
      </c>
      <c r="K402" s="21" t="str">
        <f t="shared" si="644"/>
        <v xml:space="preserve"> </v>
      </c>
      <c r="L402" s="24" t="str">
        <f t="shared" si="645"/>
        <v xml:space="preserve"> </v>
      </c>
      <c r="M402" s="24">
        <f t="shared" si="646"/>
        <v>0</v>
      </c>
      <c r="N402" s="24">
        <f t="shared" si="647"/>
        <v>62.22</v>
      </c>
      <c r="O402" s="24">
        <f t="shared" si="648"/>
        <v>0</v>
      </c>
      <c r="P402" s="24">
        <f t="shared" si="649"/>
        <v>0</v>
      </c>
      <c r="Q402" s="24">
        <f t="shared" si="650"/>
        <v>62.22</v>
      </c>
      <c r="R402" s="87" t="s">
        <v>542</v>
      </c>
      <c r="T402" s="235" t="str">
        <f t="shared" si="641"/>
        <v>y</v>
      </c>
      <c r="U402" s="232"/>
    </row>
    <row r="403" spans="1:21" s="19" customFormat="1" x14ac:dyDescent="0.25">
      <c r="A403" s="159"/>
      <c r="B403" s="28">
        <v>4</v>
      </c>
      <c r="C403" s="29" t="s">
        <v>168</v>
      </c>
      <c r="D403" s="28"/>
      <c r="E403" s="30"/>
      <c r="F403" s="31"/>
      <c r="G403" s="31"/>
      <c r="H403" s="31"/>
      <c r="I403" s="31"/>
      <c r="J403" s="32"/>
      <c r="K403" s="32"/>
      <c r="L403" s="33"/>
      <c r="M403" s="33"/>
      <c r="N403" s="33"/>
      <c r="O403" s="33"/>
      <c r="P403" s="33"/>
      <c r="Q403" s="33"/>
      <c r="R403" s="89"/>
      <c r="T403" s="235" t="str">
        <f t="shared" si="641"/>
        <v xml:space="preserve"> </v>
      </c>
      <c r="U403" s="236"/>
    </row>
    <row r="404" spans="1:21" s="18" customFormat="1" x14ac:dyDescent="0.25">
      <c r="A404" s="157">
        <v>56.1</v>
      </c>
      <c r="B404" s="6">
        <v>5</v>
      </c>
      <c r="C404" s="9" t="s">
        <v>70</v>
      </c>
      <c r="D404" s="6" t="s">
        <v>26</v>
      </c>
      <c r="E404" s="17" t="str">
        <f>VLOOKUP(C404,Resources!B:G,3,FALSE)</f>
        <v>P</v>
      </c>
      <c r="F404" s="12">
        <v>1</v>
      </c>
      <c r="G404" s="26">
        <f>VLOOKUP($A404,'Model Inputs'!$A:$C,3,FALSE)</f>
        <v>2.44</v>
      </c>
      <c r="H404" s="12">
        <f>H399</f>
        <v>1.22</v>
      </c>
      <c r="I404" s="12">
        <f>VLOOKUP(C404,Resources!B:G,6,FALSE)</f>
        <v>135</v>
      </c>
      <c r="J404" s="21">
        <f t="shared" ref="J404:J406" si="651">(H404/G404)*I404*F404</f>
        <v>67.5</v>
      </c>
      <c r="K404" s="21">
        <f t="shared" ref="K404:K406" si="652">IF(E404="M"," ",L404*F404)</f>
        <v>0.5</v>
      </c>
      <c r="L404" s="24">
        <f t="shared" ref="L404:L406" si="653">IF(E404="M"," ",H404/G404)</f>
        <v>0.5</v>
      </c>
      <c r="M404" s="24">
        <f t="shared" ref="M404:M406" si="654">IF($E404="L",$J404,0)</f>
        <v>0</v>
      </c>
      <c r="N404" s="24">
        <f t="shared" ref="N404:N406" si="655">IF($E404="M",$J404,0)</f>
        <v>0</v>
      </c>
      <c r="O404" s="24">
        <f t="shared" ref="O404:O406" si="656">IF($E404="P",$J404,0)</f>
        <v>67.5</v>
      </c>
      <c r="P404" s="24">
        <f t="shared" ref="P404:P406" si="657">IF($E404="S",$J404,0)</f>
        <v>0</v>
      </c>
      <c r="Q404" s="24">
        <f t="shared" ref="Q404:Q406" si="658">SUM(M404:P404)</f>
        <v>67.5</v>
      </c>
      <c r="R404" s="87">
        <v>81</v>
      </c>
      <c r="T404" s="235" t="str">
        <f t="shared" si="641"/>
        <v xml:space="preserve"> </v>
      </c>
      <c r="U404" s="232"/>
    </row>
    <row r="405" spans="1:21" s="18" customFormat="1" x14ac:dyDescent="0.25">
      <c r="A405" s="157"/>
      <c r="B405" s="6">
        <v>6</v>
      </c>
      <c r="C405" s="9" t="s">
        <v>27</v>
      </c>
      <c r="D405" s="6" t="s">
        <v>26</v>
      </c>
      <c r="E405" s="17" t="str">
        <f>VLOOKUP(C405,Resources!B:G,3,FALSE)</f>
        <v>P</v>
      </c>
      <c r="F405" s="12">
        <v>1</v>
      </c>
      <c r="G405" s="12">
        <f>G404</f>
        <v>2.44</v>
      </c>
      <c r="H405" s="12">
        <f>H404</f>
        <v>1.22</v>
      </c>
      <c r="I405" s="12">
        <f>VLOOKUP(C405,Resources!B:G,6,FALSE)</f>
        <v>90</v>
      </c>
      <c r="J405" s="21">
        <f t="shared" si="651"/>
        <v>45</v>
      </c>
      <c r="K405" s="21">
        <f t="shared" si="652"/>
        <v>0.5</v>
      </c>
      <c r="L405" s="24">
        <f t="shared" si="653"/>
        <v>0.5</v>
      </c>
      <c r="M405" s="24">
        <f t="shared" si="654"/>
        <v>0</v>
      </c>
      <c r="N405" s="24">
        <f t="shared" si="655"/>
        <v>0</v>
      </c>
      <c r="O405" s="24">
        <f t="shared" si="656"/>
        <v>45</v>
      </c>
      <c r="P405" s="24">
        <f t="shared" si="657"/>
        <v>0</v>
      </c>
      <c r="Q405" s="24">
        <f t="shared" si="658"/>
        <v>45</v>
      </c>
      <c r="R405" s="87">
        <v>81</v>
      </c>
      <c r="T405" s="235" t="str">
        <f t="shared" si="641"/>
        <v xml:space="preserve"> </v>
      </c>
      <c r="U405" s="232"/>
    </row>
    <row r="406" spans="1:21" s="18" customFormat="1" x14ac:dyDescent="0.25">
      <c r="A406" s="157"/>
      <c r="B406" s="6">
        <v>7</v>
      </c>
      <c r="C406" s="9" t="s">
        <v>8</v>
      </c>
      <c r="D406" s="6" t="s">
        <v>26</v>
      </c>
      <c r="E406" s="17" t="str">
        <f>VLOOKUP(C406,Resources!B:G,3,FALSE)</f>
        <v>L</v>
      </c>
      <c r="F406" s="12">
        <v>1</v>
      </c>
      <c r="G406" s="12">
        <f>G404</f>
        <v>2.44</v>
      </c>
      <c r="H406" s="12">
        <f>H404</f>
        <v>1.22</v>
      </c>
      <c r="I406" s="12">
        <f>VLOOKUP(C406,Resources!B:G,6,FALSE)</f>
        <v>51.9</v>
      </c>
      <c r="J406" s="21">
        <f t="shared" si="651"/>
        <v>25.95</v>
      </c>
      <c r="K406" s="21">
        <f t="shared" si="652"/>
        <v>0.5</v>
      </c>
      <c r="L406" s="24">
        <f t="shared" si="653"/>
        <v>0.5</v>
      </c>
      <c r="M406" s="24">
        <f t="shared" si="654"/>
        <v>25.95</v>
      </c>
      <c r="N406" s="24">
        <f t="shared" si="655"/>
        <v>0</v>
      </c>
      <c r="O406" s="24">
        <f t="shared" si="656"/>
        <v>0</v>
      </c>
      <c r="P406" s="24">
        <f t="shared" si="657"/>
        <v>0</v>
      </c>
      <c r="Q406" s="24">
        <f t="shared" si="658"/>
        <v>25.95</v>
      </c>
      <c r="R406" s="87">
        <v>81</v>
      </c>
      <c r="T406" s="235" t="str">
        <f t="shared" si="641"/>
        <v xml:space="preserve"> </v>
      </c>
      <c r="U406" s="232"/>
    </row>
    <row r="407" spans="1:21" s="19" customFormat="1" x14ac:dyDescent="0.25">
      <c r="A407" s="157"/>
      <c r="B407" s="28">
        <v>8</v>
      </c>
      <c r="C407" s="29" t="s">
        <v>169</v>
      </c>
      <c r="D407" s="28"/>
      <c r="E407" s="30"/>
      <c r="F407" s="31"/>
      <c r="G407" s="31"/>
      <c r="H407" s="12"/>
      <c r="I407" s="31"/>
      <c r="J407" s="32"/>
      <c r="K407" s="32"/>
      <c r="L407" s="33"/>
      <c r="M407" s="33"/>
      <c r="N407" s="33"/>
      <c r="O407" s="33"/>
      <c r="P407" s="33"/>
      <c r="Q407" s="33"/>
      <c r="R407" s="87"/>
      <c r="T407" s="235" t="str">
        <f t="shared" si="641"/>
        <v xml:space="preserve"> </v>
      </c>
      <c r="U407" s="236"/>
    </row>
    <row r="408" spans="1:21" s="18" customFormat="1" x14ac:dyDescent="0.25">
      <c r="A408" s="157">
        <v>56.2</v>
      </c>
      <c r="B408" s="6">
        <v>9</v>
      </c>
      <c r="C408" s="9" t="s">
        <v>70</v>
      </c>
      <c r="D408" s="6" t="s">
        <v>26</v>
      </c>
      <c r="E408" s="17" t="str">
        <f>VLOOKUP(C408,Resources!B:G,3,FALSE)</f>
        <v>P</v>
      </c>
      <c r="F408" s="12">
        <v>1</v>
      </c>
      <c r="G408" s="26">
        <f>VLOOKUP($A408,'Model Inputs'!$A:$C,3,FALSE)</f>
        <v>1.22</v>
      </c>
      <c r="H408" s="12">
        <f>H399</f>
        <v>1.22</v>
      </c>
      <c r="I408" s="12">
        <f>VLOOKUP(C408,Resources!B:G,6,FALSE)</f>
        <v>135</v>
      </c>
      <c r="J408" s="21">
        <f t="shared" ref="J408:J409" si="659">(H408/G408)*I408*F408</f>
        <v>135</v>
      </c>
      <c r="K408" s="21">
        <f t="shared" ref="K408:K409" si="660">IF(E408="M"," ",L408*F408)</f>
        <v>1</v>
      </c>
      <c r="L408" s="24">
        <f t="shared" ref="L408:L409" si="661">IF(E408="M"," ",H408/G408)</f>
        <v>1</v>
      </c>
      <c r="M408" s="24">
        <f t="shared" ref="M408:M409" si="662">IF($E408="L",$J408,0)</f>
        <v>0</v>
      </c>
      <c r="N408" s="24">
        <f t="shared" ref="N408:N409" si="663">IF($E408="M",$J408,0)</f>
        <v>0</v>
      </c>
      <c r="O408" s="24">
        <f t="shared" ref="O408:O409" si="664">IF($E408="P",$J408,0)</f>
        <v>135</v>
      </c>
      <c r="P408" s="24">
        <f t="shared" ref="P408:P409" si="665">IF($E408="S",$J408,0)</f>
        <v>0</v>
      </c>
      <c r="Q408" s="24">
        <f t="shared" ref="Q408:Q409" si="666">SUM(M408:P408)</f>
        <v>135</v>
      </c>
      <c r="R408" s="87">
        <v>81</v>
      </c>
      <c r="T408" s="235" t="str">
        <f t="shared" si="641"/>
        <v xml:space="preserve"> </v>
      </c>
      <c r="U408" s="232"/>
    </row>
    <row r="409" spans="1:21" s="18" customFormat="1" x14ac:dyDescent="0.25">
      <c r="A409" s="157"/>
      <c r="B409" s="6">
        <v>10</v>
      </c>
      <c r="C409" s="9" t="s">
        <v>28</v>
      </c>
      <c r="D409" s="6" t="s">
        <v>26</v>
      </c>
      <c r="E409" s="17" t="str">
        <f>VLOOKUP(C409,Resources!B:G,3,FALSE)</f>
        <v>P</v>
      </c>
      <c r="F409" s="12">
        <v>1</v>
      </c>
      <c r="G409" s="12">
        <f>G408*2</f>
        <v>2.44</v>
      </c>
      <c r="H409" s="12">
        <f>H399</f>
        <v>1.22</v>
      </c>
      <c r="I409" s="12">
        <f>VLOOKUP(C409,Resources!B:G,6,FALSE)</f>
        <v>95</v>
      </c>
      <c r="J409" s="21">
        <f t="shared" si="659"/>
        <v>47.5</v>
      </c>
      <c r="K409" s="21">
        <f t="shared" si="660"/>
        <v>0.5</v>
      </c>
      <c r="L409" s="24">
        <f t="shared" si="661"/>
        <v>0.5</v>
      </c>
      <c r="M409" s="24">
        <f t="shared" si="662"/>
        <v>0</v>
      </c>
      <c r="N409" s="24">
        <f t="shared" si="663"/>
        <v>0</v>
      </c>
      <c r="O409" s="24">
        <f t="shared" si="664"/>
        <v>47.5</v>
      </c>
      <c r="P409" s="24">
        <f t="shared" si="665"/>
        <v>0</v>
      </c>
      <c r="Q409" s="24">
        <f t="shared" si="666"/>
        <v>47.5</v>
      </c>
      <c r="R409" s="87">
        <v>81</v>
      </c>
      <c r="T409" s="235" t="str">
        <f t="shared" si="641"/>
        <v xml:space="preserve"> </v>
      </c>
      <c r="U409" s="232"/>
    </row>
    <row r="410" spans="1:21" s="19" customFormat="1" x14ac:dyDescent="0.25">
      <c r="A410" s="157"/>
      <c r="B410" s="28">
        <v>11</v>
      </c>
      <c r="C410" s="29" t="s">
        <v>170</v>
      </c>
      <c r="D410" s="28"/>
      <c r="E410" s="30"/>
      <c r="F410" s="31"/>
      <c r="G410" s="31"/>
      <c r="H410" s="12"/>
      <c r="I410" s="31"/>
      <c r="J410" s="32"/>
      <c r="K410" s="32"/>
      <c r="L410" s="33"/>
      <c r="M410" s="33"/>
      <c r="N410" s="33"/>
      <c r="O410" s="33"/>
      <c r="P410" s="33"/>
      <c r="Q410" s="33"/>
      <c r="R410" s="87"/>
      <c r="T410" s="235" t="str">
        <f t="shared" si="641"/>
        <v xml:space="preserve"> </v>
      </c>
      <c r="U410" s="236"/>
    </row>
    <row r="411" spans="1:21" s="18" customFormat="1" x14ac:dyDescent="0.25">
      <c r="A411" s="157">
        <v>56.3</v>
      </c>
      <c r="B411" s="6">
        <v>12</v>
      </c>
      <c r="C411" s="9" t="s">
        <v>70</v>
      </c>
      <c r="D411" s="6" t="s">
        <v>26</v>
      </c>
      <c r="E411" s="17" t="str">
        <f>VLOOKUP(C411,Resources!B:G,3,FALSE)</f>
        <v>P</v>
      </c>
      <c r="F411" s="12">
        <v>1</v>
      </c>
      <c r="G411" s="26">
        <f>VLOOKUP($A411,'Model Inputs'!$A:$C,3,FALSE)</f>
        <v>1.22</v>
      </c>
      <c r="H411" s="12">
        <f>H399</f>
        <v>1.22</v>
      </c>
      <c r="I411" s="12">
        <f>VLOOKUP(C411,Resources!B:G,6,FALSE)</f>
        <v>135</v>
      </c>
      <c r="J411" s="21">
        <f t="shared" ref="J411:J412" si="667">(H411/G411)*I411*F411</f>
        <v>135</v>
      </c>
      <c r="K411" s="21">
        <f t="shared" ref="K411:K412" si="668">IF(E411="M"," ",L411*F411)</f>
        <v>1</v>
      </c>
      <c r="L411" s="24">
        <f t="shared" ref="L411:L412" si="669">IF(E411="M"," ",H411/G411)</f>
        <v>1</v>
      </c>
      <c r="M411" s="24">
        <f t="shared" ref="M411:M412" si="670">IF($E411="L",$J411,0)</f>
        <v>0</v>
      </c>
      <c r="N411" s="24">
        <f t="shared" ref="N411:N412" si="671">IF($E411="M",$J411,0)</f>
        <v>0</v>
      </c>
      <c r="O411" s="24">
        <f t="shared" ref="O411:O412" si="672">IF($E411="P",$J411,0)</f>
        <v>135</v>
      </c>
      <c r="P411" s="24">
        <f t="shared" ref="P411:P412" si="673">IF($E411="S",$J411,0)</f>
        <v>0</v>
      </c>
      <c r="Q411" s="24">
        <f t="shared" ref="Q411:Q412" si="674">SUM(M411:P411)</f>
        <v>135</v>
      </c>
      <c r="R411" s="87">
        <v>81</v>
      </c>
      <c r="T411" s="235" t="str">
        <f t="shared" si="641"/>
        <v xml:space="preserve"> </v>
      </c>
      <c r="U411" s="232"/>
    </row>
    <row r="412" spans="1:21" s="18" customFormat="1" x14ac:dyDescent="0.25">
      <c r="A412" s="157"/>
      <c r="B412" s="6">
        <v>13</v>
      </c>
      <c r="C412" s="9" t="s">
        <v>8</v>
      </c>
      <c r="D412" s="6" t="s">
        <v>26</v>
      </c>
      <c r="E412" s="17" t="str">
        <f>VLOOKUP(C412,Resources!B:G,3,FALSE)</f>
        <v>L</v>
      </c>
      <c r="F412" s="12">
        <v>1</v>
      </c>
      <c r="G412" s="12">
        <v>1</v>
      </c>
      <c r="H412" s="12">
        <f>H399</f>
        <v>1.22</v>
      </c>
      <c r="I412" s="12">
        <f>VLOOKUP(C412,Resources!B:G,6,FALSE)</f>
        <v>51.9</v>
      </c>
      <c r="J412" s="21">
        <f t="shared" si="667"/>
        <v>63.317999999999998</v>
      </c>
      <c r="K412" s="21">
        <f t="shared" si="668"/>
        <v>1.22</v>
      </c>
      <c r="L412" s="24">
        <f t="shared" si="669"/>
        <v>1.22</v>
      </c>
      <c r="M412" s="24">
        <f t="shared" si="670"/>
        <v>63.317999999999998</v>
      </c>
      <c r="N412" s="24">
        <f t="shared" si="671"/>
        <v>0</v>
      </c>
      <c r="O412" s="24">
        <f t="shared" si="672"/>
        <v>0</v>
      </c>
      <c r="P412" s="24">
        <f t="shared" si="673"/>
        <v>0</v>
      </c>
      <c r="Q412" s="24">
        <f t="shared" si="674"/>
        <v>63.317999999999998</v>
      </c>
      <c r="R412" s="87">
        <v>81</v>
      </c>
      <c r="T412" s="235" t="str">
        <f t="shared" si="641"/>
        <v xml:space="preserve"> </v>
      </c>
      <c r="U412" s="232"/>
    </row>
    <row r="413" spans="1:21" s="19" customFormat="1" x14ac:dyDescent="0.25">
      <c r="A413" s="157"/>
      <c r="B413" s="28">
        <v>14</v>
      </c>
      <c r="C413" s="29" t="s">
        <v>171</v>
      </c>
      <c r="D413" s="28"/>
      <c r="E413" s="30"/>
      <c r="F413" s="31"/>
      <c r="G413" s="31"/>
      <c r="H413" s="12"/>
      <c r="I413" s="31"/>
      <c r="J413" s="32"/>
      <c r="K413" s="32"/>
      <c r="L413" s="33"/>
      <c r="M413" s="33"/>
      <c r="N413" s="33"/>
      <c r="O413" s="33"/>
      <c r="P413" s="33"/>
      <c r="Q413" s="33"/>
      <c r="R413" s="87"/>
      <c r="T413" s="235" t="str">
        <f t="shared" si="641"/>
        <v xml:space="preserve"> </v>
      </c>
      <c r="U413" s="236"/>
    </row>
    <row r="414" spans="1:21" s="18" customFormat="1" x14ac:dyDescent="0.25">
      <c r="A414" s="157">
        <v>56.4</v>
      </c>
      <c r="B414" s="6">
        <v>15</v>
      </c>
      <c r="C414" s="9" t="s">
        <v>8</v>
      </c>
      <c r="D414" s="6" t="s">
        <v>26</v>
      </c>
      <c r="E414" s="17" t="str">
        <f>VLOOKUP(C414,Resources!B:G,3,FALSE)</f>
        <v>L</v>
      </c>
      <c r="F414" s="12">
        <v>1</v>
      </c>
      <c r="G414" s="26">
        <f>VLOOKUP($A414,'Model Inputs'!$A:$C,3,FALSE)</f>
        <v>0.30499999999999999</v>
      </c>
      <c r="H414" s="12">
        <f>H399</f>
        <v>1.22</v>
      </c>
      <c r="I414" s="12">
        <f>VLOOKUP(C414,Resources!B:G,6,FALSE)</f>
        <v>51.9</v>
      </c>
      <c r="J414" s="21">
        <f t="shared" ref="J414:J416" si="675">(H414/G414)*I414*F414</f>
        <v>207.6</v>
      </c>
      <c r="K414" s="21">
        <f t="shared" ref="K414:K416" si="676">IF(E414="M"," ",L414*F414)</f>
        <v>4</v>
      </c>
      <c r="L414" s="24">
        <f t="shared" ref="L414:L416" si="677">IF(E414="M"," ",H414/G414)</f>
        <v>4</v>
      </c>
      <c r="M414" s="24">
        <f t="shared" ref="M414:M416" si="678">IF($E414="L",$J414,0)</f>
        <v>207.6</v>
      </c>
      <c r="N414" s="24">
        <f t="shared" ref="N414:N416" si="679">IF($E414="M",$J414,0)</f>
        <v>0</v>
      </c>
      <c r="O414" s="24">
        <f t="shared" ref="O414:O416" si="680">IF($E414="P",$J414,0)</f>
        <v>0</v>
      </c>
      <c r="P414" s="24">
        <f t="shared" ref="P414:P416" si="681">IF($E414="S",$J414,0)</f>
        <v>0</v>
      </c>
      <c r="Q414" s="24">
        <f t="shared" ref="Q414:Q416" si="682">SUM(M414:P414)</f>
        <v>207.6</v>
      </c>
      <c r="R414" s="87">
        <v>81</v>
      </c>
      <c r="T414" s="235" t="str">
        <f t="shared" si="641"/>
        <v xml:space="preserve"> </v>
      </c>
      <c r="U414" s="232"/>
    </row>
    <row r="415" spans="1:21" s="18" customFormat="1" x14ac:dyDescent="0.25">
      <c r="A415" s="157"/>
      <c r="B415" s="6">
        <v>16</v>
      </c>
      <c r="C415" s="9" t="s">
        <v>82</v>
      </c>
      <c r="D415" s="6" t="s">
        <v>26</v>
      </c>
      <c r="E415" s="17" t="str">
        <f>VLOOKUP(C415,Resources!B:G,3,FALSE)</f>
        <v>P</v>
      </c>
      <c r="F415" s="12">
        <v>1</v>
      </c>
      <c r="G415" s="12">
        <f>G414*2</f>
        <v>0.61</v>
      </c>
      <c r="H415" s="12">
        <f>H399</f>
        <v>1.22</v>
      </c>
      <c r="I415" s="12">
        <f>VLOOKUP(C415,Resources!B:G,6,FALSE)</f>
        <v>95</v>
      </c>
      <c r="J415" s="21">
        <f t="shared" si="675"/>
        <v>190</v>
      </c>
      <c r="K415" s="21">
        <f t="shared" si="676"/>
        <v>2</v>
      </c>
      <c r="L415" s="24">
        <f t="shared" si="677"/>
        <v>2</v>
      </c>
      <c r="M415" s="24">
        <f t="shared" si="678"/>
        <v>0</v>
      </c>
      <c r="N415" s="24">
        <f t="shared" si="679"/>
        <v>0</v>
      </c>
      <c r="O415" s="24">
        <f t="shared" si="680"/>
        <v>190</v>
      </c>
      <c r="P415" s="24">
        <f t="shared" si="681"/>
        <v>0</v>
      </c>
      <c r="Q415" s="24">
        <f t="shared" si="682"/>
        <v>190</v>
      </c>
      <c r="R415" s="87">
        <v>81</v>
      </c>
      <c r="T415" s="235" t="str">
        <f t="shared" si="641"/>
        <v xml:space="preserve"> </v>
      </c>
      <c r="U415" s="232"/>
    </row>
    <row r="416" spans="1:21" s="18" customFormat="1" x14ac:dyDescent="0.25">
      <c r="A416" s="157"/>
      <c r="B416" s="6">
        <v>17</v>
      </c>
      <c r="C416" s="9" t="s">
        <v>28</v>
      </c>
      <c r="D416" s="6" t="s">
        <v>26</v>
      </c>
      <c r="E416" s="17" t="str">
        <f>VLOOKUP(C416,Resources!B:G,3,FALSE)</f>
        <v>P</v>
      </c>
      <c r="F416" s="12">
        <v>1</v>
      </c>
      <c r="G416" s="12">
        <f>G414*4</f>
        <v>1.22</v>
      </c>
      <c r="H416" s="12">
        <f>H399</f>
        <v>1.22</v>
      </c>
      <c r="I416" s="12">
        <f>VLOOKUP(C416,Resources!B:G,6,FALSE)</f>
        <v>95</v>
      </c>
      <c r="J416" s="21">
        <f t="shared" si="675"/>
        <v>95</v>
      </c>
      <c r="K416" s="21">
        <f t="shared" si="676"/>
        <v>1</v>
      </c>
      <c r="L416" s="24">
        <f t="shared" si="677"/>
        <v>1</v>
      </c>
      <c r="M416" s="24">
        <f t="shared" si="678"/>
        <v>0</v>
      </c>
      <c r="N416" s="24">
        <f t="shared" si="679"/>
        <v>0</v>
      </c>
      <c r="O416" s="24">
        <f t="shared" si="680"/>
        <v>95</v>
      </c>
      <c r="P416" s="24">
        <f t="shared" si="681"/>
        <v>0</v>
      </c>
      <c r="Q416" s="24">
        <f t="shared" si="682"/>
        <v>95</v>
      </c>
      <c r="R416" s="87">
        <v>81</v>
      </c>
      <c r="T416" s="235" t="str">
        <f t="shared" si="641"/>
        <v xml:space="preserve"> </v>
      </c>
      <c r="U416" s="232"/>
    </row>
    <row r="417" spans="1:21" x14ac:dyDescent="0.25">
      <c r="F417" s="11"/>
      <c r="G417" s="11"/>
      <c r="H417" s="11"/>
      <c r="I417" s="11"/>
      <c r="J417" s="11"/>
      <c r="K417" s="11"/>
      <c r="R417" s="88"/>
      <c r="T417" s="235" t="str">
        <f t="shared" si="641"/>
        <v xml:space="preserve"> </v>
      </c>
    </row>
    <row r="418" spans="1:21" ht="30" x14ac:dyDescent="0.25">
      <c r="A418" s="156">
        <v>57</v>
      </c>
      <c r="B418" s="3" t="s">
        <v>216</v>
      </c>
      <c r="C418" s="3" t="s">
        <v>179</v>
      </c>
      <c r="D418" s="4" t="s">
        <v>145</v>
      </c>
      <c r="E418" s="15"/>
      <c r="F418" s="10"/>
      <c r="G418" s="10"/>
      <c r="H418" s="26">
        <f>VLOOKUP($A418,'Model Inputs'!$A:$C,3,FALSE)</f>
        <v>1</v>
      </c>
      <c r="I418" s="10"/>
      <c r="J418" s="10">
        <f>SUBTOTAL(9,J419:J423)</f>
        <v>2338.85</v>
      </c>
      <c r="K418" s="10"/>
      <c r="L418" s="10">
        <f>ROUNDUP(MAX(L419:L423)/Workhrs,0)</f>
        <v>1</v>
      </c>
      <c r="M418" s="10">
        <f>SUBTOTAL(9,M419:M423)</f>
        <v>1245.5999999999999</v>
      </c>
      <c r="N418" s="10">
        <f t="shared" ref="N418:Q418" si="683">SUBTOTAL(9,N419:N423)</f>
        <v>553.25</v>
      </c>
      <c r="O418" s="10">
        <f t="shared" si="683"/>
        <v>540</v>
      </c>
      <c r="P418" s="10">
        <f t="shared" si="683"/>
        <v>0</v>
      </c>
      <c r="Q418" s="10">
        <f t="shared" si="683"/>
        <v>2338.85</v>
      </c>
      <c r="R418" s="86"/>
      <c r="T418" s="235" t="str">
        <f t="shared" si="641"/>
        <v xml:space="preserve"> </v>
      </c>
    </row>
    <row r="419" spans="1:21" x14ac:dyDescent="0.25">
      <c r="A419" s="157"/>
      <c r="B419" s="6">
        <v>1</v>
      </c>
      <c r="C419" s="9" t="s">
        <v>194</v>
      </c>
      <c r="D419" s="6" t="s">
        <v>180</v>
      </c>
      <c r="E419" s="17" t="str">
        <f>VLOOKUP(C419,Resources!B:G,3,FALSE)</f>
        <v>M</v>
      </c>
      <c r="F419" s="12">
        <v>1</v>
      </c>
      <c r="G419" s="12">
        <v>1</v>
      </c>
      <c r="H419" s="12">
        <f>H418*1.21</f>
        <v>1.21</v>
      </c>
      <c r="I419" s="12">
        <f>VLOOKUP(C419,Resources!B:G,6,FALSE)</f>
        <v>325</v>
      </c>
      <c r="J419" s="21">
        <f t="shared" ref="J419:J423" si="684">(H419/G419)*I419*F419</f>
        <v>393.25</v>
      </c>
      <c r="K419" s="21" t="str">
        <f t="shared" ref="K419:K423" si="685">IF(E419="M"," ",L419*F419)</f>
        <v xml:space="preserve"> </v>
      </c>
      <c r="L419" s="24" t="str">
        <f t="shared" ref="L419:L423" si="686">IF(E419="M"," ",H419/G419)</f>
        <v xml:space="preserve"> </v>
      </c>
      <c r="M419" s="24">
        <f t="shared" ref="M419:M423" si="687">IF($E419="L",$J419,0)</f>
        <v>0</v>
      </c>
      <c r="N419" s="24">
        <f t="shared" ref="N419:N423" si="688">IF($E419="M",$J419,0)</f>
        <v>393.25</v>
      </c>
      <c r="O419" s="24">
        <f t="shared" ref="O419:O423" si="689">IF($E419="P",$J419,0)</f>
        <v>0</v>
      </c>
      <c r="P419" s="24">
        <f t="shared" ref="P419:P423" si="690">IF($E419="S",$J419,0)</f>
        <v>0</v>
      </c>
      <c r="Q419" s="24">
        <f t="shared" ref="Q419:Q423" si="691">SUM(M419:P419)</f>
        <v>393.25</v>
      </c>
      <c r="R419" s="87" t="s">
        <v>543</v>
      </c>
      <c r="T419" s="235" t="str">
        <f t="shared" si="641"/>
        <v xml:space="preserve"> </v>
      </c>
    </row>
    <row r="420" spans="1:21" x14ac:dyDescent="0.25">
      <c r="A420" s="157"/>
      <c r="B420" s="6">
        <v>2</v>
      </c>
      <c r="C420" s="9" t="s">
        <v>181</v>
      </c>
      <c r="D420" s="6" t="s">
        <v>109</v>
      </c>
      <c r="E420" s="17" t="str">
        <f>VLOOKUP(C420,Resources!B:G,3,FALSE)</f>
        <v>M</v>
      </c>
      <c r="F420" s="12">
        <v>1</v>
      </c>
      <c r="G420" s="12">
        <v>1</v>
      </c>
      <c r="H420" s="12">
        <f>H418*6</f>
        <v>6</v>
      </c>
      <c r="I420" s="12">
        <f>VLOOKUP(C420,Resources!B:G,6,FALSE)</f>
        <v>10</v>
      </c>
      <c r="J420" s="21">
        <f t="shared" si="684"/>
        <v>60</v>
      </c>
      <c r="K420" s="21" t="str">
        <f t="shared" si="685"/>
        <v xml:space="preserve"> </v>
      </c>
      <c r="L420" s="24" t="str">
        <f t="shared" si="686"/>
        <v xml:space="preserve"> </v>
      </c>
      <c r="M420" s="24">
        <f t="shared" si="687"/>
        <v>0</v>
      </c>
      <c r="N420" s="24">
        <f t="shared" si="688"/>
        <v>60</v>
      </c>
      <c r="O420" s="24">
        <f t="shared" si="689"/>
        <v>0</v>
      </c>
      <c r="P420" s="24">
        <f t="shared" si="690"/>
        <v>0</v>
      </c>
      <c r="Q420" s="24">
        <f t="shared" si="691"/>
        <v>60</v>
      </c>
      <c r="R420" s="87">
        <v>72</v>
      </c>
      <c r="T420" s="235" t="str">
        <f t="shared" si="641"/>
        <v xml:space="preserve"> </v>
      </c>
    </row>
    <row r="421" spans="1:21" x14ac:dyDescent="0.25">
      <c r="A421" s="157"/>
      <c r="B421" s="6">
        <v>3</v>
      </c>
      <c r="C421" s="9" t="s">
        <v>182</v>
      </c>
      <c r="D421" s="6" t="s">
        <v>32</v>
      </c>
      <c r="E421" s="17" t="str">
        <f>VLOOKUP(C421,Resources!B:G,3,FALSE)</f>
        <v>M</v>
      </c>
      <c r="F421" s="12">
        <v>1</v>
      </c>
      <c r="G421" s="12">
        <v>1</v>
      </c>
      <c r="H421" s="12">
        <f>H418*20</f>
        <v>20</v>
      </c>
      <c r="I421" s="12">
        <f>VLOOKUP(C421,Resources!B:G,6,FALSE)</f>
        <v>5</v>
      </c>
      <c r="J421" s="21">
        <f t="shared" si="684"/>
        <v>100</v>
      </c>
      <c r="K421" s="21" t="str">
        <f t="shared" si="685"/>
        <v xml:space="preserve"> </v>
      </c>
      <c r="L421" s="24" t="str">
        <f t="shared" si="686"/>
        <v xml:space="preserve"> </v>
      </c>
      <c r="M421" s="24">
        <f t="shared" si="687"/>
        <v>0</v>
      </c>
      <c r="N421" s="24">
        <f t="shared" si="688"/>
        <v>100</v>
      </c>
      <c r="O421" s="24">
        <f t="shared" si="689"/>
        <v>0</v>
      </c>
      <c r="P421" s="24">
        <f t="shared" si="690"/>
        <v>0</v>
      </c>
      <c r="Q421" s="24">
        <f t="shared" si="691"/>
        <v>100</v>
      </c>
      <c r="R421" s="87">
        <v>72</v>
      </c>
      <c r="T421" s="235" t="str">
        <f t="shared" si="641"/>
        <v xml:space="preserve"> </v>
      </c>
    </row>
    <row r="422" spans="1:21" x14ac:dyDescent="0.25">
      <c r="A422" s="157">
        <v>57.1</v>
      </c>
      <c r="B422" s="6">
        <v>4</v>
      </c>
      <c r="C422" s="9" t="s">
        <v>8</v>
      </c>
      <c r="D422" s="6" t="s">
        <v>26</v>
      </c>
      <c r="E422" s="17" t="str">
        <f>VLOOKUP(C422,Resources!B:G,3,FALSE)</f>
        <v>L</v>
      </c>
      <c r="F422" s="12">
        <v>3</v>
      </c>
      <c r="G422" s="26">
        <f>VLOOKUP($A422,'Model Inputs'!$A:$C,3,FALSE)</f>
        <v>0.125</v>
      </c>
      <c r="H422" s="12">
        <v>1</v>
      </c>
      <c r="I422" s="12">
        <f>VLOOKUP(C422,Resources!B:G,6,FALSE)</f>
        <v>51.9</v>
      </c>
      <c r="J422" s="21">
        <f t="shared" si="684"/>
        <v>1245.5999999999999</v>
      </c>
      <c r="K422" s="21">
        <f t="shared" si="685"/>
        <v>24</v>
      </c>
      <c r="L422" s="24">
        <f t="shared" si="686"/>
        <v>8</v>
      </c>
      <c r="M422" s="24">
        <f t="shared" si="687"/>
        <v>1245.5999999999999</v>
      </c>
      <c r="N422" s="24">
        <f t="shared" si="688"/>
        <v>0</v>
      </c>
      <c r="O422" s="24">
        <f t="shared" si="689"/>
        <v>0</v>
      </c>
      <c r="P422" s="24">
        <f t="shared" si="690"/>
        <v>0</v>
      </c>
      <c r="Q422" s="24">
        <f t="shared" si="691"/>
        <v>1245.5999999999999</v>
      </c>
      <c r="R422" s="87">
        <v>72</v>
      </c>
      <c r="T422" s="235" t="str">
        <f t="shared" si="641"/>
        <v xml:space="preserve"> </v>
      </c>
    </row>
    <row r="423" spans="1:21" x14ac:dyDescent="0.25">
      <c r="A423" s="157"/>
      <c r="B423" s="6">
        <v>5</v>
      </c>
      <c r="C423" s="9" t="s">
        <v>70</v>
      </c>
      <c r="D423" s="6" t="s">
        <v>26</v>
      </c>
      <c r="E423" s="17" t="str">
        <f>VLOOKUP(C423,Resources!B:G,3,FALSE)</f>
        <v>P</v>
      </c>
      <c r="F423" s="12">
        <v>1</v>
      </c>
      <c r="G423" s="12">
        <f>G422*2</f>
        <v>0.25</v>
      </c>
      <c r="H423" s="12">
        <v>1</v>
      </c>
      <c r="I423" s="12">
        <f>VLOOKUP(C423,Resources!B:G,6,FALSE)</f>
        <v>135</v>
      </c>
      <c r="J423" s="21">
        <f t="shared" si="684"/>
        <v>540</v>
      </c>
      <c r="K423" s="21">
        <f t="shared" si="685"/>
        <v>4</v>
      </c>
      <c r="L423" s="24">
        <f t="shared" si="686"/>
        <v>4</v>
      </c>
      <c r="M423" s="24">
        <f t="shared" si="687"/>
        <v>0</v>
      </c>
      <c r="N423" s="24">
        <f t="shared" si="688"/>
        <v>0</v>
      </c>
      <c r="O423" s="24">
        <f t="shared" si="689"/>
        <v>540</v>
      </c>
      <c r="P423" s="24">
        <f t="shared" si="690"/>
        <v>0</v>
      </c>
      <c r="Q423" s="24">
        <f t="shared" si="691"/>
        <v>540</v>
      </c>
      <c r="R423" s="87">
        <v>72</v>
      </c>
      <c r="T423" s="235" t="str">
        <f t="shared" si="641"/>
        <v xml:space="preserve"> </v>
      </c>
    </row>
    <row r="424" spans="1:21" x14ac:dyDescent="0.25">
      <c r="F424" s="11"/>
      <c r="G424" s="11"/>
      <c r="H424" s="11"/>
      <c r="I424" s="11"/>
      <c r="J424" s="11"/>
      <c r="K424" s="11"/>
      <c r="R424" s="88"/>
      <c r="T424" s="235" t="str">
        <f t="shared" si="641"/>
        <v xml:space="preserve"> </v>
      </c>
    </row>
    <row r="425" spans="1:21" ht="30" x14ac:dyDescent="0.25">
      <c r="A425" s="156"/>
      <c r="B425" s="3" t="s">
        <v>217</v>
      </c>
      <c r="C425" s="3" t="s">
        <v>218</v>
      </c>
      <c r="D425" s="4"/>
      <c r="E425" s="15"/>
      <c r="F425" s="10"/>
      <c r="G425" s="10"/>
      <c r="H425" s="10"/>
      <c r="I425" s="10"/>
      <c r="J425" s="10"/>
      <c r="K425" s="10"/>
      <c r="L425" s="23"/>
      <c r="M425" s="23"/>
      <c r="N425" s="23"/>
      <c r="O425" s="23"/>
      <c r="P425" s="23"/>
      <c r="Q425" s="23"/>
      <c r="R425" s="86"/>
      <c r="T425" s="235" t="str">
        <f t="shared" si="641"/>
        <v xml:space="preserve"> </v>
      </c>
    </row>
    <row r="426" spans="1:21" ht="60" x14ac:dyDescent="0.25">
      <c r="A426" s="156">
        <v>58</v>
      </c>
      <c r="B426" s="3" t="s">
        <v>219</v>
      </c>
      <c r="C426" s="3" t="s">
        <v>578</v>
      </c>
      <c r="D426" s="4" t="s">
        <v>32</v>
      </c>
      <c r="E426" s="15"/>
      <c r="F426" s="10"/>
      <c r="G426" s="10"/>
      <c r="H426" s="26">
        <f>VLOOKUP($A426,'Model Inputs'!$A:$C,3,FALSE)</f>
        <v>1.22</v>
      </c>
      <c r="I426" s="10"/>
      <c r="J426" s="10">
        <f>SUBTOTAL(9,J428:J429,J431:J433,J435:J436,J438:J439,J441:J443)</f>
        <v>1306.844623</v>
      </c>
      <c r="K426" s="10"/>
      <c r="L426" s="10">
        <f>ROUNDUP(SUM(L431,L435,L439,L441)/Workhrs,0)</f>
        <v>1</v>
      </c>
      <c r="M426" s="10">
        <f>SUBTOTAL(9,M428:M429,M431:M433,M435:M436,M438:M439,M441:M443)</f>
        <v>337.35</v>
      </c>
      <c r="N426" s="10">
        <f t="shared" ref="N426:Q426" si="692">SUBTOTAL(9,N428:N429,N431:N433,N435:N436,N438:N439,N441:N443)</f>
        <v>254.49462300000002</v>
      </c>
      <c r="O426" s="10">
        <f t="shared" si="692"/>
        <v>715</v>
      </c>
      <c r="P426" s="10">
        <f t="shared" si="692"/>
        <v>0</v>
      </c>
      <c r="Q426" s="10">
        <f t="shared" si="692"/>
        <v>1306.844623</v>
      </c>
      <c r="R426" s="86"/>
      <c r="T426" s="235" t="str">
        <f t="shared" si="641"/>
        <v xml:space="preserve"> </v>
      </c>
    </row>
    <row r="427" spans="1:21" s="19" customFormat="1" x14ac:dyDescent="0.25">
      <c r="A427" s="159"/>
      <c r="B427" s="28">
        <v>1</v>
      </c>
      <c r="C427" s="29" t="s">
        <v>165</v>
      </c>
      <c r="D427" s="28"/>
      <c r="E427" s="30"/>
      <c r="F427" s="31"/>
      <c r="G427" s="31"/>
      <c r="H427" s="31"/>
      <c r="I427" s="31"/>
      <c r="J427" s="32"/>
      <c r="K427" s="32"/>
      <c r="L427" s="33"/>
      <c r="M427" s="33"/>
      <c r="N427" s="33"/>
      <c r="O427" s="33"/>
      <c r="P427" s="33"/>
      <c r="Q427" s="33"/>
      <c r="R427" s="89"/>
      <c r="T427" s="235" t="str">
        <f t="shared" si="641"/>
        <v xml:space="preserve"> </v>
      </c>
      <c r="U427" s="236"/>
    </row>
    <row r="428" spans="1:21" s="18" customFormat="1" x14ac:dyDescent="0.25">
      <c r="A428" s="157"/>
      <c r="B428" s="6">
        <v>2</v>
      </c>
      <c r="C428" s="9" t="s">
        <v>166</v>
      </c>
      <c r="D428" s="6" t="s">
        <v>32</v>
      </c>
      <c r="E428" s="17" t="str">
        <f>VLOOKUP(C428,Resources!B:G,3,FALSE)</f>
        <v>M</v>
      </c>
      <c r="F428" s="12">
        <v>1</v>
      </c>
      <c r="G428" s="12">
        <v>1</v>
      </c>
      <c r="H428" s="12">
        <f>H426*2</f>
        <v>2.44</v>
      </c>
      <c r="I428" s="12">
        <f>VLOOKUP(C428,Resources!B:G,6,FALSE)</f>
        <v>83.4</v>
      </c>
      <c r="J428" s="21">
        <f t="shared" ref="J428:J429" si="693">(H428/G428)*I428*F428</f>
        <v>203.49600000000001</v>
      </c>
      <c r="K428" s="21" t="str">
        <f t="shared" ref="K428:K429" si="694">IF(E428="M"," ",L428*F428)</f>
        <v xml:space="preserve"> </v>
      </c>
      <c r="L428" s="24" t="str">
        <f t="shared" ref="L428:L429" si="695">IF(E428="M"," ",H428/G428)</f>
        <v xml:space="preserve"> </v>
      </c>
      <c r="M428" s="24">
        <f t="shared" ref="M428:M429" si="696">IF($E428="L",$J428,0)</f>
        <v>0</v>
      </c>
      <c r="N428" s="24">
        <f t="shared" ref="N428:N429" si="697">IF($E428="M",$J428,0)</f>
        <v>203.49600000000001</v>
      </c>
      <c r="O428" s="24">
        <f t="shared" ref="O428:O429" si="698">IF($E428="P",$J428,0)</f>
        <v>0</v>
      </c>
      <c r="P428" s="24">
        <f t="shared" ref="P428:P429" si="699">IF($E428="S",$J428,0)</f>
        <v>0</v>
      </c>
      <c r="Q428" s="24">
        <f t="shared" ref="Q428:Q429" si="700">SUM(M428:P428)</f>
        <v>203.49600000000001</v>
      </c>
      <c r="R428" s="87" t="s">
        <v>541</v>
      </c>
      <c r="T428" s="235" t="str">
        <f t="shared" si="641"/>
        <v xml:space="preserve"> </v>
      </c>
      <c r="U428" s="232"/>
    </row>
    <row r="429" spans="1:21" s="18" customFormat="1" x14ac:dyDescent="0.25">
      <c r="A429" s="157"/>
      <c r="B429" s="6">
        <v>3</v>
      </c>
      <c r="C429" s="9" t="s">
        <v>167</v>
      </c>
      <c r="D429" s="6" t="s">
        <v>100</v>
      </c>
      <c r="E429" s="17" t="str">
        <f>VLOOKUP(C429,Resources!B:G,3,FALSE)</f>
        <v>M</v>
      </c>
      <c r="F429" s="12">
        <v>1</v>
      </c>
      <c r="G429" s="12">
        <v>1</v>
      </c>
      <c r="H429" s="12">
        <f>H426*1.6393</f>
        <v>1.999946</v>
      </c>
      <c r="I429" s="12">
        <f>VLOOKUP(C429,Resources!B:G,6,FALSE)</f>
        <v>25.5</v>
      </c>
      <c r="J429" s="21">
        <f t="shared" si="693"/>
        <v>50.998623000000002</v>
      </c>
      <c r="K429" s="21" t="str">
        <f t="shared" si="694"/>
        <v xml:space="preserve"> </v>
      </c>
      <c r="L429" s="24" t="str">
        <f t="shared" si="695"/>
        <v xml:space="preserve"> </v>
      </c>
      <c r="M429" s="24">
        <f t="shared" si="696"/>
        <v>0</v>
      </c>
      <c r="N429" s="24">
        <f t="shared" si="697"/>
        <v>50.998623000000002</v>
      </c>
      <c r="O429" s="24">
        <f t="shared" si="698"/>
        <v>0</v>
      </c>
      <c r="P429" s="24">
        <f t="shared" si="699"/>
        <v>0</v>
      </c>
      <c r="Q429" s="24">
        <f t="shared" si="700"/>
        <v>50.998623000000002</v>
      </c>
      <c r="R429" s="87" t="s">
        <v>542</v>
      </c>
      <c r="T429" s="235" t="str">
        <f t="shared" si="641"/>
        <v>y</v>
      </c>
      <c r="U429" s="232"/>
    </row>
    <row r="430" spans="1:21" s="19" customFormat="1" x14ac:dyDescent="0.25">
      <c r="A430" s="159"/>
      <c r="B430" s="28">
        <v>4</v>
      </c>
      <c r="C430" s="29" t="s">
        <v>168</v>
      </c>
      <c r="D430" s="28"/>
      <c r="E430" s="30"/>
      <c r="F430" s="31"/>
      <c r="G430" s="31"/>
      <c r="H430" s="31"/>
      <c r="I430" s="31"/>
      <c r="J430" s="32"/>
      <c r="K430" s="32"/>
      <c r="L430" s="33"/>
      <c r="M430" s="33"/>
      <c r="N430" s="33"/>
      <c r="O430" s="33"/>
      <c r="P430" s="33"/>
      <c r="Q430" s="33"/>
      <c r="R430" s="89"/>
      <c r="T430" s="235" t="str">
        <f t="shared" si="641"/>
        <v xml:space="preserve"> </v>
      </c>
      <c r="U430" s="236"/>
    </row>
    <row r="431" spans="1:21" s="18" customFormat="1" x14ac:dyDescent="0.25">
      <c r="A431" s="157">
        <v>58.1</v>
      </c>
      <c r="B431" s="6">
        <v>5</v>
      </c>
      <c r="C431" s="9" t="s">
        <v>70</v>
      </c>
      <c r="D431" s="6" t="s">
        <v>26</v>
      </c>
      <c r="E431" s="17" t="str">
        <f>VLOOKUP(C431,Resources!B:G,3,FALSE)</f>
        <v>P</v>
      </c>
      <c r="F431" s="12">
        <v>1</v>
      </c>
      <c r="G431" s="26">
        <f>VLOOKUP($A431,'Model Inputs'!$A:$C,3,FALSE)</f>
        <v>2.44</v>
      </c>
      <c r="H431" s="12">
        <f>H426</f>
        <v>1.22</v>
      </c>
      <c r="I431" s="12">
        <f>VLOOKUP(C431,Resources!B:G,6,FALSE)</f>
        <v>135</v>
      </c>
      <c r="J431" s="21">
        <f t="shared" ref="J431:J433" si="701">(H431/G431)*I431*F431</f>
        <v>67.5</v>
      </c>
      <c r="K431" s="21">
        <f t="shared" ref="K431:K433" si="702">IF(E431="M"," ",L431*F431)</f>
        <v>0.5</v>
      </c>
      <c r="L431" s="24">
        <f t="shared" ref="L431:L433" si="703">IF(E431="M"," ",H431/G431)</f>
        <v>0.5</v>
      </c>
      <c r="M431" s="24">
        <f t="shared" ref="M431:M433" si="704">IF($E431="L",$J431,0)</f>
        <v>0</v>
      </c>
      <c r="N431" s="24">
        <f t="shared" ref="N431:N433" si="705">IF($E431="M",$J431,0)</f>
        <v>0</v>
      </c>
      <c r="O431" s="24">
        <f t="shared" ref="O431:O433" si="706">IF($E431="P",$J431,0)</f>
        <v>67.5</v>
      </c>
      <c r="P431" s="24">
        <f t="shared" ref="P431:P433" si="707">IF($E431="S",$J431,0)</f>
        <v>0</v>
      </c>
      <c r="Q431" s="24">
        <f t="shared" ref="Q431:Q433" si="708">SUM(M431:P431)</f>
        <v>67.5</v>
      </c>
      <c r="R431" s="87">
        <v>81</v>
      </c>
      <c r="T431" s="235" t="str">
        <f t="shared" si="641"/>
        <v xml:space="preserve"> </v>
      </c>
      <c r="U431" s="232"/>
    </row>
    <row r="432" spans="1:21" s="18" customFormat="1" x14ac:dyDescent="0.25">
      <c r="A432" s="157"/>
      <c r="B432" s="6">
        <v>6</v>
      </c>
      <c r="C432" s="9" t="s">
        <v>27</v>
      </c>
      <c r="D432" s="6" t="s">
        <v>26</v>
      </c>
      <c r="E432" s="17" t="str">
        <f>VLOOKUP(C432,Resources!B:G,3,FALSE)</f>
        <v>P</v>
      </c>
      <c r="F432" s="12">
        <v>1</v>
      </c>
      <c r="G432" s="12">
        <f>G431</f>
        <v>2.44</v>
      </c>
      <c r="H432" s="12">
        <f>H431</f>
        <v>1.22</v>
      </c>
      <c r="I432" s="12">
        <f>VLOOKUP(C432,Resources!B:G,6,FALSE)</f>
        <v>90</v>
      </c>
      <c r="J432" s="21">
        <f t="shared" si="701"/>
        <v>45</v>
      </c>
      <c r="K432" s="21">
        <f t="shared" si="702"/>
        <v>0.5</v>
      </c>
      <c r="L432" s="24">
        <f t="shared" si="703"/>
        <v>0.5</v>
      </c>
      <c r="M432" s="24">
        <f t="shared" si="704"/>
        <v>0</v>
      </c>
      <c r="N432" s="24">
        <f t="shared" si="705"/>
        <v>0</v>
      </c>
      <c r="O432" s="24">
        <f t="shared" si="706"/>
        <v>45</v>
      </c>
      <c r="P432" s="24">
        <f t="shared" si="707"/>
        <v>0</v>
      </c>
      <c r="Q432" s="24">
        <f t="shared" si="708"/>
        <v>45</v>
      </c>
      <c r="R432" s="87">
        <v>81</v>
      </c>
      <c r="T432" s="235" t="str">
        <f t="shared" si="641"/>
        <v xml:space="preserve"> </v>
      </c>
      <c r="U432" s="232"/>
    </row>
    <row r="433" spans="1:21" s="18" customFormat="1" x14ac:dyDescent="0.25">
      <c r="A433" s="157"/>
      <c r="B433" s="6">
        <v>7</v>
      </c>
      <c r="C433" s="9" t="s">
        <v>8</v>
      </c>
      <c r="D433" s="6" t="s">
        <v>26</v>
      </c>
      <c r="E433" s="17" t="str">
        <f>VLOOKUP(C433,Resources!B:G,3,FALSE)</f>
        <v>L</v>
      </c>
      <c r="F433" s="12">
        <v>1</v>
      </c>
      <c r="G433" s="12">
        <f>G431</f>
        <v>2.44</v>
      </c>
      <c r="H433" s="12">
        <f>H431</f>
        <v>1.22</v>
      </c>
      <c r="I433" s="12">
        <f>VLOOKUP(C433,Resources!B:G,6,FALSE)</f>
        <v>51.9</v>
      </c>
      <c r="J433" s="21">
        <f t="shared" si="701"/>
        <v>25.95</v>
      </c>
      <c r="K433" s="21">
        <f t="shared" si="702"/>
        <v>0.5</v>
      </c>
      <c r="L433" s="24">
        <f t="shared" si="703"/>
        <v>0.5</v>
      </c>
      <c r="M433" s="24">
        <f t="shared" si="704"/>
        <v>25.95</v>
      </c>
      <c r="N433" s="24">
        <f t="shared" si="705"/>
        <v>0</v>
      </c>
      <c r="O433" s="24">
        <f t="shared" si="706"/>
        <v>0</v>
      </c>
      <c r="P433" s="24">
        <f t="shared" si="707"/>
        <v>0</v>
      </c>
      <c r="Q433" s="24">
        <f t="shared" si="708"/>
        <v>25.95</v>
      </c>
      <c r="R433" s="87">
        <v>81</v>
      </c>
      <c r="T433" s="235" t="str">
        <f t="shared" si="641"/>
        <v xml:space="preserve"> </v>
      </c>
      <c r="U433" s="232"/>
    </row>
    <row r="434" spans="1:21" s="19" customFormat="1" x14ac:dyDescent="0.25">
      <c r="A434" s="159"/>
      <c r="B434" s="28">
        <v>8</v>
      </c>
      <c r="C434" s="29" t="s">
        <v>169</v>
      </c>
      <c r="D434" s="28"/>
      <c r="E434" s="30"/>
      <c r="F434" s="31"/>
      <c r="G434" s="31"/>
      <c r="H434" s="12"/>
      <c r="I434" s="31"/>
      <c r="J434" s="32"/>
      <c r="K434" s="32"/>
      <c r="L434" s="33"/>
      <c r="M434" s="33"/>
      <c r="N434" s="33"/>
      <c r="O434" s="33"/>
      <c r="P434" s="33"/>
      <c r="Q434" s="33"/>
      <c r="R434" s="89"/>
      <c r="T434" s="235" t="str">
        <f t="shared" si="641"/>
        <v xml:space="preserve"> </v>
      </c>
      <c r="U434" s="236"/>
    </row>
    <row r="435" spans="1:21" s="18" customFormat="1" x14ac:dyDescent="0.25">
      <c r="A435" s="157">
        <v>58.2</v>
      </c>
      <c r="B435" s="6">
        <v>9</v>
      </c>
      <c r="C435" s="9" t="s">
        <v>70</v>
      </c>
      <c r="D435" s="6" t="s">
        <v>26</v>
      </c>
      <c r="E435" s="17" t="str">
        <f>VLOOKUP(C435,Resources!B:G,3,FALSE)</f>
        <v>P</v>
      </c>
      <c r="F435" s="12">
        <v>1</v>
      </c>
      <c r="G435" s="26">
        <f>VLOOKUP($A435,'Model Inputs'!$A:$C,3,FALSE)</f>
        <v>1.22</v>
      </c>
      <c r="H435" s="12">
        <f>H426</f>
        <v>1.22</v>
      </c>
      <c r="I435" s="12">
        <f>VLOOKUP(C435,Resources!B:G,6,FALSE)</f>
        <v>135</v>
      </c>
      <c r="J435" s="21">
        <f t="shared" ref="J435:J436" si="709">(H435/G435)*I435*F435</f>
        <v>135</v>
      </c>
      <c r="K435" s="21">
        <f t="shared" ref="K435:K436" si="710">IF(E435="M"," ",L435*F435)</f>
        <v>1</v>
      </c>
      <c r="L435" s="24">
        <f t="shared" ref="L435:L436" si="711">IF(E435="M"," ",H435/G435)</f>
        <v>1</v>
      </c>
      <c r="M435" s="24">
        <f t="shared" ref="M435:M436" si="712">IF($E435="L",$J435,0)</f>
        <v>0</v>
      </c>
      <c r="N435" s="24">
        <f t="shared" ref="N435:N436" si="713">IF($E435="M",$J435,0)</f>
        <v>0</v>
      </c>
      <c r="O435" s="24">
        <f t="shared" ref="O435:O436" si="714">IF($E435="P",$J435,0)</f>
        <v>135</v>
      </c>
      <c r="P435" s="24">
        <f t="shared" ref="P435:P436" si="715">IF($E435="S",$J435,0)</f>
        <v>0</v>
      </c>
      <c r="Q435" s="24">
        <f t="shared" ref="Q435:Q436" si="716">SUM(M435:P435)</f>
        <v>135</v>
      </c>
      <c r="R435" s="87">
        <v>81</v>
      </c>
      <c r="T435" s="235" t="str">
        <f t="shared" si="641"/>
        <v xml:space="preserve"> </v>
      </c>
      <c r="U435" s="232"/>
    </row>
    <row r="436" spans="1:21" s="18" customFormat="1" x14ac:dyDescent="0.25">
      <c r="A436" s="157"/>
      <c r="B436" s="6">
        <v>10</v>
      </c>
      <c r="C436" s="9" t="s">
        <v>28</v>
      </c>
      <c r="D436" s="6" t="s">
        <v>26</v>
      </c>
      <c r="E436" s="17" t="str">
        <f>VLOOKUP(C436,Resources!B:G,3,FALSE)</f>
        <v>P</v>
      </c>
      <c r="F436" s="12">
        <v>1</v>
      </c>
      <c r="G436" s="12">
        <f>G435*2</f>
        <v>2.44</v>
      </c>
      <c r="H436" s="12">
        <f>H426</f>
        <v>1.22</v>
      </c>
      <c r="I436" s="12">
        <f>VLOOKUP(C436,Resources!B:G,6,FALSE)</f>
        <v>95</v>
      </c>
      <c r="J436" s="21">
        <f t="shared" si="709"/>
        <v>47.5</v>
      </c>
      <c r="K436" s="21">
        <f t="shared" si="710"/>
        <v>0.5</v>
      </c>
      <c r="L436" s="24">
        <f t="shared" si="711"/>
        <v>0.5</v>
      </c>
      <c r="M436" s="24">
        <f t="shared" si="712"/>
        <v>0</v>
      </c>
      <c r="N436" s="24">
        <f t="shared" si="713"/>
        <v>0</v>
      </c>
      <c r="O436" s="24">
        <f t="shared" si="714"/>
        <v>47.5</v>
      </c>
      <c r="P436" s="24">
        <f t="shared" si="715"/>
        <v>0</v>
      </c>
      <c r="Q436" s="24">
        <f t="shared" si="716"/>
        <v>47.5</v>
      </c>
      <c r="R436" s="87">
        <v>81</v>
      </c>
      <c r="T436" s="235" t="str">
        <f t="shared" si="641"/>
        <v xml:space="preserve"> </v>
      </c>
      <c r="U436" s="232"/>
    </row>
    <row r="437" spans="1:21" s="19" customFormat="1" x14ac:dyDescent="0.25">
      <c r="A437" s="159"/>
      <c r="B437" s="28">
        <v>11</v>
      </c>
      <c r="C437" s="29" t="s">
        <v>170</v>
      </c>
      <c r="D437" s="28"/>
      <c r="E437" s="30"/>
      <c r="F437" s="31"/>
      <c r="G437" s="31"/>
      <c r="H437" s="12"/>
      <c r="I437" s="31"/>
      <c r="J437" s="32"/>
      <c r="K437" s="32"/>
      <c r="L437" s="33"/>
      <c r="M437" s="33"/>
      <c r="N437" s="33"/>
      <c r="O437" s="33"/>
      <c r="P437" s="33"/>
      <c r="Q437" s="33"/>
      <c r="R437" s="89"/>
      <c r="T437" s="235" t="str">
        <f t="shared" si="641"/>
        <v xml:space="preserve"> </v>
      </c>
      <c r="U437" s="236"/>
    </row>
    <row r="438" spans="1:21" s="18" customFormat="1" x14ac:dyDescent="0.25">
      <c r="A438" s="157">
        <v>58.3</v>
      </c>
      <c r="B438" s="6">
        <v>12</v>
      </c>
      <c r="C438" s="9" t="s">
        <v>70</v>
      </c>
      <c r="D438" s="6" t="s">
        <v>26</v>
      </c>
      <c r="E438" s="17" t="str">
        <f>VLOOKUP(C438,Resources!B:G,3,FALSE)</f>
        <v>P</v>
      </c>
      <c r="F438" s="12">
        <v>1</v>
      </c>
      <c r="G438" s="26">
        <f>VLOOKUP($A438,'Model Inputs'!$A:$C,3,FALSE)</f>
        <v>1.22</v>
      </c>
      <c r="H438" s="12">
        <f>H426</f>
        <v>1.22</v>
      </c>
      <c r="I438" s="12">
        <f>VLOOKUP(C438,Resources!B:G,6,FALSE)</f>
        <v>135</v>
      </c>
      <c r="J438" s="21">
        <f t="shared" ref="J438:J439" si="717">(H438/G438)*I438*F438</f>
        <v>135</v>
      </c>
      <c r="K438" s="21">
        <f t="shared" ref="K438:K439" si="718">IF(E438="M"," ",L438*F438)</f>
        <v>1</v>
      </c>
      <c r="L438" s="24">
        <f t="shared" ref="L438:L439" si="719">IF(E438="M"," ",H438/G438)</f>
        <v>1</v>
      </c>
      <c r="M438" s="24">
        <f t="shared" ref="M438:M439" si="720">IF($E438="L",$J438,0)</f>
        <v>0</v>
      </c>
      <c r="N438" s="24">
        <f t="shared" ref="N438:N439" si="721">IF($E438="M",$J438,0)</f>
        <v>0</v>
      </c>
      <c r="O438" s="24">
        <f t="shared" ref="O438:O439" si="722">IF($E438="P",$J438,0)</f>
        <v>135</v>
      </c>
      <c r="P438" s="24">
        <f t="shared" ref="P438:P439" si="723">IF($E438="S",$J438,0)</f>
        <v>0</v>
      </c>
      <c r="Q438" s="24">
        <f t="shared" ref="Q438:Q439" si="724">SUM(M438:P438)</f>
        <v>135</v>
      </c>
      <c r="R438" s="87">
        <v>81</v>
      </c>
      <c r="T438" s="235" t="str">
        <f t="shared" si="641"/>
        <v xml:space="preserve"> </v>
      </c>
      <c r="U438" s="232"/>
    </row>
    <row r="439" spans="1:21" s="18" customFormat="1" x14ac:dyDescent="0.25">
      <c r="A439" s="157"/>
      <c r="B439" s="6">
        <v>13</v>
      </c>
      <c r="C439" s="9" t="s">
        <v>8</v>
      </c>
      <c r="D439" s="6" t="s">
        <v>26</v>
      </c>
      <c r="E439" s="17" t="str">
        <f>VLOOKUP(C439,Resources!B:G,3,FALSE)</f>
        <v>L</v>
      </c>
      <c r="F439" s="12">
        <v>1</v>
      </c>
      <c r="G439" s="12">
        <f>G438/2</f>
        <v>0.61</v>
      </c>
      <c r="H439" s="12">
        <f>H426</f>
        <v>1.22</v>
      </c>
      <c r="I439" s="12">
        <f>VLOOKUP(C439,Resources!B:G,6,FALSE)</f>
        <v>51.9</v>
      </c>
      <c r="J439" s="21">
        <f t="shared" si="717"/>
        <v>103.8</v>
      </c>
      <c r="K439" s="21">
        <f t="shared" si="718"/>
        <v>2</v>
      </c>
      <c r="L439" s="24">
        <f t="shared" si="719"/>
        <v>2</v>
      </c>
      <c r="M439" s="24">
        <f t="shared" si="720"/>
        <v>103.8</v>
      </c>
      <c r="N439" s="24">
        <f t="shared" si="721"/>
        <v>0</v>
      </c>
      <c r="O439" s="24">
        <f t="shared" si="722"/>
        <v>0</v>
      </c>
      <c r="P439" s="24">
        <f t="shared" si="723"/>
        <v>0</v>
      </c>
      <c r="Q439" s="24">
        <f t="shared" si="724"/>
        <v>103.8</v>
      </c>
      <c r="R439" s="87">
        <v>81</v>
      </c>
      <c r="T439" s="235" t="str">
        <f t="shared" si="641"/>
        <v xml:space="preserve"> </v>
      </c>
      <c r="U439" s="232"/>
    </row>
    <row r="440" spans="1:21" s="19" customFormat="1" x14ac:dyDescent="0.25">
      <c r="A440" s="159"/>
      <c r="B440" s="28">
        <v>14</v>
      </c>
      <c r="C440" s="29" t="s">
        <v>171</v>
      </c>
      <c r="D440" s="28"/>
      <c r="E440" s="30"/>
      <c r="F440" s="31"/>
      <c r="G440" s="31"/>
      <c r="H440" s="12"/>
      <c r="I440" s="31"/>
      <c r="J440" s="32"/>
      <c r="K440" s="32"/>
      <c r="L440" s="33"/>
      <c r="M440" s="33"/>
      <c r="N440" s="33"/>
      <c r="O440" s="33"/>
      <c r="P440" s="33"/>
      <c r="Q440" s="33"/>
      <c r="R440" s="89"/>
      <c r="T440" s="235" t="str">
        <f t="shared" si="641"/>
        <v xml:space="preserve"> </v>
      </c>
      <c r="U440" s="236"/>
    </row>
    <row r="441" spans="1:21" s="18" customFormat="1" x14ac:dyDescent="0.25">
      <c r="A441" s="157">
        <v>58.4</v>
      </c>
      <c r="B441" s="6">
        <v>15</v>
      </c>
      <c r="C441" s="9" t="s">
        <v>8</v>
      </c>
      <c r="D441" s="6" t="s">
        <v>26</v>
      </c>
      <c r="E441" s="17" t="str">
        <f>VLOOKUP(C441,Resources!B:G,3,FALSE)</f>
        <v>L</v>
      </c>
      <c r="F441" s="12">
        <v>1</v>
      </c>
      <c r="G441" s="26">
        <f>VLOOKUP($A441,'Model Inputs'!$A:$C,3,FALSE)</f>
        <v>0.30499999999999999</v>
      </c>
      <c r="H441" s="12">
        <f>H426</f>
        <v>1.22</v>
      </c>
      <c r="I441" s="12">
        <f>VLOOKUP(C441,Resources!B:G,6,FALSE)</f>
        <v>51.9</v>
      </c>
      <c r="J441" s="21">
        <f t="shared" ref="J441:J443" si="725">(H441/G441)*I441*F441</f>
        <v>207.6</v>
      </c>
      <c r="K441" s="21">
        <f t="shared" ref="K441:K443" si="726">IF(E441="M"," ",L441*F441)</f>
        <v>4</v>
      </c>
      <c r="L441" s="24">
        <f t="shared" ref="L441:L443" si="727">IF(E441="M"," ",H441/G441)</f>
        <v>4</v>
      </c>
      <c r="M441" s="24">
        <f t="shared" ref="M441:M443" si="728">IF($E441="L",$J441,0)</f>
        <v>207.6</v>
      </c>
      <c r="N441" s="24">
        <f t="shared" ref="N441:N443" si="729">IF($E441="M",$J441,0)</f>
        <v>0</v>
      </c>
      <c r="O441" s="24">
        <f t="shared" ref="O441:O443" si="730">IF($E441="P",$J441,0)</f>
        <v>0</v>
      </c>
      <c r="P441" s="24">
        <f t="shared" ref="P441:P443" si="731">IF($E441="S",$J441,0)</f>
        <v>0</v>
      </c>
      <c r="Q441" s="24">
        <f t="shared" ref="Q441:Q443" si="732">SUM(M441:P441)</f>
        <v>207.6</v>
      </c>
      <c r="R441" s="87">
        <v>81</v>
      </c>
      <c r="T441" s="235" t="str">
        <f t="shared" si="641"/>
        <v xml:space="preserve"> </v>
      </c>
      <c r="U441" s="232"/>
    </row>
    <row r="442" spans="1:21" s="18" customFormat="1" x14ac:dyDescent="0.25">
      <c r="A442" s="157"/>
      <c r="B442" s="6">
        <v>16</v>
      </c>
      <c r="C442" s="9" t="s">
        <v>82</v>
      </c>
      <c r="D442" s="6" t="s">
        <v>26</v>
      </c>
      <c r="E442" s="17" t="str">
        <f>VLOOKUP(C442,Resources!B:G,3,FALSE)</f>
        <v>P</v>
      </c>
      <c r="F442" s="12">
        <v>1</v>
      </c>
      <c r="G442" s="12">
        <f>G441*2</f>
        <v>0.61</v>
      </c>
      <c r="H442" s="12">
        <f>H426</f>
        <v>1.22</v>
      </c>
      <c r="I442" s="12">
        <f>VLOOKUP(C442,Resources!B:G,6,FALSE)</f>
        <v>95</v>
      </c>
      <c r="J442" s="21">
        <f t="shared" si="725"/>
        <v>190</v>
      </c>
      <c r="K442" s="21">
        <f t="shared" si="726"/>
        <v>2</v>
      </c>
      <c r="L442" s="24">
        <f t="shared" si="727"/>
        <v>2</v>
      </c>
      <c r="M442" s="24">
        <f t="shared" si="728"/>
        <v>0</v>
      </c>
      <c r="N442" s="24">
        <f t="shared" si="729"/>
        <v>0</v>
      </c>
      <c r="O442" s="24">
        <f t="shared" si="730"/>
        <v>190</v>
      </c>
      <c r="P442" s="24">
        <f t="shared" si="731"/>
        <v>0</v>
      </c>
      <c r="Q442" s="24">
        <f t="shared" si="732"/>
        <v>190</v>
      </c>
      <c r="R442" s="87">
        <v>81</v>
      </c>
      <c r="T442" s="235" t="str">
        <f t="shared" si="641"/>
        <v xml:space="preserve"> </v>
      </c>
      <c r="U442" s="232"/>
    </row>
    <row r="443" spans="1:21" s="18" customFormat="1" x14ac:dyDescent="0.25">
      <c r="A443" s="157"/>
      <c r="B443" s="6">
        <v>17</v>
      </c>
      <c r="C443" s="9" t="s">
        <v>28</v>
      </c>
      <c r="D443" s="6" t="s">
        <v>26</v>
      </c>
      <c r="E443" s="17" t="str">
        <f>VLOOKUP(C443,Resources!B:G,3,FALSE)</f>
        <v>P</v>
      </c>
      <c r="F443" s="12">
        <v>1</v>
      </c>
      <c r="G443" s="12">
        <f>G441*4</f>
        <v>1.22</v>
      </c>
      <c r="H443" s="12">
        <f>H426</f>
        <v>1.22</v>
      </c>
      <c r="I443" s="12">
        <f>VLOOKUP(C443,Resources!B:G,6,FALSE)</f>
        <v>95</v>
      </c>
      <c r="J443" s="21">
        <f t="shared" si="725"/>
        <v>95</v>
      </c>
      <c r="K443" s="21">
        <f t="shared" si="726"/>
        <v>1</v>
      </c>
      <c r="L443" s="24">
        <f t="shared" si="727"/>
        <v>1</v>
      </c>
      <c r="M443" s="24">
        <f t="shared" si="728"/>
        <v>0</v>
      </c>
      <c r="N443" s="24">
        <f t="shared" si="729"/>
        <v>0</v>
      </c>
      <c r="O443" s="24">
        <f t="shared" si="730"/>
        <v>95</v>
      </c>
      <c r="P443" s="24">
        <f t="shared" si="731"/>
        <v>0</v>
      </c>
      <c r="Q443" s="24">
        <f t="shared" si="732"/>
        <v>95</v>
      </c>
      <c r="R443" s="87">
        <v>81</v>
      </c>
      <c r="T443" s="235" t="str">
        <f t="shared" si="641"/>
        <v xml:space="preserve"> </v>
      </c>
      <c r="U443" s="232"/>
    </row>
    <row r="444" spans="1:21" x14ac:dyDescent="0.25">
      <c r="F444" s="11"/>
      <c r="G444" s="11"/>
      <c r="H444" s="11"/>
      <c r="I444" s="11"/>
      <c r="J444" s="11"/>
      <c r="K444" s="11"/>
      <c r="R444" s="88"/>
      <c r="T444" s="235" t="str">
        <f t="shared" si="641"/>
        <v xml:space="preserve"> </v>
      </c>
    </row>
    <row r="445" spans="1:21" ht="30" x14ac:dyDescent="0.25">
      <c r="A445" s="156">
        <v>59</v>
      </c>
      <c r="B445" s="3" t="s">
        <v>220</v>
      </c>
      <c r="C445" s="3" t="s">
        <v>221</v>
      </c>
      <c r="D445" s="4" t="s">
        <v>145</v>
      </c>
      <c r="E445" s="15"/>
      <c r="F445" s="10"/>
      <c r="G445" s="10"/>
      <c r="H445" s="26">
        <f>VLOOKUP($A445,'Model Inputs'!$A:$C,3,FALSE)</f>
        <v>1</v>
      </c>
      <c r="I445" s="10"/>
      <c r="J445" s="10">
        <f>SUBTOTAL(9,J446:J448)</f>
        <v>1257.8</v>
      </c>
      <c r="K445" s="10"/>
      <c r="L445" s="10">
        <f>ROUNDUP(MAX(L446:L448)/Workhrs,0)</f>
        <v>1</v>
      </c>
      <c r="M445" s="10">
        <f>SUBTOTAL(9,M446:M448)</f>
        <v>622.79999999999995</v>
      </c>
      <c r="N445" s="10">
        <f t="shared" ref="N445:Q445" si="733">SUBTOTAL(9,N446:N448)</f>
        <v>365</v>
      </c>
      <c r="O445" s="10">
        <f t="shared" si="733"/>
        <v>270</v>
      </c>
      <c r="P445" s="10">
        <f t="shared" si="733"/>
        <v>0</v>
      </c>
      <c r="Q445" s="10">
        <f t="shared" si="733"/>
        <v>1257.8</v>
      </c>
      <c r="R445" s="86"/>
      <c r="T445" s="235" t="str">
        <f t="shared" si="641"/>
        <v xml:space="preserve"> </v>
      </c>
    </row>
    <row r="446" spans="1:21" x14ac:dyDescent="0.25">
      <c r="A446" s="157"/>
      <c r="B446" s="6">
        <v>1</v>
      </c>
      <c r="C446" s="9" t="s">
        <v>174</v>
      </c>
      <c r="D446" s="6" t="s">
        <v>31</v>
      </c>
      <c r="E446" s="17" t="str">
        <f>VLOOKUP(C446,Resources!B:G,3,FALSE)</f>
        <v>M</v>
      </c>
      <c r="F446" s="12">
        <v>1</v>
      </c>
      <c r="G446" s="12">
        <v>1</v>
      </c>
      <c r="H446" s="12">
        <f>H445</f>
        <v>1</v>
      </c>
      <c r="I446" s="12">
        <f>VLOOKUP(C446,Resources!B:G,6,FALSE)</f>
        <v>365</v>
      </c>
      <c r="J446" s="21">
        <f t="shared" ref="J446:J448" si="734">(H446/G446)*I446*F446</f>
        <v>365</v>
      </c>
      <c r="K446" s="21" t="str">
        <f t="shared" ref="K446:K448" si="735">IF(E446="M"," ",L446*F446)</f>
        <v xml:space="preserve"> </v>
      </c>
      <c r="L446" s="24" t="str">
        <f t="shared" ref="L446:L448" si="736">IF(E446="M"," ",H446/G446)</f>
        <v xml:space="preserve"> </v>
      </c>
      <c r="M446" s="24">
        <f t="shared" ref="M446:M448" si="737">IF($E446="L",$J446,0)</f>
        <v>0</v>
      </c>
      <c r="N446" s="24">
        <f t="shared" ref="N446:N448" si="738">IF($E446="M",$J446,0)</f>
        <v>365</v>
      </c>
      <c r="O446" s="24">
        <f t="shared" ref="O446:O448" si="739">IF($E446="P",$J446,0)</f>
        <v>0</v>
      </c>
      <c r="P446" s="24">
        <f t="shared" ref="P446:P448" si="740">IF($E446="S",$J446,0)</f>
        <v>0</v>
      </c>
      <c r="Q446" s="24">
        <f t="shared" ref="Q446:Q448" si="741">SUM(M446:P446)</f>
        <v>365</v>
      </c>
      <c r="R446" s="87" t="s">
        <v>545</v>
      </c>
      <c r="T446" s="235" t="str">
        <f t="shared" si="641"/>
        <v xml:space="preserve"> </v>
      </c>
    </row>
    <row r="447" spans="1:21" x14ac:dyDescent="0.25">
      <c r="A447" s="157">
        <v>59.1</v>
      </c>
      <c r="B447" s="6">
        <v>2</v>
      </c>
      <c r="C447" s="9" t="s">
        <v>70</v>
      </c>
      <c r="D447" s="6" t="s">
        <v>26</v>
      </c>
      <c r="E447" s="17" t="str">
        <f>VLOOKUP(C447,Resources!B:G,3,FALSE)</f>
        <v>P</v>
      </c>
      <c r="F447" s="12">
        <v>1</v>
      </c>
      <c r="G447" s="26">
        <f>VLOOKUP($A447,'Model Inputs'!$A:$C,3,FALSE)</f>
        <v>0.5</v>
      </c>
      <c r="H447" s="12">
        <v>1</v>
      </c>
      <c r="I447" s="12">
        <f>VLOOKUP(C447,Resources!B:G,6,FALSE)</f>
        <v>135</v>
      </c>
      <c r="J447" s="21">
        <f t="shared" si="734"/>
        <v>270</v>
      </c>
      <c r="K447" s="21">
        <f t="shared" si="735"/>
        <v>2</v>
      </c>
      <c r="L447" s="24">
        <f t="shared" si="736"/>
        <v>2</v>
      </c>
      <c r="M447" s="24">
        <f t="shared" si="737"/>
        <v>0</v>
      </c>
      <c r="N447" s="24">
        <f t="shared" si="738"/>
        <v>0</v>
      </c>
      <c r="O447" s="24">
        <f t="shared" si="739"/>
        <v>270</v>
      </c>
      <c r="P447" s="24">
        <f t="shared" si="740"/>
        <v>0</v>
      </c>
      <c r="Q447" s="24">
        <f t="shared" si="741"/>
        <v>270</v>
      </c>
      <c r="R447" s="87">
        <v>81</v>
      </c>
      <c r="T447" s="235" t="str">
        <f t="shared" si="641"/>
        <v xml:space="preserve"> </v>
      </c>
    </row>
    <row r="448" spans="1:21" x14ac:dyDescent="0.25">
      <c r="A448" s="157"/>
      <c r="B448" s="6">
        <v>3</v>
      </c>
      <c r="C448" s="9" t="s">
        <v>8</v>
      </c>
      <c r="D448" s="6" t="s">
        <v>26</v>
      </c>
      <c r="E448" s="17" t="str">
        <f>VLOOKUP(C448,Resources!B:G,3,FALSE)</f>
        <v>L</v>
      </c>
      <c r="F448" s="12">
        <v>3</v>
      </c>
      <c r="G448" s="12">
        <f>G447/2</f>
        <v>0.25</v>
      </c>
      <c r="H448" s="12">
        <v>1</v>
      </c>
      <c r="I448" s="12">
        <f>VLOOKUP(C448,Resources!B:G,6,FALSE)</f>
        <v>51.9</v>
      </c>
      <c r="J448" s="21">
        <f t="shared" si="734"/>
        <v>622.79999999999995</v>
      </c>
      <c r="K448" s="21">
        <f t="shared" si="735"/>
        <v>12</v>
      </c>
      <c r="L448" s="24">
        <f t="shared" si="736"/>
        <v>4</v>
      </c>
      <c r="M448" s="24">
        <f t="shared" si="737"/>
        <v>622.79999999999995</v>
      </c>
      <c r="N448" s="24">
        <f t="shared" si="738"/>
        <v>0</v>
      </c>
      <c r="O448" s="24">
        <f t="shared" si="739"/>
        <v>0</v>
      </c>
      <c r="P448" s="24">
        <f t="shared" si="740"/>
        <v>0</v>
      </c>
      <c r="Q448" s="24">
        <f t="shared" si="741"/>
        <v>622.79999999999995</v>
      </c>
      <c r="R448" s="87">
        <v>81</v>
      </c>
      <c r="T448" s="235" t="str">
        <f t="shared" si="641"/>
        <v xml:space="preserve"> </v>
      </c>
    </row>
    <row r="449" spans="1:21" x14ac:dyDescent="0.25">
      <c r="F449" s="11"/>
      <c r="G449" s="11"/>
      <c r="H449" s="11"/>
      <c r="I449" s="11"/>
      <c r="J449" s="11"/>
      <c r="K449" s="11"/>
      <c r="R449" s="88"/>
      <c r="T449" s="235" t="str">
        <f t="shared" si="641"/>
        <v xml:space="preserve"> </v>
      </c>
    </row>
    <row r="450" spans="1:21" ht="30" x14ac:dyDescent="0.25">
      <c r="A450" s="156"/>
      <c r="B450" s="3" t="s">
        <v>222</v>
      </c>
      <c r="C450" s="3" t="s">
        <v>223</v>
      </c>
      <c r="D450" s="4"/>
      <c r="E450" s="15"/>
      <c r="F450" s="10"/>
      <c r="G450" s="10"/>
      <c r="H450" s="10"/>
      <c r="I450" s="10"/>
      <c r="J450" s="10"/>
      <c r="K450" s="10"/>
      <c r="L450" s="23"/>
      <c r="M450" s="23"/>
      <c r="N450" s="23"/>
      <c r="O450" s="23"/>
      <c r="P450" s="23"/>
      <c r="Q450" s="23"/>
      <c r="R450" s="86"/>
      <c r="T450" s="235" t="str">
        <f t="shared" si="641"/>
        <v xml:space="preserve"> </v>
      </c>
    </row>
    <row r="451" spans="1:21" ht="75" x14ac:dyDescent="0.25">
      <c r="A451" s="156">
        <v>60</v>
      </c>
      <c r="B451" s="3" t="s">
        <v>224</v>
      </c>
      <c r="C451" s="3" t="s">
        <v>579</v>
      </c>
      <c r="D451" s="4" t="s">
        <v>32</v>
      </c>
      <c r="E451" s="15"/>
      <c r="F451" s="10"/>
      <c r="G451" s="10"/>
      <c r="H451" s="26">
        <f>VLOOKUP($A451,'Model Inputs'!$A:$C,3,FALSE)</f>
        <v>1.22</v>
      </c>
      <c r="I451" s="10"/>
      <c r="J451" s="10">
        <f>SUBTOTAL(9,J453:J454,J456:J458,J460:J461,J463:J464,J466:J468)</f>
        <v>2147.6136978016934</v>
      </c>
      <c r="K451" s="10"/>
      <c r="L451" s="10">
        <f>ROUNDUP(SUM(L458,L460,L464,L466)/Workhrs,0)</f>
        <v>2</v>
      </c>
      <c r="M451" s="10">
        <f>SUBTOTAL(9,M453:M454,M456:M458,M460:M461,M463:M464,M466:M468)</f>
        <v>571.4113300492611</v>
      </c>
      <c r="N451" s="10">
        <f t="shared" ref="N451:Q451" si="742">SUBTOTAL(9,N453:N454,N456:N458,N460:N461,N463:N464,N466:N468)</f>
        <v>562.97589300000004</v>
      </c>
      <c r="O451" s="10">
        <f t="shared" si="742"/>
        <v>1013.2264747524323</v>
      </c>
      <c r="P451" s="10">
        <f t="shared" si="742"/>
        <v>0</v>
      </c>
      <c r="Q451" s="10">
        <f t="shared" si="742"/>
        <v>2147.6136978016934</v>
      </c>
      <c r="R451" s="86"/>
      <c r="T451" s="235" t="str">
        <f t="shared" si="641"/>
        <v xml:space="preserve"> </v>
      </c>
    </row>
    <row r="452" spans="1:21" s="19" customFormat="1" x14ac:dyDescent="0.25">
      <c r="A452" s="159"/>
      <c r="B452" s="28">
        <v>1</v>
      </c>
      <c r="C452" s="29" t="s">
        <v>165</v>
      </c>
      <c r="D452" s="28"/>
      <c r="E452" s="30"/>
      <c r="F452" s="31"/>
      <c r="G452" s="31"/>
      <c r="H452" s="31"/>
      <c r="I452" s="31"/>
      <c r="J452" s="32"/>
      <c r="K452" s="32"/>
      <c r="L452" s="33"/>
      <c r="M452" s="33"/>
      <c r="N452" s="33"/>
      <c r="O452" s="33"/>
      <c r="P452" s="33"/>
      <c r="Q452" s="33"/>
      <c r="R452" s="89"/>
      <c r="T452" s="235" t="str">
        <f t="shared" si="641"/>
        <v xml:space="preserve"> </v>
      </c>
      <c r="U452" s="236"/>
    </row>
    <row r="453" spans="1:21" s="18" customFormat="1" x14ac:dyDescent="0.25">
      <c r="A453" s="157"/>
      <c r="B453" s="6">
        <v>2</v>
      </c>
      <c r="C453" s="9" t="s">
        <v>478</v>
      </c>
      <c r="D453" s="6" t="s">
        <v>32</v>
      </c>
      <c r="E453" s="17" t="str">
        <f>VLOOKUP(C453,Resources!B:G,3,FALSE)</f>
        <v>M</v>
      </c>
      <c r="F453" s="12">
        <v>1</v>
      </c>
      <c r="G453" s="12">
        <v>1</v>
      </c>
      <c r="H453" s="12">
        <f>H451*3.672</f>
        <v>4.4798400000000003</v>
      </c>
      <c r="I453" s="12">
        <f>VLOOKUP(C453,Resources!B:G,6,FALSE)</f>
        <v>102.9</v>
      </c>
      <c r="J453" s="21">
        <f t="shared" ref="J453:J454" si="743">(H453/G453)*I453*F453</f>
        <v>460.97553600000003</v>
      </c>
      <c r="K453" s="21" t="str">
        <f t="shared" ref="K453:K454" si="744">IF(E453="M"," ",L453*F453)</f>
        <v xml:space="preserve"> </v>
      </c>
      <c r="L453" s="24" t="str">
        <f t="shared" ref="L453:L454" si="745">IF(E453="M"," ",H453/G453)</f>
        <v xml:space="preserve"> </v>
      </c>
      <c r="M453" s="24">
        <f t="shared" ref="M453:M454" si="746">IF($E453="L",$J453,0)</f>
        <v>0</v>
      </c>
      <c r="N453" s="24">
        <f t="shared" ref="N453:N454" si="747">IF($E453="M",$J453,0)</f>
        <v>460.97553600000003</v>
      </c>
      <c r="O453" s="24">
        <f t="shared" ref="O453:O454" si="748">IF($E453="P",$J453,0)</f>
        <v>0</v>
      </c>
      <c r="P453" s="24">
        <f t="shared" ref="P453:P454" si="749">IF($E453="S",$J453,0)</f>
        <v>0</v>
      </c>
      <c r="Q453" s="24">
        <f t="shared" ref="Q453:Q454" si="750">SUM(M453:P453)</f>
        <v>460.97553600000003</v>
      </c>
      <c r="R453" s="87" t="s">
        <v>541</v>
      </c>
      <c r="T453" s="235" t="str">
        <f t="shared" si="641"/>
        <v xml:space="preserve"> </v>
      </c>
      <c r="U453" s="232"/>
    </row>
    <row r="454" spans="1:21" s="18" customFormat="1" x14ac:dyDescent="0.25">
      <c r="A454" s="157"/>
      <c r="B454" s="6">
        <v>3</v>
      </c>
      <c r="C454" s="9" t="s">
        <v>167</v>
      </c>
      <c r="D454" s="6" t="s">
        <v>100</v>
      </c>
      <c r="E454" s="17" t="str">
        <f>VLOOKUP(C454,Resources!B:G,3,FALSE)</f>
        <v>M</v>
      </c>
      <c r="F454" s="12">
        <v>1</v>
      </c>
      <c r="G454" s="12">
        <v>1</v>
      </c>
      <c r="H454" s="12">
        <f>H451*3.2787</f>
        <v>4.0000140000000002</v>
      </c>
      <c r="I454" s="12">
        <f>VLOOKUP(C454,Resources!B:G,6,FALSE)</f>
        <v>25.5</v>
      </c>
      <c r="J454" s="21">
        <f t="shared" si="743"/>
        <v>102.00035700000001</v>
      </c>
      <c r="K454" s="21" t="str">
        <f t="shared" si="744"/>
        <v xml:space="preserve"> </v>
      </c>
      <c r="L454" s="24" t="str">
        <f t="shared" si="745"/>
        <v xml:space="preserve"> </v>
      </c>
      <c r="M454" s="24">
        <f t="shared" si="746"/>
        <v>0</v>
      </c>
      <c r="N454" s="24">
        <f t="shared" si="747"/>
        <v>102.00035700000001</v>
      </c>
      <c r="O454" s="24">
        <f t="shared" si="748"/>
        <v>0</v>
      </c>
      <c r="P454" s="24">
        <f t="shared" si="749"/>
        <v>0</v>
      </c>
      <c r="Q454" s="24">
        <f t="shared" si="750"/>
        <v>102.00035700000001</v>
      </c>
      <c r="R454" s="87" t="s">
        <v>542</v>
      </c>
      <c r="T454" s="235" t="str">
        <f t="shared" si="641"/>
        <v>y</v>
      </c>
      <c r="U454" s="232"/>
    </row>
    <row r="455" spans="1:21" s="19" customFormat="1" x14ac:dyDescent="0.25">
      <c r="A455" s="159"/>
      <c r="B455" s="28">
        <v>4</v>
      </c>
      <c r="C455" s="29" t="s">
        <v>168</v>
      </c>
      <c r="D455" s="28"/>
      <c r="E455" s="30"/>
      <c r="F455" s="31"/>
      <c r="G455" s="31"/>
      <c r="H455" s="31"/>
      <c r="I455" s="31"/>
      <c r="J455" s="32"/>
      <c r="K455" s="32"/>
      <c r="L455" s="33"/>
      <c r="M455" s="33"/>
      <c r="N455" s="33"/>
      <c r="O455" s="33"/>
      <c r="P455" s="33"/>
      <c r="Q455" s="33"/>
      <c r="R455" s="89"/>
      <c r="T455" s="235" t="str">
        <f t="shared" si="641"/>
        <v xml:space="preserve"> </v>
      </c>
      <c r="U455" s="236"/>
    </row>
    <row r="456" spans="1:21" s="18" customFormat="1" x14ac:dyDescent="0.25">
      <c r="A456" s="157">
        <v>60.1</v>
      </c>
      <c r="B456" s="6">
        <v>5</v>
      </c>
      <c r="C456" s="9" t="s">
        <v>70</v>
      </c>
      <c r="D456" s="6" t="s">
        <v>26</v>
      </c>
      <c r="E456" s="17" t="str">
        <f>VLOOKUP(C456,Resources!B:G,3,FALSE)</f>
        <v>P</v>
      </c>
      <c r="F456" s="12">
        <v>1</v>
      </c>
      <c r="G456" s="26">
        <f>VLOOKUP($A456,'Model Inputs'!$A:$C,3,FALSE)</f>
        <v>2.44</v>
      </c>
      <c r="H456" s="12">
        <f>H451</f>
        <v>1.22</v>
      </c>
      <c r="I456" s="12">
        <f>VLOOKUP(C456,Resources!B:G,6,FALSE)</f>
        <v>135</v>
      </c>
      <c r="J456" s="21">
        <f t="shared" ref="J456:J458" si="751">(H456/G456)*I456*F456</f>
        <v>67.5</v>
      </c>
      <c r="K456" s="21">
        <f t="shared" ref="K456:K458" si="752">IF(E456="M"," ",L456*F456)</f>
        <v>0.5</v>
      </c>
      <c r="L456" s="24">
        <f t="shared" ref="L456:L458" si="753">IF(E456="M"," ",H456/G456)</f>
        <v>0.5</v>
      </c>
      <c r="M456" s="24">
        <f t="shared" ref="M456:M458" si="754">IF($E456="L",$J456,0)</f>
        <v>0</v>
      </c>
      <c r="N456" s="24">
        <f t="shared" ref="N456:N458" si="755">IF($E456="M",$J456,0)</f>
        <v>0</v>
      </c>
      <c r="O456" s="24">
        <f t="shared" ref="O456:O458" si="756">IF($E456="P",$J456,0)</f>
        <v>67.5</v>
      </c>
      <c r="P456" s="24">
        <f t="shared" ref="P456:P458" si="757">IF($E456="S",$J456,0)</f>
        <v>0</v>
      </c>
      <c r="Q456" s="24">
        <f t="shared" ref="Q456:Q458" si="758">SUM(M456:P456)</f>
        <v>67.5</v>
      </c>
      <c r="R456" s="87">
        <v>81</v>
      </c>
      <c r="T456" s="235" t="str">
        <f t="shared" ref="T456:T519" si="759">IF(R456=$U$7,"y"," ")</f>
        <v xml:space="preserve"> </v>
      </c>
      <c r="U456" s="232"/>
    </row>
    <row r="457" spans="1:21" s="18" customFormat="1" x14ac:dyDescent="0.25">
      <c r="A457" s="157"/>
      <c r="B457" s="6">
        <v>6</v>
      </c>
      <c r="C457" s="9" t="s">
        <v>27</v>
      </c>
      <c r="D457" s="6" t="s">
        <v>26</v>
      </c>
      <c r="E457" s="17" t="str">
        <f>VLOOKUP(C457,Resources!B:G,3,FALSE)</f>
        <v>P</v>
      </c>
      <c r="F457" s="12">
        <v>1</v>
      </c>
      <c r="G457" s="12">
        <f>G456</f>
        <v>2.44</v>
      </c>
      <c r="H457" s="12">
        <f>H456</f>
        <v>1.22</v>
      </c>
      <c r="I457" s="12">
        <f>VLOOKUP(C457,Resources!B:G,6,FALSE)</f>
        <v>90</v>
      </c>
      <c r="J457" s="21">
        <f t="shared" si="751"/>
        <v>45</v>
      </c>
      <c r="K457" s="21">
        <f t="shared" si="752"/>
        <v>0.5</v>
      </c>
      <c r="L457" s="24">
        <f t="shared" si="753"/>
        <v>0.5</v>
      </c>
      <c r="M457" s="24">
        <f t="shared" si="754"/>
        <v>0</v>
      </c>
      <c r="N457" s="24">
        <f t="shared" si="755"/>
        <v>0</v>
      </c>
      <c r="O457" s="24">
        <f t="shared" si="756"/>
        <v>45</v>
      </c>
      <c r="P457" s="24">
        <f t="shared" si="757"/>
        <v>0</v>
      </c>
      <c r="Q457" s="24">
        <f t="shared" si="758"/>
        <v>45</v>
      </c>
      <c r="R457" s="87">
        <v>81</v>
      </c>
      <c r="T457" s="235" t="str">
        <f t="shared" si="759"/>
        <v xml:space="preserve"> </v>
      </c>
      <c r="U457" s="232"/>
    </row>
    <row r="458" spans="1:21" s="18" customFormat="1" x14ac:dyDescent="0.25">
      <c r="A458" s="157"/>
      <c r="B458" s="6">
        <v>7</v>
      </c>
      <c r="C458" s="9" t="s">
        <v>8</v>
      </c>
      <c r="D458" s="6" t="s">
        <v>26</v>
      </c>
      <c r="E458" s="17" t="str">
        <f>VLOOKUP(C458,Resources!B:G,3,FALSE)</f>
        <v>L</v>
      </c>
      <c r="F458" s="12">
        <v>1</v>
      </c>
      <c r="G458" s="12">
        <f>G456/2</f>
        <v>1.22</v>
      </c>
      <c r="H458" s="12">
        <f>H451</f>
        <v>1.22</v>
      </c>
      <c r="I458" s="12">
        <f>VLOOKUP(C458,Resources!B:G,6,FALSE)</f>
        <v>51.9</v>
      </c>
      <c r="J458" s="21">
        <f t="shared" si="751"/>
        <v>51.9</v>
      </c>
      <c r="K458" s="21">
        <f t="shared" si="752"/>
        <v>1</v>
      </c>
      <c r="L458" s="24">
        <f t="shared" si="753"/>
        <v>1</v>
      </c>
      <c r="M458" s="24">
        <f t="shared" si="754"/>
        <v>51.9</v>
      </c>
      <c r="N458" s="24">
        <f t="shared" si="755"/>
        <v>0</v>
      </c>
      <c r="O458" s="24">
        <f t="shared" si="756"/>
        <v>0</v>
      </c>
      <c r="P458" s="24">
        <f t="shared" si="757"/>
        <v>0</v>
      </c>
      <c r="Q458" s="24">
        <f t="shared" si="758"/>
        <v>51.9</v>
      </c>
      <c r="R458" s="87">
        <v>81</v>
      </c>
      <c r="T458" s="235" t="str">
        <f t="shared" si="759"/>
        <v xml:space="preserve"> </v>
      </c>
      <c r="U458" s="232"/>
    </row>
    <row r="459" spans="1:21" s="19" customFormat="1" x14ac:dyDescent="0.25">
      <c r="A459" s="159"/>
      <c r="B459" s="28">
        <v>8</v>
      </c>
      <c r="C459" s="29" t="s">
        <v>169</v>
      </c>
      <c r="D459" s="28"/>
      <c r="E459" s="30"/>
      <c r="F459" s="31"/>
      <c r="G459" s="31"/>
      <c r="H459" s="12"/>
      <c r="I459" s="31"/>
      <c r="J459" s="32"/>
      <c r="K459" s="32"/>
      <c r="L459" s="33"/>
      <c r="M459" s="33"/>
      <c r="N459" s="33"/>
      <c r="O459" s="33"/>
      <c r="P459" s="33"/>
      <c r="Q459" s="33"/>
      <c r="R459" s="89"/>
      <c r="T459" s="235" t="str">
        <f t="shared" si="759"/>
        <v xml:space="preserve"> </v>
      </c>
      <c r="U459" s="236"/>
    </row>
    <row r="460" spans="1:21" s="18" customFormat="1" x14ac:dyDescent="0.25">
      <c r="A460" s="157">
        <v>60.2</v>
      </c>
      <c r="B460" s="6">
        <v>9</v>
      </c>
      <c r="C460" s="9" t="s">
        <v>70</v>
      </c>
      <c r="D460" s="6" t="s">
        <v>26</v>
      </c>
      <c r="E460" s="17" t="str">
        <f>VLOOKUP(C460,Resources!B:G,3,FALSE)</f>
        <v>P</v>
      </c>
      <c r="F460" s="12">
        <v>1</v>
      </c>
      <c r="G460" s="26">
        <f>VLOOKUP($A460,'Model Inputs'!$A:$C,3,FALSE)</f>
        <v>0.81299999999999994</v>
      </c>
      <c r="H460" s="12">
        <f>H451</f>
        <v>1.22</v>
      </c>
      <c r="I460" s="12">
        <f>VLOOKUP(C460,Resources!B:G,6,FALSE)</f>
        <v>135</v>
      </c>
      <c r="J460" s="21">
        <f t="shared" ref="J460:J461" si="760">(H460/G460)*I460*F460</f>
        <v>202.58302583025832</v>
      </c>
      <c r="K460" s="21">
        <f t="shared" ref="K460:K461" si="761">IF(E460="M"," ",L460*F460)</f>
        <v>1.5006150061500616</v>
      </c>
      <c r="L460" s="24">
        <f t="shared" ref="L460:L461" si="762">IF(E460="M"," ",H460/G460)</f>
        <v>1.5006150061500616</v>
      </c>
      <c r="M460" s="24">
        <f t="shared" ref="M460:M461" si="763">IF($E460="L",$J460,0)</f>
        <v>0</v>
      </c>
      <c r="N460" s="24">
        <f t="shared" ref="N460:N461" si="764">IF($E460="M",$J460,0)</f>
        <v>0</v>
      </c>
      <c r="O460" s="24">
        <f t="shared" ref="O460:O461" si="765">IF($E460="P",$J460,0)</f>
        <v>202.58302583025832</v>
      </c>
      <c r="P460" s="24">
        <f t="shared" ref="P460:P461" si="766">IF($E460="S",$J460,0)</f>
        <v>0</v>
      </c>
      <c r="Q460" s="24">
        <f t="shared" ref="Q460:Q461" si="767">SUM(M460:P460)</f>
        <v>202.58302583025832</v>
      </c>
      <c r="R460" s="87">
        <v>81</v>
      </c>
      <c r="T460" s="235" t="str">
        <f t="shared" si="759"/>
        <v xml:space="preserve"> </v>
      </c>
      <c r="U460" s="232"/>
    </row>
    <row r="461" spans="1:21" s="18" customFormat="1" x14ac:dyDescent="0.25">
      <c r="A461" s="157"/>
      <c r="B461" s="6">
        <v>10</v>
      </c>
      <c r="C461" s="9" t="s">
        <v>28</v>
      </c>
      <c r="D461" s="6" t="s">
        <v>26</v>
      </c>
      <c r="E461" s="17" t="str">
        <f>VLOOKUP(C461,Resources!B:G,3,FALSE)</f>
        <v>P</v>
      </c>
      <c r="F461" s="12">
        <v>1</v>
      </c>
      <c r="G461" s="12">
        <f>G460*3</f>
        <v>2.4390000000000001</v>
      </c>
      <c r="H461" s="12">
        <f>H451</f>
        <v>1.22</v>
      </c>
      <c r="I461" s="12">
        <f>VLOOKUP(C461,Resources!B:G,6,FALSE)</f>
        <v>95</v>
      </c>
      <c r="J461" s="21">
        <f t="shared" si="760"/>
        <v>47.519475194751948</v>
      </c>
      <c r="K461" s="21">
        <f t="shared" si="761"/>
        <v>0.5002050020500205</v>
      </c>
      <c r="L461" s="24">
        <f t="shared" si="762"/>
        <v>0.5002050020500205</v>
      </c>
      <c r="M461" s="24">
        <f t="shared" si="763"/>
        <v>0</v>
      </c>
      <c r="N461" s="24">
        <f t="shared" si="764"/>
        <v>0</v>
      </c>
      <c r="O461" s="24">
        <f t="shared" si="765"/>
        <v>47.519475194751948</v>
      </c>
      <c r="P461" s="24">
        <f t="shared" si="766"/>
        <v>0</v>
      </c>
      <c r="Q461" s="24">
        <f t="shared" si="767"/>
        <v>47.519475194751948</v>
      </c>
      <c r="R461" s="87">
        <v>81</v>
      </c>
      <c r="T461" s="235" t="str">
        <f t="shared" si="759"/>
        <v xml:space="preserve"> </v>
      </c>
      <c r="U461" s="232"/>
    </row>
    <row r="462" spans="1:21" s="19" customFormat="1" x14ac:dyDescent="0.25">
      <c r="A462" s="159"/>
      <c r="B462" s="28">
        <v>11</v>
      </c>
      <c r="C462" s="29" t="s">
        <v>170</v>
      </c>
      <c r="D462" s="28"/>
      <c r="E462" s="30"/>
      <c r="F462" s="31"/>
      <c r="G462" s="31"/>
      <c r="H462" s="12"/>
      <c r="I462" s="31"/>
      <c r="J462" s="32"/>
      <c r="K462" s="32"/>
      <c r="L462" s="33"/>
      <c r="M462" s="33"/>
      <c r="N462" s="33"/>
      <c r="O462" s="33"/>
      <c r="P462" s="33"/>
      <c r="Q462" s="33"/>
      <c r="R462" s="89"/>
      <c r="T462" s="235" t="str">
        <f t="shared" si="759"/>
        <v xml:space="preserve"> </v>
      </c>
      <c r="U462" s="236"/>
    </row>
    <row r="463" spans="1:21" s="18" customFormat="1" x14ac:dyDescent="0.25">
      <c r="A463" s="157">
        <v>60.3</v>
      </c>
      <c r="B463" s="6">
        <v>12</v>
      </c>
      <c r="C463" s="9" t="s">
        <v>70</v>
      </c>
      <c r="D463" s="6" t="s">
        <v>26</v>
      </c>
      <c r="E463" s="17" t="str">
        <f>VLOOKUP(C463,Resources!B:G,3,FALSE)</f>
        <v>P</v>
      </c>
      <c r="F463" s="12">
        <v>1</v>
      </c>
      <c r="G463" s="26">
        <f>VLOOKUP($A463,'Model Inputs'!$A:$C,3,FALSE)</f>
        <v>0.61</v>
      </c>
      <c r="H463" s="12">
        <f>H451</f>
        <v>1.22</v>
      </c>
      <c r="I463" s="12">
        <f>VLOOKUP(C463,Resources!B:G,6,FALSE)</f>
        <v>135</v>
      </c>
      <c r="J463" s="21">
        <f t="shared" ref="J463:J464" si="768">(H463/G463)*I463*F463</f>
        <v>270</v>
      </c>
      <c r="K463" s="21">
        <f t="shared" ref="K463:K464" si="769">IF(E463="M"," ",L463*F463)</f>
        <v>2</v>
      </c>
      <c r="L463" s="24">
        <f t="shared" ref="L463:L464" si="770">IF(E463="M"," ",H463/G463)</f>
        <v>2</v>
      </c>
      <c r="M463" s="24">
        <f t="shared" ref="M463:M464" si="771">IF($E463="L",$J463,0)</f>
        <v>0</v>
      </c>
      <c r="N463" s="24">
        <f t="shared" ref="N463:N464" si="772">IF($E463="M",$J463,0)</f>
        <v>0</v>
      </c>
      <c r="O463" s="24">
        <f t="shared" ref="O463:O464" si="773">IF($E463="P",$J463,0)</f>
        <v>270</v>
      </c>
      <c r="P463" s="24">
        <f t="shared" ref="P463:P464" si="774">IF($E463="S",$J463,0)</f>
        <v>0</v>
      </c>
      <c r="Q463" s="24">
        <f t="shared" ref="Q463:Q464" si="775">SUM(M463:P463)</f>
        <v>270</v>
      </c>
      <c r="R463" s="87">
        <v>81</v>
      </c>
      <c r="T463" s="235" t="str">
        <f t="shared" si="759"/>
        <v xml:space="preserve"> </v>
      </c>
      <c r="U463" s="232"/>
    </row>
    <row r="464" spans="1:21" s="18" customFormat="1" x14ac:dyDescent="0.25">
      <c r="A464" s="157"/>
      <c r="B464" s="6">
        <v>13</v>
      </c>
      <c r="C464" s="9" t="s">
        <v>8</v>
      </c>
      <c r="D464" s="6" t="s">
        <v>26</v>
      </c>
      <c r="E464" s="17" t="str">
        <f>VLOOKUP(C464,Resources!B:G,3,FALSE)</f>
        <v>L</v>
      </c>
      <c r="F464" s="12">
        <v>1</v>
      </c>
      <c r="G464" s="12">
        <f>G463/2</f>
        <v>0.30499999999999999</v>
      </c>
      <c r="H464" s="12">
        <f>H451</f>
        <v>1.22</v>
      </c>
      <c r="I464" s="12">
        <f>VLOOKUP(C464,Resources!B:G,6,FALSE)</f>
        <v>51.9</v>
      </c>
      <c r="J464" s="21">
        <f t="shared" si="768"/>
        <v>207.6</v>
      </c>
      <c r="K464" s="21">
        <f t="shared" si="769"/>
        <v>4</v>
      </c>
      <c r="L464" s="24">
        <f t="shared" si="770"/>
        <v>4</v>
      </c>
      <c r="M464" s="24">
        <f t="shared" si="771"/>
        <v>207.6</v>
      </c>
      <c r="N464" s="24">
        <f t="shared" si="772"/>
        <v>0</v>
      </c>
      <c r="O464" s="24">
        <f t="shared" si="773"/>
        <v>0</v>
      </c>
      <c r="P464" s="24">
        <f t="shared" si="774"/>
        <v>0</v>
      </c>
      <c r="Q464" s="24">
        <f t="shared" si="775"/>
        <v>207.6</v>
      </c>
      <c r="R464" s="87">
        <v>81</v>
      </c>
      <c r="T464" s="235" t="str">
        <f t="shared" si="759"/>
        <v xml:space="preserve"> </v>
      </c>
      <c r="U464" s="232"/>
    </row>
    <row r="465" spans="1:21" s="19" customFormat="1" x14ac:dyDescent="0.25">
      <c r="A465" s="159"/>
      <c r="B465" s="28">
        <v>14</v>
      </c>
      <c r="C465" s="29" t="s">
        <v>171</v>
      </c>
      <c r="D465" s="28"/>
      <c r="E465" s="30"/>
      <c r="F465" s="31"/>
      <c r="G465" s="31"/>
      <c r="H465" s="12"/>
      <c r="I465" s="31"/>
      <c r="J465" s="32"/>
      <c r="K465" s="32"/>
      <c r="L465" s="33"/>
      <c r="M465" s="33"/>
      <c r="N465" s="33"/>
      <c r="O465" s="33"/>
      <c r="P465" s="33"/>
      <c r="Q465" s="33"/>
      <c r="R465" s="89"/>
      <c r="T465" s="235" t="str">
        <f t="shared" si="759"/>
        <v xml:space="preserve"> </v>
      </c>
      <c r="U465" s="236"/>
    </row>
    <row r="466" spans="1:21" s="18" customFormat="1" x14ac:dyDescent="0.25">
      <c r="A466" s="157">
        <v>60.4</v>
      </c>
      <c r="B466" s="6">
        <v>15</v>
      </c>
      <c r="C466" s="9" t="s">
        <v>8</v>
      </c>
      <c r="D466" s="6" t="s">
        <v>26</v>
      </c>
      <c r="E466" s="17" t="str">
        <f>VLOOKUP(C466,Resources!B:G,3,FALSE)</f>
        <v>L</v>
      </c>
      <c r="F466" s="12">
        <v>1</v>
      </c>
      <c r="G466" s="26">
        <f>VLOOKUP($A466,'Model Inputs'!$A:$C,3,FALSE)</f>
        <v>0.20300000000000001</v>
      </c>
      <c r="H466" s="12">
        <f>H451</f>
        <v>1.22</v>
      </c>
      <c r="I466" s="12">
        <f>VLOOKUP(C466,Resources!B:G,6,FALSE)</f>
        <v>51.9</v>
      </c>
      <c r="J466" s="21">
        <f t="shared" ref="J466:J468" si="776">(H466/G466)*I466*F466</f>
        <v>311.91133004926104</v>
      </c>
      <c r="K466" s="21">
        <f t="shared" ref="K466:K468" si="777">IF(E466="M"," ",L466*F466)</f>
        <v>6.0098522167487678</v>
      </c>
      <c r="L466" s="24">
        <f t="shared" ref="L466:L468" si="778">IF(E466="M"," ",H466/G466)</f>
        <v>6.0098522167487678</v>
      </c>
      <c r="M466" s="24">
        <f t="shared" ref="M466:M468" si="779">IF($E466="L",$J466,0)</f>
        <v>311.91133004926104</v>
      </c>
      <c r="N466" s="24">
        <f t="shared" ref="N466:N468" si="780">IF($E466="M",$J466,0)</f>
        <v>0</v>
      </c>
      <c r="O466" s="24">
        <f t="shared" ref="O466:O468" si="781">IF($E466="P",$J466,0)</f>
        <v>0</v>
      </c>
      <c r="P466" s="24">
        <f t="shared" ref="P466:P468" si="782">IF($E466="S",$J466,0)</f>
        <v>0</v>
      </c>
      <c r="Q466" s="24">
        <f t="shared" ref="Q466:Q468" si="783">SUM(M466:P466)</f>
        <v>311.91133004926104</v>
      </c>
      <c r="R466" s="87">
        <v>81</v>
      </c>
      <c r="T466" s="235" t="str">
        <f t="shared" si="759"/>
        <v xml:space="preserve"> </v>
      </c>
      <c r="U466" s="232"/>
    </row>
    <row r="467" spans="1:21" s="18" customFormat="1" x14ac:dyDescent="0.25">
      <c r="A467" s="157"/>
      <c r="B467" s="6">
        <v>16</v>
      </c>
      <c r="C467" s="9" t="s">
        <v>82</v>
      </c>
      <c r="D467" s="6" t="s">
        <v>26</v>
      </c>
      <c r="E467" s="17" t="str">
        <f>VLOOKUP(C467,Resources!B:G,3,FALSE)</f>
        <v>P</v>
      </c>
      <c r="F467" s="12">
        <v>1</v>
      </c>
      <c r="G467" s="12">
        <f>G466*2</f>
        <v>0.40600000000000003</v>
      </c>
      <c r="H467" s="12">
        <f>H451</f>
        <v>1.22</v>
      </c>
      <c r="I467" s="12">
        <f>VLOOKUP(C467,Resources!B:G,6,FALSE)</f>
        <v>95</v>
      </c>
      <c r="J467" s="21">
        <f t="shared" si="776"/>
        <v>285.46798029556646</v>
      </c>
      <c r="K467" s="21">
        <f t="shared" si="777"/>
        <v>3.0049261083743839</v>
      </c>
      <c r="L467" s="24">
        <f t="shared" si="778"/>
        <v>3.0049261083743839</v>
      </c>
      <c r="M467" s="24">
        <f t="shared" si="779"/>
        <v>0</v>
      </c>
      <c r="N467" s="24">
        <f t="shared" si="780"/>
        <v>0</v>
      </c>
      <c r="O467" s="24">
        <f t="shared" si="781"/>
        <v>285.46798029556646</v>
      </c>
      <c r="P467" s="24">
        <f t="shared" si="782"/>
        <v>0</v>
      </c>
      <c r="Q467" s="24">
        <f t="shared" si="783"/>
        <v>285.46798029556646</v>
      </c>
      <c r="R467" s="87">
        <v>81</v>
      </c>
      <c r="T467" s="235" t="str">
        <f t="shared" si="759"/>
        <v xml:space="preserve"> </v>
      </c>
      <c r="U467" s="232"/>
    </row>
    <row r="468" spans="1:21" s="18" customFormat="1" x14ac:dyDescent="0.25">
      <c r="A468" s="157"/>
      <c r="B468" s="6">
        <v>17</v>
      </c>
      <c r="C468" s="9" t="s">
        <v>28</v>
      </c>
      <c r="D468" s="6" t="s">
        <v>26</v>
      </c>
      <c r="E468" s="17" t="str">
        <f>VLOOKUP(C468,Resources!B:G,3,FALSE)</f>
        <v>P</v>
      </c>
      <c r="F468" s="12">
        <v>1</v>
      </c>
      <c r="G468" s="12">
        <f>G466*6</f>
        <v>1.218</v>
      </c>
      <c r="H468" s="12">
        <f>H451</f>
        <v>1.22</v>
      </c>
      <c r="I468" s="12">
        <f>VLOOKUP(C468,Resources!B:G,6,FALSE)</f>
        <v>95</v>
      </c>
      <c r="J468" s="21">
        <f t="shared" si="776"/>
        <v>95.155993431855507</v>
      </c>
      <c r="K468" s="21">
        <f t="shared" si="777"/>
        <v>1.0016420361247949</v>
      </c>
      <c r="L468" s="24">
        <f t="shared" si="778"/>
        <v>1.0016420361247949</v>
      </c>
      <c r="M468" s="24">
        <f t="shared" si="779"/>
        <v>0</v>
      </c>
      <c r="N468" s="24">
        <f t="shared" si="780"/>
        <v>0</v>
      </c>
      <c r="O468" s="24">
        <f t="shared" si="781"/>
        <v>95.155993431855507</v>
      </c>
      <c r="P468" s="24">
        <f t="shared" si="782"/>
        <v>0</v>
      </c>
      <c r="Q468" s="24">
        <f t="shared" si="783"/>
        <v>95.155993431855507</v>
      </c>
      <c r="R468" s="87">
        <v>81</v>
      </c>
      <c r="T468" s="235" t="str">
        <f t="shared" si="759"/>
        <v xml:space="preserve"> </v>
      </c>
      <c r="U468" s="232"/>
    </row>
    <row r="469" spans="1:21" x14ac:dyDescent="0.25">
      <c r="F469" s="11"/>
      <c r="G469" s="11"/>
      <c r="H469" s="11"/>
      <c r="I469" s="11"/>
      <c r="J469" s="11"/>
      <c r="K469" s="11"/>
      <c r="R469" s="88"/>
      <c r="T469" s="235" t="str">
        <f t="shared" si="759"/>
        <v xml:space="preserve"> </v>
      </c>
    </row>
    <row r="470" spans="1:21" ht="30" x14ac:dyDescent="0.25">
      <c r="A470" s="156">
        <v>61</v>
      </c>
      <c r="B470" s="3" t="s">
        <v>225</v>
      </c>
      <c r="C470" s="3" t="s">
        <v>226</v>
      </c>
      <c r="D470" s="4" t="s">
        <v>145</v>
      </c>
      <c r="E470" s="15"/>
      <c r="F470" s="10"/>
      <c r="G470" s="10"/>
      <c r="H470" s="26">
        <f>VLOOKUP($A470,'Model Inputs'!$A:$C,3,FALSE)</f>
        <v>1</v>
      </c>
      <c r="I470" s="10"/>
      <c r="J470" s="10">
        <f>SUBTOTAL(9,J471:J475)</f>
        <v>2147.9749999999999</v>
      </c>
      <c r="K470" s="10"/>
      <c r="L470" s="10">
        <f>ROUNDUP(MAX(L471:L475)/Workhrs,0)</f>
        <v>1</v>
      </c>
      <c r="M470" s="10">
        <f>SUBTOTAL(9,M471:M475)</f>
        <v>1245.5999999999999</v>
      </c>
      <c r="N470" s="10">
        <f t="shared" ref="N470:Q470" si="784">SUBTOTAL(9,N471:N475)</f>
        <v>362.375</v>
      </c>
      <c r="O470" s="10">
        <f t="shared" si="784"/>
        <v>540</v>
      </c>
      <c r="P470" s="10">
        <f t="shared" si="784"/>
        <v>0</v>
      </c>
      <c r="Q470" s="10">
        <f t="shared" si="784"/>
        <v>2147.9749999999999</v>
      </c>
      <c r="R470" s="86"/>
      <c r="T470" s="235" t="str">
        <f t="shared" si="759"/>
        <v xml:space="preserve"> </v>
      </c>
    </row>
    <row r="471" spans="1:21" x14ac:dyDescent="0.25">
      <c r="A471" s="157"/>
      <c r="B471" s="6">
        <v>1</v>
      </c>
      <c r="C471" s="9" t="s">
        <v>194</v>
      </c>
      <c r="D471" s="6" t="s">
        <v>180</v>
      </c>
      <c r="E471" s="17" t="str">
        <f>VLOOKUP(C471,Resources!B:G,3,FALSE)</f>
        <v>M</v>
      </c>
      <c r="F471" s="12">
        <v>1</v>
      </c>
      <c r="G471" s="12">
        <v>1</v>
      </c>
      <c r="H471" s="12">
        <f>H470*0.715</f>
        <v>0.71499999999999997</v>
      </c>
      <c r="I471" s="12">
        <v>325</v>
      </c>
      <c r="J471" s="21">
        <f t="shared" ref="J471:J475" si="785">(H471/G471)*I471*F471</f>
        <v>232.375</v>
      </c>
      <c r="K471" s="21" t="str">
        <f t="shared" ref="K471:K475" si="786">IF(E471="M"," ",L471*F471)</f>
        <v xml:space="preserve"> </v>
      </c>
      <c r="L471" s="24" t="str">
        <f t="shared" ref="L471:L475" si="787">IF(E471="M"," ",H471/G471)</f>
        <v xml:space="preserve"> </v>
      </c>
      <c r="M471" s="24">
        <f t="shared" ref="M471:M475" si="788">IF($E471="L",$J471,0)</f>
        <v>0</v>
      </c>
      <c r="N471" s="24">
        <f t="shared" ref="N471:N475" si="789">IF($E471="M",$J471,0)</f>
        <v>232.375</v>
      </c>
      <c r="O471" s="24">
        <f t="shared" ref="O471:O475" si="790">IF($E471="P",$J471,0)</f>
        <v>0</v>
      </c>
      <c r="P471" s="24">
        <f t="shared" ref="P471:P475" si="791">IF($E471="S",$J471,0)</f>
        <v>0</v>
      </c>
      <c r="Q471" s="24">
        <f t="shared" ref="Q471:Q475" si="792">SUM(M471:P471)</f>
        <v>232.375</v>
      </c>
      <c r="R471" s="87" t="s">
        <v>543</v>
      </c>
      <c r="T471" s="235" t="str">
        <f t="shared" si="759"/>
        <v xml:space="preserve"> </v>
      </c>
    </row>
    <row r="472" spans="1:21" x14ac:dyDescent="0.25">
      <c r="A472" s="157"/>
      <c r="B472" s="6">
        <v>2</v>
      </c>
      <c r="C472" s="9" t="s">
        <v>181</v>
      </c>
      <c r="D472" s="6" t="s">
        <v>109</v>
      </c>
      <c r="E472" s="17" t="str">
        <f>VLOOKUP(C472,Resources!B:G,3,FALSE)</f>
        <v>M</v>
      </c>
      <c r="F472" s="12">
        <v>1</v>
      </c>
      <c r="G472" s="12">
        <v>1</v>
      </c>
      <c r="H472" s="12">
        <f>H470*3</f>
        <v>3</v>
      </c>
      <c r="I472" s="12">
        <v>10</v>
      </c>
      <c r="J472" s="21">
        <f t="shared" si="785"/>
        <v>30</v>
      </c>
      <c r="K472" s="21" t="str">
        <f t="shared" si="786"/>
        <v xml:space="preserve"> </v>
      </c>
      <c r="L472" s="24" t="str">
        <f t="shared" si="787"/>
        <v xml:space="preserve"> </v>
      </c>
      <c r="M472" s="24">
        <f t="shared" si="788"/>
        <v>0</v>
      </c>
      <c r="N472" s="24">
        <f t="shared" si="789"/>
        <v>30</v>
      </c>
      <c r="O472" s="24">
        <f t="shared" si="790"/>
        <v>0</v>
      </c>
      <c r="P472" s="24">
        <f t="shared" si="791"/>
        <v>0</v>
      </c>
      <c r="Q472" s="24">
        <f t="shared" si="792"/>
        <v>30</v>
      </c>
      <c r="R472" s="87">
        <v>72</v>
      </c>
      <c r="T472" s="235" t="str">
        <f t="shared" si="759"/>
        <v xml:space="preserve"> </v>
      </c>
    </row>
    <row r="473" spans="1:21" x14ac:dyDescent="0.25">
      <c r="A473" s="157"/>
      <c r="B473" s="6">
        <v>3</v>
      </c>
      <c r="C473" s="9" t="s">
        <v>182</v>
      </c>
      <c r="D473" s="6" t="s">
        <v>32</v>
      </c>
      <c r="E473" s="17" t="str">
        <f>VLOOKUP(C473,Resources!B:G,3,FALSE)</f>
        <v>M</v>
      </c>
      <c r="F473" s="12">
        <v>1</v>
      </c>
      <c r="G473" s="12">
        <v>1</v>
      </c>
      <c r="H473" s="12">
        <f>H470*20</f>
        <v>20</v>
      </c>
      <c r="I473" s="12">
        <v>5</v>
      </c>
      <c r="J473" s="21">
        <f t="shared" si="785"/>
        <v>100</v>
      </c>
      <c r="K473" s="21" t="str">
        <f t="shared" si="786"/>
        <v xml:space="preserve"> </v>
      </c>
      <c r="L473" s="24" t="str">
        <f t="shared" si="787"/>
        <v xml:space="preserve"> </v>
      </c>
      <c r="M473" s="24">
        <f t="shared" si="788"/>
        <v>0</v>
      </c>
      <c r="N473" s="24">
        <f t="shared" si="789"/>
        <v>100</v>
      </c>
      <c r="O473" s="24">
        <f t="shared" si="790"/>
        <v>0</v>
      </c>
      <c r="P473" s="24">
        <f t="shared" si="791"/>
        <v>0</v>
      </c>
      <c r="Q473" s="24">
        <f t="shared" si="792"/>
        <v>100</v>
      </c>
      <c r="R473" s="87">
        <v>72</v>
      </c>
      <c r="T473" s="235" t="str">
        <f t="shared" si="759"/>
        <v xml:space="preserve"> </v>
      </c>
    </row>
    <row r="474" spans="1:21" x14ac:dyDescent="0.25">
      <c r="A474" s="157">
        <v>61.1</v>
      </c>
      <c r="B474" s="6">
        <v>4</v>
      </c>
      <c r="C474" s="9" t="s">
        <v>8</v>
      </c>
      <c r="D474" s="6" t="s">
        <v>26</v>
      </c>
      <c r="E474" s="17" t="str">
        <f>VLOOKUP(C474,Resources!B:G,3,FALSE)</f>
        <v>L</v>
      </c>
      <c r="F474" s="12">
        <v>3</v>
      </c>
      <c r="G474" s="26">
        <f>VLOOKUP($A474,'Model Inputs'!$A:$C,3,FALSE)</f>
        <v>0.125</v>
      </c>
      <c r="H474" s="12">
        <v>1</v>
      </c>
      <c r="I474" s="12">
        <v>51.9</v>
      </c>
      <c r="J474" s="21">
        <f t="shared" si="785"/>
        <v>1245.5999999999999</v>
      </c>
      <c r="K474" s="21">
        <f t="shared" si="786"/>
        <v>24</v>
      </c>
      <c r="L474" s="24">
        <f t="shared" si="787"/>
        <v>8</v>
      </c>
      <c r="M474" s="24">
        <f t="shared" si="788"/>
        <v>1245.5999999999999</v>
      </c>
      <c r="N474" s="24">
        <f t="shared" si="789"/>
        <v>0</v>
      </c>
      <c r="O474" s="24">
        <f t="shared" si="790"/>
        <v>0</v>
      </c>
      <c r="P474" s="24">
        <f t="shared" si="791"/>
        <v>0</v>
      </c>
      <c r="Q474" s="24">
        <f t="shared" si="792"/>
        <v>1245.5999999999999</v>
      </c>
      <c r="R474" s="87">
        <v>72</v>
      </c>
      <c r="T474" s="235" t="str">
        <f t="shared" si="759"/>
        <v xml:space="preserve"> </v>
      </c>
    </row>
    <row r="475" spans="1:21" x14ac:dyDescent="0.25">
      <c r="A475" s="157"/>
      <c r="B475" s="6">
        <v>5</v>
      </c>
      <c r="C475" s="9" t="s">
        <v>70</v>
      </c>
      <c r="D475" s="6" t="s">
        <v>26</v>
      </c>
      <c r="E475" s="17" t="str">
        <f>VLOOKUP(C475,Resources!B:G,3,FALSE)</f>
        <v>P</v>
      </c>
      <c r="F475" s="12">
        <v>1</v>
      </c>
      <c r="G475" s="12">
        <f>G474*2</f>
        <v>0.25</v>
      </c>
      <c r="H475" s="12">
        <v>1</v>
      </c>
      <c r="I475" s="12">
        <v>135</v>
      </c>
      <c r="J475" s="21">
        <f t="shared" si="785"/>
        <v>540</v>
      </c>
      <c r="K475" s="21">
        <f t="shared" si="786"/>
        <v>4</v>
      </c>
      <c r="L475" s="24">
        <f t="shared" si="787"/>
        <v>4</v>
      </c>
      <c r="M475" s="24">
        <f t="shared" si="788"/>
        <v>0</v>
      </c>
      <c r="N475" s="24">
        <f t="shared" si="789"/>
        <v>0</v>
      </c>
      <c r="O475" s="24">
        <f t="shared" si="790"/>
        <v>540</v>
      </c>
      <c r="P475" s="24">
        <f t="shared" si="791"/>
        <v>0</v>
      </c>
      <c r="Q475" s="24">
        <f t="shared" si="792"/>
        <v>540</v>
      </c>
      <c r="R475" s="87">
        <v>72</v>
      </c>
      <c r="T475" s="235" t="str">
        <f t="shared" si="759"/>
        <v xml:space="preserve"> </v>
      </c>
    </row>
    <row r="476" spans="1:21" x14ac:dyDescent="0.25">
      <c r="F476" s="11"/>
      <c r="G476" s="11"/>
      <c r="H476" s="11"/>
      <c r="I476" s="11"/>
      <c r="J476" s="11"/>
      <c r="K476" s="11"/>
      <c r="R476" s="88"/>
      <c r="T476" s="235" t="str">
        <f t="shared" si="759"/>
        <v xml:space="preserve"> </v>
      </c>
    </row>
    <row r="477" spans="1:21" ht="30" x14ac:dyDescent="0.25">
      <c r="A477" s="156"/>
      <c r="B477" s="3" t="s">
        <v>227</v>
      </c>
      <c r="C477" s="3" t="s">
        <v>228</v>
      </c>
      <c r="D477" s="4"/>
      <c r="E477" s="15"/>
      <c r="F477" s="10"/>
      <c r="G477" s="10"/>
      <c r="H477" s="10"/>
      <c r="I477" s="10"/>
      <c r="J477" s="10"/>
      <c r="K477" s="10"/>
      <c r="L477" s="23"/>
      <c r="M477" s="23"/>
      <c r="N477" s="23"/>
      <c r="O477" s="23"/>
      <c r="P477" s="23"/>
      <c r="Q477" s="23"/>
      <c r="R477" s="86"/>
      <c r="T477" s="235" t="str">
        <f t="shared" si="759"/>
        <v xml:space="preserve"> </v>
      </c>
    </row>
    <row r="478" spans="1:21" ht="75" x14ac:dyDescent="0.25">
      <c r="A478" s="156">
        <v>62</v>
      </c>
      <c r="B478" s="3" t="s">
        <v>229</v>
      </c>
      <c r="C478" s="3" t="s">
        <v>580</v>
      </c>
      <c r="D478" s="4" t="s">
        <v>32</v>
      </c>
      <c r="E478" s="15"/>
      <c r="F478" s="10"/>
      <c r="G478" s="10"/>
      <c r="H478" s="26">
        <f>VLOOKUP($A478,'Model Inputs'!$A:$C,3,FALSE)</f>
        <v>1.22</v>
      </c>
      <c r="I478" s="10"/>
      <c r="J478" s="10">
        <f>SUBTOTAL(9,J480:J481,J483:J485,J487:J488,J490:J491,J493:K495)</f>
        <v>3165.3297749762091</v>
      </c>
      <c r="K478" s="10"/>
      <c r="L478" s="10">
        <f>ROUNDUP(SUM(L485,L487,L491,L493)/Workhrs,0)</f>
        <v>2</v>
      </c>
      <c r="M478" s="10">
        <f>SUBTOTAL(9,M480:M481,M483:M485,M487:M488,M490:M491,M493:N495)</f>
        <v>726.85629319422424</v>
      </c>
      <c r="N478" s="10">
        <f t="shared" ref="N478:Q478" si="793">SUBTOTAL(9,N480:N481,N483:N485,N487:N488,N490:N491,N493:O495)</f>
        <v>1548.6862557274219</v>
      </c>
      <c r="O478" s="10">
        <f t="shared" si="793"/>
        <v>1260.3947794207368</v>
      </c>
      <c r="P478" s="10">
        <f t="shared" si="793"/>
        <v>692.53530377668289</v>
      </c>
      <c r="Q478" s="10">
        <f t="shared" si="793"/>
        <v>3398.3133546149611</v>
      </c>
      <c r="R478" s="86"/>
      <c r="T478" s="235" t="str">
        <f t="shared" si="759"/>
        <v xml:space="preserve"> </v>
      </c>
    </row>
    <row r="479" spans="1:21" s="19" customFormat="1" x14ac:dyDescent="0.25">
      <c r="A479" s="159"/>
      <c r="B479" s="28">
        <v>1</v>
      </c>
      <c r="C479" s="29" t="s">
        <v>165</v>
      </c>
      <c r="D479" s="28"/>
      <c r="E479" s="30"/>
      <c r="F479" s="31"/>
      <c r="G479" s="31"/>
      <c r="H479" s="31"/>
      <c r="I479" s="31"/>
      <c r="J479" s="32"/>
      <c r="K479" s="32"/>
      <c r="L479" s="33"/>
      <c r="M479" s="33"/>
      <c r="N479" s="33"/>
      <c r="O479" s="33"/>
      <c r="P479" s="33"/>
      <c r="Q479" s="33"/>
      <c r="R479" s="89"/>
      <c r="T479" s="235" t="str">
        <f t="shared" si="759"/>
        <v xml:space="preserve"> </v>
      </c>
      <c r="U479" s="236"/>
    </row>
    <row r="480" spans="1:21" s="18" customFormat="1" x14ac:dyDescent="0.25">
      <c r="A480" s="157"/>
      <c r="B480" s="6">
        <v>2</v>
      </c>
      <c r="C480" s="9" t="s">
        <v>479</v>
      </c>
      <c r="D480" s="6" t="s">
        <v>32</v>
      </c>
      <c r="E480" s="17" t="str">
        <f>VLOOKUP(C480,Resources!B:G,3,FALSE)</f>
        <v>M</v>
      </c>
      <c r="F480" s="12">
        <v>1</v>
      </c>
      <c r="G480" s="12">
        <v>1</v>
      </c>
      <c r="H480" s="12">
        <f>H478*3.672</f>
        <v>4.4798400000000003</v>
      </c>
      <c r="I480" s="12">
        <f>VLOOKUP(C480,Resources!B:G,6,FALSE)</f>
        <v>215.2</v>
      </c>
      <c r="J480" s="21">
        <f t="shared" ref="J480:J481" si="794">(H480/G480)*I480*F480</f>
        <v>964.06156799999997</v>
      </c>
      <c r="K480" s="21" t="str">
        <f t="shared" ref="K480:K481" si="795">IF(E480="M"," ",L480*F480)</f>
        <v xml:space="preserve"> </v>
      </c>
      <c r="L480" s="24" t="str">
        <f t="shared" ref="L480:L481" si="796">IF(E480="M"," ",H480/G480)</f>
        <v xml:space="preserve"> </v>
      </c>
      <c r="M480" s="24">
        <f t="shared" ref="M480:M481" si="797">IF($E480="L",$J480,0)</f>
        <v>0</v>
      </c>
      <c r="N480" s="24">
        <f t="shared" ref="N480:N481" si="798">IF($E480="M",$J480,0)</f>
        <v>964.06156799999997</v>
      </c>
      <c r="O480" s="24">
        <f t="shared" ref="O480:O481" si="799">IF($E480="P",$J480,0)</f>
        <v>0</v>
      </c>
      <c r="P480" s="24">
        <f t="shared" ref="P480:P481" si="800">IF($E480="S",$J480,0)</f>
        <v>0</v>
      </c>
      <c r="Q480" s="24">
        <f t="shared" ref="Q480:Q481" si="801">SUM(M480:P480)</f>
        <v>964.06156799999997</v>
      </c>
      <c r="R480" s="87" t="s">
        <v>541</v>
      </c>
      <c r="T480" s="235" t="str">
        <f t="shared" si="759"/>
        <v xml:space="preserve"> </v>
      </c>
      <c r="U480" s="232"/>
    </row>
    <row r="481" spans="1:21" s="18" customFormat="1" x14ac:dyDescent="0.25">
      <c r="A481" s="157"/>
      <c r="B481" s="6">
        <v>3</v>
      </c>
      <c r="C481" s="9" t="s">
        <v>167</v>
      </c>
      <c r="D481" s="6" t="s">
        <v>100</v>
      </c>
      <c r="E481" s="17" t="str">
        <f>VLOOKUP(C481,Resources!B:G,3,FALSE)</f>
        <v>M</v>
      </c>
      <c r="F481" s="12">
        <v>1</v>
      </c>
      <c r="G481" s="12">
        <v>1</v>
      </c>
      <c r="H481" s="12">
        <f>H478*6.5574</f>
        <v>8.0000280000000004</v>
      </c>
      <c r="I481" s="12">
        <f>VLOOKUP(C481,Resources!B:G,6,FALSE)</f>
        <v>25.5</v>
      </c>
      <c r="J481" s="21">
        <f t="shared" si="794"/>
        <v>204.00071400000002</v>
      </c>
      <c r="K481" s="21" t="str">
        <f t="shared" si="795"/>
        <v xml:space="preserve"> </v>
      </c>
      <c r="L481" s="24" t="str">
        <f t="shared" si="796"/>
        <v xml:space="preserve"> </v>
      </c>
      <c r="M481" s="24">
        <f t="shared" si="797"/>
        <v>0</v>
      </c>
      <c r="N481" s="24">
        <f t="shared" si="798"/>
        <v>204.00071400000002</v>
      </c>
      <c r="O481" s="24">
        <f t="shared" si="799"/>
        <v>0</v>
      </c>
      <c r="P481" s="24">
        <f t="shared" si="800"/>
        <v>0</v>
      </c>
      <c r="Q481" s="24">
        <f t="shared" si="801"/>
        <v>204.00071400000002</v>
      </c>
      <c r="R481" s="87" t="s">
        <v>542</v>
      </c>
      <c r="T481" s="235" t="str">
        <f t="shared" si="759"/>
        <v>y</v>
      </c>
      <c r="U481" s="232"/>
    </row>
    <row r="482" spans="1:21" s="19" customFormat="1" x14ac:dyDescent="0.25">
      <c r="A482" s="159"/>
      <c r="B482" s="28">
        <v>4</v>
      </c>
      <c r="C482" s="29" t="s">
        <v>168</v>
      </c>
      <c r="D482" s="28"/>
      <c r="E482" s="30"/>
      <c r="F482" s="31"/>
      <c r="G482" s="31"/>
      <c r="H482" s="31"/>
      <c r="I482" s="31"/>
      <c r="J482" s="32"/>
      <c r="K482" s="32"/>
      <c r="L482" s="33"/>
      <c r="M482" s="33"/>
      <c r="N482" s="33"/>
      <c r="O482" s="33"/>
      <c r="P482" s="33"/>
      <c r="Q482" s="33"/>
      <c r="R482" s="89"/>
      <c r="T482" s="235" t="str">
        <f t="shared" si="759"/>
        <v xml:space="preserve"> </v>
      </c>
      <c r="U482" s="236"/>
    </row>
    <row r="483" spans="1:21" s="18" customFormat="1" x14ac:dyDescent="0.25">
      <c r="A483" s="157">
        <v>62.1</v>
      </c>
      <c r="B483" s="6">
        <v>5</v>
      </c>
      <c r="C483" s="9" t="s">
        <v>70</v>
      </c>
      <c r="D483" s="6" t="s">
        <v>26</v>
      </c>
      <c r="E483" s="17" t="str">
        <f>VLOOKUP(C483,Resources!B:G,3,FALSE)</f>
        <v>P</v>
      </c>
      <c r="F483" s="12">
        <v>1</v>
      </c>
      <c r="G483" s="26">
        <f>VLOOKUP($A483,'Model Inputs'!$A:$C,3,FALSE)</f>
        <v>1.22</v>
      </c>
      <c r="H483" s="12">
        <f>H478</f>
        <v>1.22</v>
      </c>
      <c r="I483" s="12">
        <f>VLOOKUP(C483,Resources!B:G,6,FALSE)</f>
        <v>135</v>
      </c>
      <c r="J483" s="21">
        <f t="shared" ref="J483:J485" si="802">(H483/G483)*I483*F483</f>
        <v>135</v>
      </c>
      <c r="K483" s="21">
        <f t="shared" ref="K483:K485" si="803">IF(E483="M"," ",L483*F483)</f>
        <v>1</v>
      </c>
      <c r="L483" s="24">
        <f t="shared" ref="L483:L485" si="804">IF(E483="M"," ",H483/G483)</f>
        <v>1</v>
      </c>
      <c r="M483" s="24">
        <f t="shared" ref="M483:M485" si="805">IF($E483="L",$J483,0)</f>
        <v>0</v>
      </c>
      <c r="N483" s="24">
        <f t="shared" ref="N483:N485" si="806">IF($E483="M",$J483,0)</f>
        <v>0</v>
      </c>
      <c r="O483" s="24">
        <f t="shared" ref="O483:O485" si="807">IF($E483="P",$J483,0)</f>
        <v>135</v>
      </c>
      <c r="P483" s="24">
        <f t="shared" ref="P483:P485" si="808">IF($E483="S",$J483,0)</f>
        <v>0</v>
      </c>
      <c r="Q483" s="24">
        <f t="shared" ref="Q483:Q485" si="809">SUM(M483:P483)</f>
        <v>135</v>
      </c>
      <c r="R483" s="87">
        <v>81</v>
      </c>
      <c r="T483" s="235" t="str">
        <f t="shared" si="759"/>
        <v xml:space="preserve"> </v>
      </c>
      <c r="U483" s="232"/>
    </row>
    <row r="484" spans="1:21" s="18" customFormat="1" x14ac:dyDescent="0.25">
      <c r="A484" s="157"/>
      <c r="B484" s="6">
        <v>6</v>
      </c>
      <c r="C484" s="9" t="s">
        <v>27</v>
      </c>
      <c r="D484" s="6" t="s">
        <v>26</v>
      </c>
      <c r="E484" s="17" t="str">
        <f>VLOOKUP(C484,Resources!B:G,3,FALSE)</f>
        <v>P</v>
      </c>
      <c r="F484" s="12">
        <v>1</v>
      </c>
      <c r="G484" s="12">
        <f>G483</f>
        <v>1.22</v>
      </c>
      <c r="H484" s="12">
        <f>H483</f>
        <v>1.22</v>
      </c>
      <c r="I484" s="12">
        <f>VLOOKUP(C484,Resources!B:G,6,FALSE)</f>
        <v>90</v>
      </c>
      <c r="J484" s="21">
        <f t="shared" si="802"/>
        <v>90</v>
      </c>
      <c r="K484" s="21">
        <f t="shared" si="803"/>
        <v>1</v>
      </c>
      <c r="L484" s="24">
        <f t="shared" si="804"/>
        <v>1</v>
      </c>
      <c r="M484" s="24">
        <f t="shared" si="805"/>
        <v>0</v>
      </c>
      <c r="N484" s="24">
        <f t="shared" si="806"/>
        <v>0</v>
      </c>
      <c r="O484" s="24">
        <f t="shared" si="807"/>
        <v>90</v>
      </c>
      <c r="P484" s="24">
        <f t="shared" si="808"/>
        <v>0</v>
      </c>
      <c r="Q484" s="24">
        <f t="shared" si="809"/>
        <v>90</v>
      </c>
      <c r="R484" s="87">
        <v>81</v>
      </c>
      <c r="T484" s="235" t="str">
        <f t="shared" si="759"/>
        <v xml:space="preserve"> </v>
      </c>
      <c r="U484" s="232"/>
    </row>
    <row r="485" spans="1:21" s="18" customFormat="1" x14ac:dyDescent="0.25">
      <c r="A485" s="157"/>
      <c r="B485" s="6">
        <v>7</v>
      </c>
      <c r="C485" s="9" t="s">
        <v>8</v>
      </c>
      <c r="D485" s="6" t="s">
        <v>26</v>
      </c>
      <c r="E485" s="17" t="str">
        <f>VLOOKUP(C485,Resources!B:G,3,FALSE)</f>
        <v>L</v>
      </c>
      <c r="F485" s="12">
        <v>1</v>
      </c>
      <c r="G485" s="12">
        <f>G483/2</f>
        <v>0.61</v>
      </c>
      <c r="H485" s="12">
        <f>H478</f>
        <v>1.22</v>
      </c>
      <c r="I485" s="12">
        <f>VLOOKUP(C485,Resources!B:G,6,FALSE)</f>
        <v>51.9</v>
      </c>
      <c r="J485" s="21">
        <f t="shared" si="802"/>
        <v>103.8</v>
      </c>
      <c r="K485" s="21">
        <f t="shared" si="803"/>
        <v>2</v>
      </c>
      <c r="L485" s="24">
        <f t="shared" si="804"/>
        <v>2</v>
      </c>
      <c r="M485" s="24">
        <f t="shared" si="805"/>
        <v>103.8</v>
      </c>
      <c r="N485" s="24">
        <f t="shared" si="806"/>
        <v>0</v>
      </c>
      <c r="O485" s="24">
        <f t="shared" si="807"/>
        <v>0</v>
      </c>
      <c r="P485" s="24">
        <f t="shared" si="808"/>
        <v>0</v>
      </c>
      <c r="Q485" s="24">
        <f t="shared" si="809"/>
        <v>103.8</v>
      </c>
      <c r="R485" s="87">
        <v>81</v>
      </c>
      <c r="T485" s="235" t="str">
        <f t="shared" si="759"/>
        <v xml:space="preserve"> </v>
      </c>
      <c r="U485" s="232"/>
    </row>
    <row r="486" spans="1:21" s="19" customFormat="1" x14ac:dyDescent="0.25">
      <c r="A486" s="159"/>
      <c r="B486" s="28">
        <v>8</v>
      </c>
      <c r="C486" s="29" t="s">
        <v>169</v>
      </c>
      <c r="D486" s="28"/>
      <c r="E486" s="30"/>
      <c r="F486" s="31"/>
      <c r="G486" s="31"/>
      <c r="H486" s="12"/>
      <c r="I486" s="31"/>
      <c r="J486" s="32"/>
      <c r="K486" s="32"/>
      <c r="L486" s="33"/>
      <c r="M486" s="33"/>
      <c r="N486" s="33"/>
      <c r="O486" s="33"/>
      <c r="P486" s="33"/>
      <c r="Q486" s="33"/>
      <c r="R486" s="89"/>
      <c r="T486" s="235" t="str">
        <f t="shared" si="759"/>
        <v xml:space="preserve"> </v>
      </c>
      <c r="U486" s="236"/>
    </row>
    <row r="487" spans="1:21" s="18" customFormat="1" x14ac:dyDescent="0.25">
      <c r="A487" s="157">
        <v>62.2</v>
      </c>
      <c r="B487" s="6">
        <v>9</v>
      </c>
      <c r="C487" s="9" t="s">
        <v>70</v>
      </c>
      <c r="D487" s="6" t="s">
        <v>26</v>
      </c>
      <c r="E487" s="17" t="str">
        <f>VLOOKUP(C487,Resources!B:G,3,FALSE)</f>
        <v>P</v>
      </c>
      <c r="F487" s="12">
        <v>1</v>
      </c>
      <c r="G487" s="26">
        <f>VLOOKUP($A487,'Model Inputs'!$A:$C,3,FALSE)</f>
        <v>0.81299999999999994</v>
      </c>
      <c r="H487" s="12">
        <f>H478</f>
        <v>1.22</v>
      </c>
      <c r="I487" s="12">
        <f>VLOOKUP(C487,Resources!B:G,6,FALSE)</f>
        <v>135</v>
      </c>
      <c r="J487" s="21">
        <f t="shared" ref="J487:J488" si="810">(H487/G487)*I487*F487</f>
        <v>202.58302583025832</v>
      </c>
      <c r="K487" s="21">
        <f t="shared" ref="K487:K488" si="811">IF(E487="M"," ",L487*F487)</f>
        <v>1.5006150061500616</v>
      </c>
      <c r="L487" s="24">
        <f t="shared" ref="L487:L488" si="812">IF(E487="M"," ",H487/G487)</f>
        <v>1.5006150061500616</v>
      </c>
      <c r="M487" s="24">
        <f t="shared" ref="M487:M488" si="813">IF($E487="L",$J487,0)</f>
        <v>0</v>
      </c>
      <c r="N487" s="24">
        <f t="shared" ref="N487:N488" si="814">IF($E487="M",$J487,0)</f>
        <v>0</v>
      </c>
      <c r="O487" s="24">
        <f t="shared" ref="O487:O488" si="815">IF($E487="P",$J487,0)</f>
        <v>202.58302583025832</v>
      </c>
      <c r="P487" s="24">
        <f t="shared" ref="P487:P488" si="816">IF($E487="S",$J487,0)</f>
        <v>0</v>
      </c>
      <c r="Q487" s="24">
        <f t="shared" ref="Q487:Q488" si="817">SUM(M487:P487)</f>
        <v>202.58302583025832</v>
      </c>
      <c r="R487" s="87">
        <v>81</v>
      </c>
      <c r="T487" s="235" t="str">
        <f t="shared" si="759"/>
        <v xml:space="preserve"> </v>
      </c>
      <c r="U487" s="232"/>
    </row>
    <row r="488" spans="1:21" s="18" customFormat="1" x14ac:dyDescent="0.25">
      <c r="A488" s="157"/>
      <c r="B488" s="6">
        <v>10</v>
      </c>
      <c r="C488" s="9" t="s">
        <v>28</v>
      </c>
      <c r="D488" s="6" t="s">
        <v>26</v>
      </c>
      <c r="E488" s="17" t="str">
        <f>VLOOKUP(C488,Resources!B:G,3,FALSE)</f>
        <v>P</v>
      </c>
      <c r="F488" s="12">
        <v>1</v>
      </c>
      <c r="G488" s="12">
        <f>G487*3</f>
        <v>2.4390000000000001</v>
      </c>
      <c r="H488" s="12">
        <f>H478</f>
        <v>1.22</v>
      </c>
      <c r="I488" s="12">
        <f>VLOOKUP(C488,Resources!B:G,6,FALSE)</f>
        <v>95</v>
      </c>
      <c r="J488" s="21">
        <f t="shared" si="810"/>
        <v>47.519475194751948</v>
      </c>
      <c r="K488" s="21">
        <f t="shared" si="811"/>
        <v>0.5002050020500205</v>
      </c>
      <c r="L488" s="24">
        <f t="shared" si="812"/>
        <v>0.5002050020500205</v>
      </c>
      <c r="M488" s="24">
        <f t="shared" si="813"/>
        <v>0</v>
      </c>
      <c r="N488" s="24">
        <f t="shared" si="814"/>
        <v>0</v>
      </c>
      <c r="O488" s="24">
        <f t="shared" si="815"/>
        <v>47.519475194751948</v>
      </c>
      <c r="P488" s="24">
        <f t="shared" si="816"/>
        <v>0</v>
      </c>
      <c r="Q488" s="24">
        <f t="shared" si="817"/>
        <v>47.519475194751948</v>
      </c>
      <c r="R488" s="87">
        <v>81</v>
      </c>
      <c r="T488" s="235" t="str">
        <f t="shared" si="759"/>
        <v xml:space="preserve"> </v>
      </c>
      <c r="U488" s="232"/>
    </row>
    <row r="489" spans="1:21" s="19" customFormat="1" x14ac:dyDescent="0.25">
      <c r="A489" s="159"/>
      <c r="B489" s="28">
        <v>11</v>
      </c>
      <c r="C489" s="29" t="s">
        <v>170</v>
      </c>
      <c r="D489" s="28"/>
      <c r="E489" s="30"/>
      <c r="F489" s="31"/>
      <c r="G489" s="31"/>
      <c r="H489" s="12"/>
      <c r="I489" s="31"/>
      <c r="J489" s="32"/>
      <c r="K489" s="32"/>
      <c r="L489" s="33"/>
      <c r="M489" s="33"/>
      <c r="N489" s="33"/>
      <c r="O489" s="33"/>
      <c r="P489" s="33"/>
      <c r="Q489" s="33"/>
      <c r="R489" s="89"/>
      <c r="T489" s="235" t="str">
        <f t="shared" si="759"/>
        <v xml:space="preserve"> </v>
      </c>
      <c r="U489" s="236"/>
    </row>
    <row r="490" spans="1:21" s="18" customFormat="1" x14ac:dyDescent="0.25">
      <c r="A490" s="157">
        <v>62.3</v>
      </c>
      <c r="B490" s="6">
        <v>12</v>
      </c>
      <c r="C490" s="9" t="s">
        <v>70</v>
      </c>
      <c r="D490" s="6" t="s">
        <v>26</v>
      </c>
      <c r="E490" s="17" t="str">
        <f>VLOOKUP(C490,Resources!B:G,3,FALSE)</f>
        <v>P</v>
      </c>
      <c r="F490" s="12">
        <v>1</v>
      </c>
      <c r="G490" s="26">
        <f>VLOOKUP($A490,'Model Inputs'!$A:$C,3,FALSE)</f>
        <v>0.40699999999999997</v>
      </c>
      <c r="H490" s="12">
        <f>H478</f>
        <v>1.22</v>
      </c>
      <c r="I490" s="12">
        <f>VLOOKUP(C490,Resources!B:G,6,FALSE)</f>
        <v>135</v>
      </c>
      <c r="J490" s="21">
        <f t="shared" ref="J490:J491" si="818">(H490/G490)*I490*F490</f>
        <v>404.6683046683047</v>
      </c>
      <c r="K490" s="21">
        <f t="shared" ref="K490:K491" si="819">IF(E490="M"," ",L490*F490)</f>
        <v>2.9975429975429977</v>
      </c>
      <c r="L490" s="24">
        <f t="shared" ref="L490:L491" si="820">IF(E490="M"," ",H490/G490)</f>
        <v>2.9975429975429977</v>
      </c>
      <c r="M490" s="24">
        <f t="shared" ref="M490:M491" si="821">IF($E490="L",$J490,0)</f>
        <v>0</v>
      </c>
      <c r="N490" s="24">
        <f t="shared" ref="N490:N491" si="822">IF($E490="M",$J490,0)</f>
        <v>0</v>
      </c>
      <c r="O490" s="24">
        <f t="shared" ref="O490:O491" si="823">IF($E490="P",$J490,0)</f>
        <v>404.6683046683047</v>
      </c>
      <c r="P490" s="24">
        <f t="shared" ref="P490:P491" si="824">IF($E490="S",$J490,0)</f>
        <v>0</v>
      </c>
      <c r="Q490" s="24">
        <f t="shared" ref="Q490:Q491" si="825">SUM(M490:P490)</f>
        <v>404.6683046683047</v>
      </c>
      <c r="R490" s="87">
        <v>81</v>
      </c>
      <c r="T490" s="235" t="str">
        <f t="shared" si="759"/>
        <v xml:space="preserve"> </v>
      </c>
      <c r="U490" s="232"/>
    </row>
    <row r="491" spans="1:21" s="18" customFormat="1" x14ac:dyDescent="0.25">
      <c r="A491" s="157"/>
      <c r="B491" s="6">
        <v>13</v>
      </c>
      <c r="C491" s="9" t="s">
        <v>8</v>
      </c>
      <c r="D491" s="6" t="s">
        <v>26</v>
      </c>
      <c r="E491" s="17" t="str">
        <f>VLOOKUP(C491,Resources!B:G,3,FALSE)</f>
        <v>L</v>
      </c>
      <c r="F491" s="12">
        <v>1</v>
      </c>
      <c r="G491" s="12">
        <f>G490/2</f>
        <v>0.20349999999999999</v>
      </c>
      <c r="H491" s="12">
        <f>H478</f>
        <v>1.22</v>
      </c>
      <c r="I491" s="12">
        <f>VLOOKUP(C491,Resources!B:G,6,FALSE)</f>
        <v>51.9</v>
      </c>
      <c r="J491" s="21">
        <f t="shared" si="818"/>
        <v>311.14496314496313</v>
      </c>
      <c r="K491" s="21">
        <f t="shared" si="819"/>
        <v>5.9950859950859954</v>
      </c>
      <c r="L491" s="24">
        <f t="shared" si="820"/>
        <v>5.9950859950859954</v>
      </c>
      <c r="M491" s="24">
        <f t="shared" si="821"/>
        <v>311.14496314496313</v>
      </c>
      <c r="N491" s="24">
        <f t="shared" si="822"/>
        <v>0</v>
      </c>
      <c r="O491" s="24">
        <f t="shared" si="823"/>
        <v>0</v>
      </c>
      <c r="P491" s="24">
        <f t="shared" si="824"/>
        <v>0</v>
      </c>
      <c r="Q491" s="24">
        <f t="shared" si="825"/>
        <v>311.14496314496313</v>
      </c>
      <c r="R491" s="87">
        <v>81</v>
      </c>
      <c r="T491" s="235" t="str">
        <f t="shared" si="759"/>
        <v xml:space="preserve"> </v>
      </c>
      <c r="U491" s="232"/>
    </row>
    <row r="492" spans="1:21" s="19" customFormat="1" x14ac:dyDescent="0.25">
      <c r="A492" s="159"/>
      <c r="B492" s="28">
        <v>14</v>
      </c>
      <c r="C492" s="29" t="s">
        <v>171</v>
      </c>
      <c r="D492" s="28"/>
      <c r="E492" s="30"/>
      <c r="F492" s="31"/>
      <c r="G492" s="31"/>
      <c r="H492" s="12"/>
      <c r="I492" s="31"/>
      <c r="J492" s="32"/>
      <c r="K492" s="32"/>
      <c r="L492" s="33"/>
      <c r="M492" s="33"/>
      <c r="N492" s="33"/>
      <c r="O492" s="33"/>
      <c r="P492" s="33"/>
      <c r="Q492" s="33"/>
      <c r="R492" s="89"/>
      <c r="T492" s="235" t="str">
        <f t="shared" si="759"/>
        <v xml:space="preserve"> </v>
      </c>
      <c r="U492" s="236"/>
    </row>
    <row r="493" spans="1:21" s="18" customFormat="1" x14ac:dyDescent="0.25">
      <c r="A493" s="157">
        <v>62.4</v>
      </c>
      <c r="B493" s="6">
        <v>15</v>
      </c>
      <c r="C493" s="9" t="s">
        <v>8</v>
      </c>
      <c r="D493" s="6" t="s">
        <v>26</v>
      </c>
      <c r="E493" s="17" t="str">
        <f>VLOOKUP(C493,Resources!B:G,3,FALSE)</f>
        <v>L</v>
      </c>
      <c r="F493" s="12">
        <v>1</v>
      </c>
      <c r="G493" s="26">
        <f>VLOOKUP($A493,'Model Inputs'!$A:$C,3,FALSE)</f>
        <v>0.20300000000000001</v>
      </c>
      <c r="H493" s="12">
        <f>H478</f>
        <v>1.22</v>
      </c>
      <c r="I493" s="12">
        <f>VLOOKUP(C493,Resources!B:G,6,FALSE)</f>
        <v>51.9</v>
      </c>
      <c r="J493" s="21">
        <f t="shared" ref="J493:J495" si="826">(H493/G493)*I493*F493</f>
        <v>311.91133004926104</v>
      </c>
      <c r="K493" s="21">
        <f t="shared" ref="K493:K495" si="827">IF(E493="M"," ",L493*F493)</f>
        <v>6.0098522167487678</v>
      </c>
      <c r="L493" s="24">
        <f t="shared" ref="L493:L495" si="828">IF(E493="M"," ",H493/G493)</f>
        <v>6.0098522167487678</v>
      </c>
      <c r="M493" s="24">
        <f t="shared" ref="M493:M495" si="829">IF($E493="L",$J493,0)</f>
        <v>311.91133004926104</v>
      </c>
      <c r="N493" s="24">
        <f t="shared" ref="N493:N495" si="830">IF($E493="M",$J493,0)</f>
        <v>0</v>
      </c>
      <c r="O493" s="24">
        <f t="shared" ref="O493:O495" si="831">IF($E493="P",$J493,0)</f>
        <v>0</v>
      </c>
      <c r="P493" s="24">
        <f t="shared" ref="P493:P495" si="832">IF($E493="S",$J493,0)</f>
        <v>0</v>
      </c>
      <c r="Q493" s="24">
        <f t="shared" ref="Q493:Q495" si="833">SUM(M493:P493)</f>
        <v>311.91133004926104</v>
      </c>
      <c r="R493" s="87">
        <v>81</v>
      </c>
      <c r="T493" s="235" t="str">
        <f t="shared" si="759"/>
        <v xml:space="preserve"> </v>
      </c>
      <c r="U493" s="232"/>
    </row>
    <row r="494" spans="1:21" s="18" customFormat="1" x14ac:dyDescent="0.25">
      <c r="A494" s="157"/>
      <c r="B494" s="6">
        <v>16</v>
      </c>
      <c r="C494" s="9" t="s">
        <v>82</v>
      </c>
      <c r="D494" s="6" t="s">
        <v>26</v>
      </c>
      <c r="E494" s="17" t="str">
        <f>VLOOKUP(C494,Resources!B:G,3,FALSE)</f>
        <v>P</v>
      </c>
      <c r="F494" s="12">
        <v>1</v>
      </c>
      <c r="G494" s="12">
        <f>G493*2</f>
        <v>0.40600000000000003</v>
      </c>
      <c r="H494" s="12">
        <f>H478</f>
        <v>1.22</v>
      </c>
      <c r="I494" s="12">
        <f>VLOOKUP(C494,Resources!B:G,6,FALSE)</f>
        <v>95</v>
      </c>
      <c r="J494" s="21">
        <f t="shared" si="826"/>
        <v>285.46798029556646</v>
      </c>
      <c r="K494" s="21">
        <f t="shared" si="827"/>
        <v>3.0049261083743839</v>
      </c>
      <c r="L494" s="24">
        <f t="shared" si="828"/>
        <v>3.0049261083743839</v>
      </c>
      <c r="M494" s="24">
        <f t="shared" si="829"/>
        <v>0</v>
      </c>
      <c r="N494" s="24">
        <f t="shared" si="830"/>
        <v>0</v>
      </c>
      <c r="O494" s="24">
        <f t="shared" si="831"/>
        <v>285.46798029556646</v>
      </c>
      <c r="P494" s="24">
        <f t="shared" si="832"/>
        <v>0</v>
      </c>
      <c r="Q494" s="24">
        <f t="shared" si="833"/>
        <v>285.46798029556646</v>
      </c>
      <c r="R494" s="87">
        <v>81</v>
      </c>
      <c r="T494" s="235" t="str">
        <f t="shared" si="759"/>
        <v xml:space="preserve"> </v>
      </c>
      <c r="U494" s="232"/>
    </row>
    <row r="495" spans="1:21" s="18" customFormat="1" x14ac:dyDescent="0.25">
      <c r="A495" s="157"/>
      <c r="B495" s="6">
        <v>17</v>
      </c>
      <c r="C495" s="9" t="s">
        <v>28</v>
      </c>
      <c r="D495" s="6" t="s">
        <v>26</v>
      </c>
      <c r="E495" s="17" t="str">
        <f>VLOOKUP(C495,Resources!B:G,3,FALSE)</f>
        <v>P</v>
      </c>
      <c r="F495" s="12">
        <v>1</v>
      </c>
      <c r="G495" s="12">
        <f>G493*6</f>
        <v>1.218</v>
      </c>
      <c r="H495" s="12">
        <f>H478</f>
        <v>1.22</v>
      </c>
      <c r="I495" s="12">
        <f>VLOOKUP(C495,Resources!B:G,6,FALSE)</f>
        <v>95</v>
      </c>
      <c r="J495" s="21">
        <f t="shared" si="826"/>
        <v>95.155993431855507</v>
      </c>
      <c r="K495" s="21">
        <f t="shared" si="827"/>
        <v>1.0016420361247949</v>
      </c>
      <c r="L495" s="24">
        <f t="shared" si="828"/>
        <v>1.0016420361247949</v>
      </c>
      <c r="M495" s="24">
        <f t="shared" si="829"/>
        <v>0</v>
      </c>
      <c r="N495" s="24">
        <f t="shared" si="830"/>
        <v>0</v>
      </c>
      <c r="O495" s="24">
        <f t="shared" si="831"/>
        <v>95.155993431855507</v>
      </c>
      <c r="P495" s="24">
        <f t="shared" si="832"/>
        <v>0</v>
      </c>
      <c r="Q495" s="24">
        <f t="shared" si="833"/>
        <v>95.155993431855507</v>
      </c>
      <c r="R495" s="87">
        <v>81</v>
      </c>
      <c r="T495" s="235" t="str">
        <f t="shared" si="759"/>
        <v xml:space="preserve"> </v>
      </c>
      <c r="U495" s="232"/>
    </row>
    <row r="496" spans="1:21" x14ac:dyDescent="0.25">
      <c r="F496" s="11"/>
      <c r="G496" s="11"/>
      <c r="H496" s="11"/>
      <c r="I496" s="11"/>
      <c r="J496" s="11"/>
      <c r="K496" s="11"/>
      <c r="R496" s="88"/>
      <c r="T496" s="235" t="str">
        <f t="shared" si="759"/>
        <v xml:space="preserve"> </v>
      </c>
    </row>
    <row r="497" spans="1:21" ht="30" x14ac:dyDescent="0.25">
      <c r="A497" s="156">
        <v>63</v>
      </c>
      <c r="B497" s="3" t="s">
        <v>230</v>
      </c>
      <c r="C497" s="3" t="s">
        <v>231</v>
      </c>
      <c r="D497" s="4" t="s">
        <v>145</v>
      </c>
      <c r="E497" s="15"/>
      <c r="F497" s="10"/>
      <c r="G497" s="10"/>
      <c r="H497" s="26">
        <f>VLOOKUP($A497,'Model Inputs'!$A:$C,3,FALSE)</f>
        <v>1</v>
      </c>
      <c r="I497" s="10"/>
      <c r="J497" s="10">
        <f>SUBTOTAL(9,J498:J504)</f>
        <v>4019.8999999999996</v>
      </c>
      <c r="K497" s="10"/>
      <c r="L497" s="10">
        <f>ROUNDUP(MAX(L498:L504)/Workhrs,0)</f>
        <v>1</v>
      </c>
      <c r="M497" s="10">
        <f>SUBTOTAL(9,M498:M504)</f>
        <v>1401.3</v>
      </c>
      <c r="N497" s="10">
        <f t="shared" ref="N497:Q497" si="834">SUBTOTAL(9,N498:N504)</f>
        <v>1204.8</v>
      </c>
      <c r="O497" s="10">
        <f t="shared" si="834"/>
        <v>1240</v>
      </c>
      <c r="P497" s="10">
        <f t="shared" si="834"/>
        <v>173.8</v>
      </c>
      <c r="Q497" s="10">
        <f t="shared" si="834"/>
        <v>4019.8999999999996</v>
      </c>
      <c r="R497" s="86"/>
      <c r="T497" s="235" t="str">
        <f t="shared" si="759"/>
        <v xml:space="preserve"> </v>
      </c>
    </row>
    <row r="498" spans="1:21" x14ac:dyDescent="0.25">
      <c r="A498" s="157">
        <v>63.1</v>
      </c>
      <c r="B498" s="6">
        <v>1</v>
      </c>
      <c r="C498" s="9" t="s">
        <v>70</v>
      </c>
      <c r="D498" s="6" t="s">
        <v>26</v>
      </c>
      <c r="E498" s="17" t="str">
        <f>VLOOKUP(C498,Resources!B:G,3,FALSE)</f>
        <v>P</v>
      </c>
      <c r="F498" s="12">
        <v>1</v>
      </c>
      <c r="G498" s="26">
        <f>VLOOKUP($A498,'Model Inputs'!$A:$C,3,FALSE)</f>
        <v>0.25</v>
      </c>
      <c r="H498" s="12">
        <f>H497</f>
        <v>1</v>
      </c>
      <c r="I498" s="12">
        <f>VLOOKUP(C498,Resources!B:G,6,FALSE)</f>
        <v>135</v>
      </c>
      <c r="J498" s="21">
        <f t="shared" ref="J498:J504" si="835">(H498/G498)*I498*F498</f>
        <v>540</v>
      </c>
      <c r="K498" s="21">
        <f t="shared" ref="K498:K504" si="836">IF(E498="M"," ",L498*F498)</f>
        <v>4</v>
      </c>
      <c r="L498" s="24">
        <f t="shared" ref="L498:L504" si="837">IF(E498="M"," ",H498/G498)</f>
        <v>4</v>
      </c>
      <c r="M498" s="24">
        <f t="shared" ref="M498:M504" si="838">IF($E498="L",$J498,0)</f>
        <v>0</v>
      </c>
      <c r="N498" s="24">
        <f t="shared" ref="N498:N504" si="839">IF($E498="M",$J498,0)</f>
        <v>0</v>
      </c>
      <c r="O498" s="24">
        <f t="shared" ref="O498:O504" si="840">IF($E498="P",$J498,0)</f>
        <v>540</v>
      </c>
      <c r="P498" s="24">
        <f t="shared" ref="P498:P504" si="841">IF($E498="S",$J498,0)</f>
        <v>0</v>
      </c>
      <c r="Q498" s="24">
        <f t="shared" ref="Q498:Q504" si="842">SUM(M498:P498)</f>
        <v>540</v>
      </c>
      <c r="R498" s="87">
        <v>72</v>
      </c>
      <c r="T498" s="235" t="str">
        <f t="shared" si="759"/>
        <v xml:space="preserve"> </v>
      </c>
    </row>
    <row r="499" spans="1:21" x14ac:dyDescent="0.25">
      <c r="A499" s="157"/>
      <c r="B499" s="6">
        <v>2</v>
      </c>
      <c r="C499" s="9" t="s">
        <v>189</v>
      </c>
      <c r="D499" s="6" t="s">
        <v>100</v>
      </c>
      <c r="E499" s="17" t="str">
        <f>VLOOKUP(C499,Resources!B:G,3,FALSE)</f>
        <v>M</v>
      </c>
      <c r="F499" s="12">
        <v>1</v>
      </c>
      <c r="G499" s="12">
        <v>1</v>
      </c>
      <c r="H499" s="12">
        <f>H497*2</f>
        <v>2</v>
      </c>
      <c r="I499" s="12">
        <f>VLOOKUP(C499,Resources!B:G,6,FALSE)</f>
        <v>28</v>
      </c>
      <c r="J499" s="21">
        <f t="shared" si="835"/>
        <v>56</v>
      </c>
      <c r="K499" s="21" t="str">
        <f t="shared" si="836"/>
        <v xml:space="preserve"> </v>
      </c>
      <c r="L499" s="24" t="str">
        <f t="shared" si="837"/>
        <v xml:space="preserve"> </v>
      </c>
      <c r="M499" s="24">
        <f t="shared" si="838"/>
        <v>0</v>
      </c>
      <c r="N499" s="24">
        <f t="shared" si="839"/>
        <v>56</v>
      </c>
      <c r="O499" s="24">
        <f t="shared" si="840"/>
        <v>0</v>
      </c>
      <c r="P499" s="24">
        <f t="shared" si="841"/>
        <v>0</v>
      </c>
      <c r="Q499" s="24">
        <f t="shared" si="842"/>
        <v>56</v>
      </c>
      <c r="R499" s="87" t="s">
        <v>542</v>
      </c>
      <c r="T499" s="235" t="str">
        <f t="shared" si="759"/>
        <v>y</v>
      </c>
    </row>
    <row r="500" spans="1:21" x14ac:dyDescent="0.25">
      <c r="A500" s="157"/>
      <c r="B500" s="6">
        <v>3</v>
      </c>
      <c r="C500" s="9" t="s">
        <v>194</v>
      </c>
      <c r="D500" s="6" t="s">
        <v>180</v>
      </c>
      <c r="E500" s="17" t="str">
        <f>VLOOKUP(C500,Resources!B:G,3,FALSE)</f>
        <v>M</v>
      </c>
      <c r="F500" s="12">
        <v>1</v>
      </c>
      <c r="G500" s="12">
        <v>1</v>
      </c>
      <c r="H500" s="12">
        <f>H497*3</f>
        <v>3</v>
      </c>
      <c r="I500" s="12">
        <f>VLOOKUP(C500,Resources!B:G,6,FALSE)</f>
        <v>325</v>
      </c>
      <c r="J500" s="21">
        <f t="shared" si="835"/>
        <v>975</v>
      </c>
      <c r="K500" s="21" t="str">
        <f t="shared" si="836"/>
        <v xml:space="preserve"> </v>
      </c>
      <c r="L500" s="24" t="str">
        <f t="shared" si="837"/>
        <v xml:space="preserve"> </v>
      </c>
      <c r="M500" s="24">
        <f t="shared" si="838"/>
        <v>0</v>
      </c>
      <c r="N500" s="24">
        <f t="shared" si="839"/>
        <v>975</v>
      </c>
      <c r="O500" s="24">
        <f t="shared" si="840"/>
        <v>0</v>
      </c>
      <c r="P500" s="24">
        <f t="shared" si="841"/>
        <v>0</v>
      </c>
      <c r="Q500" s="24">
        <f t="shared" si="842"/>
        <v>975</v>
      </c>
      <c r="R500" s="87" t="s">
        <v>543</v>
      </c>
      <c r="T500" s="235" t="str">
        <f t="shared" si="759"/>
        <v xml:space="preserve"> </v>
      </c>
    </row>
    <row r="501" spans="1:21" x14ac:dyDescent="0.25">
      <c r="A501" s="157"/>
      <c r="B501" s="6">
        <v>4</v>
      </c>
      <c r="C501" s="9" t="s">
        <v>192</v>
      </c>
      <c r="D501" s="6" t="s">
        <v>100</v>
      </c>
      <c r="E501" s="17" t="str">
        <f>VLOOKUP(C501,Resources!B:G,3,FALSE)</f>
        <v>S</v>
      </c>
      <c r="F501" s="12">
        <v>1</v>
      </c>
      <c r="G501" s="12">
        <v>1</v>
      </c>
      <c r="H501" s="12">
        <f>H497*0.079</f>
        <v>7.9000000000000001E-2</v>
      </c>
      <c r="I501" s="12">
        <f>VLOOKUP(C501,Resources!B:G,6,FALSE)</f>
        <v>2200</v>
      </c>
      <c r="J501" s="21">
        <f t="shared" si="835"/>
        <v>173.8</v>
      </c>
      <c r="K501" s="21">
        <f t="shared" si="836"/>
        <v>7.9000000000000001E-2</v>
      </c>
      <c r="L501" s="24">
        <f t="shared" si="837"/>
        <v>7.9000000000000001E-2</v>
      </c>
      <c r="M501" s="24">
        <f t="shared" si="838"/>
        <v>0</v>
      </c>
      <c r="N501" s="24">
        <f t="shared" si="839"/>
        <v>0</v>
      </c>
      <c r="O501" s="24">
        <f t="shared" si="840"/>
        <v>0</v>
      </c>
      <c r="P501" s="24">
        <f t="shared" si="841"/>
        <v>173.8</v>
      </c>
      <c r="Q501" s="24">
        <f t="shared" si="842"/>
        <v>173.8</v>
      </c>
      <c r="R501" s="87">
        <v>72</v>
      </c>
      <c r="T501" s="235" t="str">
        <f t="shared" si="759"/>
        <v xml:space="preserve"> </v>
      </c>
    </row>
    <row r="502" spans="1:21" x14ac:dyDescent="0.25">
      <c r="A502" s="157"/>
      <c r="B502" s="6">
        <v>5</v>
      </c>
      <c r="C502" s="9" t="s">
        <v>191</v>
      </c>
      <c r="D502" s="6" t="s">
        <v>100</v>
      </c>
      <c r="E502" s="17" t="str">
        <f>VLOOKUP(C502,Resources!B:G,3,FALSE)</f>
        <v>M</v>
      </c>
      <c r="F502" s="12">
        <v>1</v>
      </c>
      <c r="G502" s="12">
        <v>1</v>
      </c>
      <c r="H502" s="12">
        <f>H501</f>
        <v>7.9000000000000001E-2</v>
      </c>
      <c r="I502" s="12">
        <f>VLOOKUP(C502,Resources!B:G,6,FALSE)</f>
        <v>2200</v>
      </c>
      <c r="J502" s="21">
        <f t="shared" si="835"/>
        <v>173.8</v>
      </c>
      <c r="K502" s="21" t="str">
        <f t="shared" si="836"/>
        <v xml:space="preserve"> </v>
      </c>
      <c r="L502" s="24" t="str">
        <f t="shared" si="837"/>
        <v xml:space="preserve"> </v>
      </c>
      <c r="M502" s="24">
        <f t="shared" si="838"/>
        <v>0</v>
      </c>
      <c r="N502" s="24">
        <f t="shared" si="839"/>
        <v>173.8</v>
      </c>
      <c r="O502" s="24">
        <f t="shared" si="840"/>
        <v>0</v>
      </c>
      <c r="P502" s="24">
        <f t="shared" si="841"/>
        <v>0</v>
      </c>
      <c r="Q502" s="24">
        <f t="shared" si="842"/>
        <v>173.8</v>
      </c>
      <c r="R502" s="87" t="s">
        <v>544</v>
      </c>
      <c r="T502" s="235" t="str">
        <f t="shared" si="759"/>
        <v xml:space="preserve"> </v>
      </c>
    </row>
    <row r="503" spans="1:21" x14ac:dyDescent="0.25">
      <c r="A503" s="157">
        <v>63.2</v>
      </c>
      <c r="B503" s="6">
        <v>6</v>
      </c>
      <c r="C503" s="9" t="s">
        <v>8</v>
      </c>
      <c r="D503" s="6" t="s">
        <v>26</v>
      </c>
      <c r="E503" s="17" t="str">
        <f>VLOOKUP(C503,Resources!B:G,3,FALSE)</f>
        <v>L</v>
      </c>
      <c r="F503" s="12">
        <v>3</v>
      </c>
      <c r="G503" s="26">
        <f>VLOOKUP($A503,'Model Inputs'!$A:$C,3,FALSE)</f>
        <v>0.1111111111111111</v>
      </c>
      <c r="H503" s="12">
        <f>H497</f>
        <v>1</v>
      </c>
      <c r="I503" s="12">
        <f>VLOOKUP(C503,Resources!B:G,6,FALSE)</f>
        <v>51.9</v>
      </c>
      <c r="J503" s="21">
        <f t="shared" si="835"/>
        <v>1401.3</v>
      </c>
      <c r="K503" s="21">
        <f t="shared" si="836"/>
        <v>27</v>
      </c>
      <c r="L503" s="24">
        <f t="shared" si="837"/>
        <v>9</v>
      </c>
      <c r="M503" s="24">
        <f t="shared" si="838"/>
        <v>1401.3</v>
      </c>
      <c r="N503" s="24">
        <f t="shared" si="839"/>
        <v>0</v>
      </c>
      <c r="O503" s="24">
        <f t="shared" si="840"/>
        <v>0</v>
      </c>
      <c r="P503" s="24">
        <f t="shared" si="841"/>
        <v>0</v>
      </c>
      <c r="Q503" s="24">
        <f t="shared" si="842"/>
        <v>1401.3</v>
      </c>
      <c r="R503" s="87">
        <v>72</v>
      </c>
      <c r="T503" s="235" t="str">
        <f t="shared" si="759"/>
        <v xml:space="preserve"> </v>
      </c>
    </row>
    <row r="504" spans="1:21" x14ac:dyDescent="0.25">
      <c r="A504" s="157"/>
      <c r="B504" s="6">
        <v>7</v>
      </c>
      <c r="C504" s="9" t="s">
        <v>203</v>
      </c>
      <c r="D504" s="6" t="s">
        <v>26</v>
      </c>
      <c r="E504" s="17" t="str">
        <f>VLOOKUP(C504,Resources!B:G,3,FALSE)</f>
        <v>P</v>
      </c>
      <c r="F504" s="12">
        <v>1</v>
      </c>
      <c r="G504" s="12">
        <f>G498</f>
        <v>0.25</v>
      </c>
      <c r="H504" s="12">
        <f>H497</f>
        <v>1</v>
      </c>
      <c r="I504" s="12">
        <f>VLOOKUP(C504,Resources!B:G,6,FALSE)</f>
        <v>175</v>
      </c>
      <c r="J504" s="21">
        <f t="shared" si="835"/>
        <v>700</v>
      </c>
      <c r="K504" s="21">
        <f t="shared" si="836"/>
        <v>4</v>
      </c>
      <c r="L504" s="24">
        <f t="shared" si="837"/>
        <v>4</v>
      </c>
      <c r="M504" s="24">
        <f t="shared" si="838"/>
        <v>0</v>
      </c>
      <c r="N504" s="24">
        <f t="shared" si="839"/>
        <v>0</v>
      </c>
      <c r="O504" s="24">
        <f t="shared" si="840"/>
        <v>700</v>
      </c>
      <c r="P504" s="24">
        <f t="shared" si="841"/>
        <v>0</v>
      </c>
      <c r="Q504" s="24">
        <f t="shared" si="842"/>
        <v>700</v>
      </c>
      <c r="R504" s="87">
        <v>72</v>
      </c>
      <c r="T504" s="235" t="str">
        <f t="shared" si="759"/>
        <v xml:space="preserve"> </v>
      </c>
    </row>
    <row r="505" spans="1:21" x14ac:dyDescent="0.25">
      <c r="F505" s="11"/>
      <c r="G505" s="11"/>
      <c r="H505" s="11"/>
      <c r="I505" s="11"/>
      <c r="J505" s="11"/>
      <c r="K505" s="11"/>
      <c r="R505" s="88"/>
      <c r="T505" s="235" t="str">
        <f t="shared" si="759"/>
        <v xml:space="preserve"> </v>
      </c>
    </row>
    <row r="506" spans="1:21" ht="30" x14ac:dyDescent="0.25">
      <c r="A506" s="156"/>
      <c r="B506" s="3" t="s">
        <v>232</v>
      </c>
      <c r="C506" s="3" t="s">
        <v>233</v>
      </c>
      <c r="D506" s="4"/>
      <c r="E506" s="15"/>
      <c r="F506" s="10"/>
      <c r="G506" s="10"/>
      <c r="H506" s="10"/>
      <c r="I506" s="10"/>
      <c r="J506" s="10"/>
      <c r="K506" s="10"/>
      <c r="L506" s="23"/>
      <c r="M506" s="23"/>
      <c r="N506" s="23"/>
      <c r="O506" s="23"/>
      <c r="P506" s="23"/>
      <c r="Q506" s="23"/>
      <c r="R506" s="86"/>
      <c r="T506" s="235" t="str">
        <f t="shared" si="759"/>
        <v xml:space="preserve"> </v>
      </c>
    </row>
    <row r="507" spans="1:21" ht="60" x14ac:dyDescent="0.25">
      <c r="A507" s="156">
        <v>64</v>
      </c>
      <c r="B507" s="3" t="s">
        <v>234</v>
      </c>
      <c r="C507" s="3" t="s">
        <v>581</v>
      </c>
      <c r="D507" s="4" t="s">
        <v>32</v>
      </c>
      <c r="E507" s="15"/>
      <c r="F507" s="10"/>
      <c r="G507" s="10"/>
      <c r="H507" s="26">
        <f>VLOOKUP($A507,'Model Inputs'!$A:$C,3,FALSE)</f>
        <v>1.22</v>
      </c>
      <c r="I507" s="10"/>
      <c r="J507" s="10">
        <f>SUBTOTAL(9,J509:J510,J512:J514,J516:J517,J519:J520,J522:J524)</f>
        <v>1332.794623</v>
      </c>
      <c r="K507" s="10"/>
      <c r="L507" s="10">
        <f>ROUNDUP(SUM(L514,L516,L520,L522)/Workhrs,0)</f>
        <v>1</v>
      </c>
      <c r="M507" s="10">
        <f>SUBTOTAL(9,M509:M510,M512:M514,M516:M517,M519:M520,M522:M524)</f>
        <v>363.29999999999995</v>
      </c>
      <c r="N507" s="10">
        <f t="shared" ref="N507:Q507" si="843">SUBTOTAL(9,N509:N510,N512:N514,N516:N517,N519:N520,N522:N524)</f>
        <v>254.49462300000002</v>
      </c>
      <c r="O507" s="10">
        <f t="shared" si="843"/>
        <v>715</v>
      </c>
      <c r="P507" s="10">
        <f t="shared" si="843"/>
        <v>0</v>
      </c>
      <c r="Q507" s="10">
        <f t="shared" si="843"/>
        <v>1332.794623</v>
      </c>
      <c r="R507" s="86"/>
      <c r="T507" s="235" t="str">
        <f t="shared" si="759"/>
        <v xml:space="preserve"> </v>
      </c>
    </row>
    <row r="508" spans="1:21" s="19" customFormat="1" x14ac:dyDescent="0.25">
      <c r="A508" s="159"/>
      <c r="B508" s="28">
        <v>1</v>
      </c>
      <c r="C508" s="29" t="s">
        <v>165</v>
      </c>
      <c r="D508" s="28"/>
      <c r="E508" s="30"/>
      <c r="F508" s="31"/>
      <c r="G508" s="31"/>
      <c r="H508" s="31"/>
      <c r="I508" s="31"/>
      <c r="J508" s="32"/>
      <c r="K508" s="32"/>
      <c r="L508" s="33"/>
      <c r="M508" s="33"/>
      <c r="N508" s="33"/>
      <c r="O508" s="33"/>
      <c r="P508" s="33"/>
      <c r="Q508" s="33"/>
      <c r="R508" s="89"/>
      <c r="T508" s="235" t="str">
        <f t="shared" si="759"/>
        <v xml:space="preserve"> </v>
      </c>
      <c r="U508" s="236"/>
    </row>
    <row r="509" spans="1:21" s="18" customFormat="1" x14ac:dyDescent="0.25">
      <c r="A509" s="157"/>
      <c r="B509" s="6">
        <v>2</v>
      </c>
      <c r="C509" s="9" t="s">
        <v>166</v>
      </c>
      <c r="D509" s="6" t="s">
        <v>32</v>
      </c>
      <c r="E509" s="17" t="str">
        <f>VLOOKUP(C509,Resources!B:G,3,FALSE)</f>
        <v>M</v>
      </c>
      <c r="F509" s="12">
        <v>1</v>
      </c>
      <c r="G509" s="12">
        <v>1</v>
      </c>
      <c r="H509" s="12">
        <f>H507*2</f>
        <v>2.44</v>
      </c>
      <c r="I509" s="12">
        <f>VLOOKUP(C509,Resources!B:G,6,FALSE)</f>
        <v>83.4</v>
      </c>
      <c r="J509" s="21">
        <f t="shared" ref="J509:J510" si="844">(H509/G509)*I509*F509</f>
        <v>203.49600000000001</v>
      </c>
      <c r="K509" s="21" t="str">
        <f t="shared" ref="K509:K510" si="845">IF(E509="M"," ",L509*F509)</f>
        <v xml:space="preserve"> </v>
      </c>
      <c r="L509" s="24" t="str">
        <f t="shared" ref="L509:L510" si="846">IF(E509="M"," ",H509/G509)</f>
        <v xml:space="preserve"> </v>
      </c>
      <c r="M509" s="24">
        <f t="shared" ref="M509:M510" si="847">IF($E509="L",$J509,0)</f>
        <v>0</v>
      </c>
      <c r="N509" s="24">
        <f t="shared" ref="N509:N510" si="848">IF($E509="M",$J509,0)</f>
        <v>203.49600000000001</v>
      </c>
      <c r="O509" s="24">
        <f t="shared" ref="O509:O510" si="849">IF($E509="P",$J509,0)</f>
        <v>0</v>
      </c>
      <c r="P509" s="24">
        <f t="shared" ref="P509:P510" si="850">IF($E509="S",$J509,0)</f>
        <v>0</v>
      </c>
      <c r="Q509" s="24">
        <f t="shared" ref="Q509:Q510" si="851">SUM(M509:P509)</f>
        <v>203.49600000000001</v>
      </c>
      <c r="R509" s="87" t="s">
        <v>541</v>
      </c>
      <c r="T509" s="235" t="str">
        <f t="shared" si="759"/>
        <v xml:space="preserve"> </v>
      </c>
      <c r="U509" s="232"/>
    </row>
    <row r="510" spans="1:21" s="18" customFormat="1" x14ac:dyDescent="0.25">
      <c r="A510" s="157"/>
      <c r="B510" s="6">
        <v>3</v>
      </c>
      <c r="C510" s="9" t="s">
        <v>167</v>
      </c>
      <c r="D510" s="6" t="s">
        <v>100</v>
      </c>
      <c r="E510" s="17" t="str">
        <f>VLOOKUP(C510,Resources!B:G,3,FALSE)</f>
        <v>M</v>
      </c>
      <c r="F510" s="12">
        <v>1</v>
      </c>
      <c r="G510" s="12">
        <v>1</v>
      </c>
      <c r="H510" s="12">
        <f>H507*1.6393</f>
        <v>1.999946</v>
      </c>
      <c r="I510" s="12">
        <f>VLOOKUP(C510,Resources!B:G,6,FALSE)</f>
        <v>25.5</v>
      </c>
      <c r="J510" s="21">
        <f t="shared" si="844"/>
        <v>50.998623000000002</v>
      </c>
      <c r="K510" s="21" t="str">
        <f t="shared" si="845"/>
        <v xml:space="preserve"> </v>
      </c>
      <c r="L510" s="24" t="str">
        <f t="shared" si="846"/>
        <v xml:space="preserve"> </v>
      </c>
      <c r="M510" s="24">
        <f t="shared" si="847"/>
        <v>0</v>
      </c>
      <c r="N510" s="24">
        <f t="shared" si="848"/>
        <v>50.998623000000002</v>
      </c>
      <c r="O510" s="24">
        <f t="shared" si="849"/>
        <v>0</v>
      </c>
      <c r="P510" s="24">
        <f t="shared" si="850"/>
        <v>0</v>
      </c>
      <c r="Q510" s="24">
        <f t="shared" si="851"/>
        <v>50.998623000000002</v>
      </c>
      <c r="R510" s="87" t="s">
        <v>542</v>
      </c>
      <c r="T510" s="235" t="str">
        <f t="shared" si="759"/>
        <v>y</v>
      </c>
      <c r="U510" s="232"/>
    </row>
    <row r="511" spans="1:21" s="19" customFormat="1" x14ac:dyDescent="0.25">
      <c r="A511" s="159"/>
      <c r="B511" s="28">
        <v>4</v>
      </c>
      <c r="C511" s="29" t="s">
        <v>168</v>
      </c>
      <c r="D511" s="28"/>
      <c r="E511" s="30"/>
      <c r="F511" s="31"/>
      <c r="G511" s="31"/>
      <c r="H511" s="31"/>
      <c r="I511" s="31"/>
      <c r="J511" s="32"/>
      <c r="K511" s="32"/>
      <c r="L511" s="33"/>
      <c r="M511" s="33"/>
      <c r="N511" s="33"/>
      <c r="O511" s="33"/>
      <c r="P511" s="33"/>
      <c r="Q511" s="33"/>
      <c r="R511" s="89"/>
      <c r="T511" s="235" t="str">
        <f t="shared" si="759"/>
        <v xml:space="preserve"> </v>
      </c>
      <c r="U511" s="236"/>
    </row>
    <row r="512" spans="1:21" s="18" customFormat="1" x14ac:dyDescent="0.25">
      <c r="A512" s="157">
        <v>64.099999999999994</v>
      </c>
      <c r="B512" s="6">
        <v>5</v>
      </c>
      <c r="C512" s="9" t="s">
        <v>70</v>
      </c>
      <c r="D512" s="6" t="s">
        <v>26</v>
      </c>
      <c r="E512" s="17" t="str">
        <f>VLOOKUP(C512,Resources!B:G,3,FALSE)</f>
        <v>P</v>
      </c>
      <c r="F512" s="12">
        <v>1</v>
      </c>
      <c r="G512" s="26">
        <f>VLOOKUP($A512,'Model Inputs'!$A:$C,3,FALSE)</f>
        <v>2.44</v>
      </c>
      <c r="H512" s="12">
        <f>H507</f>
        <v>1.22</v>
      </c>
      <c r="I512" s="12">
        <f>VLOOKUP(C512,Resources!B:G,6,FALSE)</f>
        <v>135</v>
      </c>
      <c r="J512" s="21">
        <f t="shared" ref="J512:J514" si="852">(H512/G512)*I512*F512</f>
        <v>67.5</v>
      </c>
      <c r="K512" s="21">
        <f t="shared" ref="K512:K514" si="853">IF(E512="M"," ",L512*F512)</f>
        <v>0.5</v>
      </c>
      <c r="L512" s="24">
        <f t="shared" ref="L512:L514" si="854">IF(E512="M"," ",H512/G512)</f>
        <v>0.5</v>
      </c>
      <c r="M512" s="24">
        <f t="shared" ref="M512:M514" si="855">IF($E512="L",$J512,0)</f>
        <v>0</v>
      </c>
      <c r="N512" s="24">
        <f t="shared" ref="N512:N514" si="856">IF($E512="M",$J512,0)</f>
        <v>0</v>
      </c>
      <c r="O512" s="24">
        <f t="shared" ref="O512:O514" si="857">IF($E512="P",$J512,0)</f>
        <v>67.5</v>
      </c>
      <c r="P512" s="24">
        <f t="shared" ref="P512:P514" si="858">IF($E512="S",$J512,0)</f>
        <v>0</v>
      </c>
      <c r="Q512" s="24">
        <f t="shared" ref="Q512:Q514" si="859">SUM(M512:P512)</f>
        <v>67.5</v>
      </c>
      <c r="R512" s="87">
        <v>81</v>
      </c>
      <c r="T512" s="235" t="str">
        <f t="shared" si="759"/>
        <v xml:space="preserve"> </v>
      </c>
      <c r="U512" s="232"/>
    </row>
    <row r="513" spans="1:21" s="18" customFormat="1" x14ac:dyDescent="0.25">
      <c r="A513" s="157"/>
      <c r="B513" s="6">
        <v>6</v>
      </c>
      <c r="C513" s="9" t="s">
        <v>27</v>
      </c>
      <c r="D513" s="6" t="s">
        <v>26</v>
      </c>
      <c r="E513" s="17" t="str">
        <f>VLOOKUP(C513,Resources!B:G,3,FALSE)</f>
        <v>P</v>
      </c>
      <c r="F513" s="12">
        <v>1</v>
      </c>
      <c r="G513" s="12">
        <f>G512</f>
        <v>2.44</v>
      </c>
      <c r="H513" s="12">
        <f>H512</f>
        <v>1.22</v>
      </c>
      <c r="I513" s="12">
        <f>VLOOKUP(C513,Resources!B:G,6,FALSE)</f>
        <v>90</v>
      </c>
      <c r="J513" s="21">
        <f t="shared" si="852"/>
        <v>45</v>
      </c>
      <c r="K513" s="21">
        <f t="shared" si="853"/>
        <v>0.5</v>
      </c>
      <c r="L513" s="24">
        <f t="shared" si="854"/>
        <v>0.5</v>
      </c>
      <c r="M513" s="24">
        <f t="shared" si="855"/>
        <v>0</v>
      </c>
      <c r="N513" s="24">
        <f t="shared" si="856"/>
        <v>0</v>
      </c>
      <c r="O513" s="24">
        <f t="shared" si="857"/>
        <v>45</v>
      </c>
      <c r="P513" s="24">
        <f t="shared" si="858"/>
        <v>0</v>
      </c>
      <c r="Q513" s="24">
        <f t="shared" si="859"/>
        <v>45</v>
      </c>
      <c r="R513" s="87">
        <v>81</v>
      </c>
      <c r="T513" s="235" t="str">
        <f t="shared" si="759"/>
        <v xml:space="preserve"> </v>
      </c>
      <c r="U513" s="232"/>
    </row>
    <row r="514" spans="1:21" s="18" customFormat="1" x14ac:dyDescent="0.25">
      <c r="A514" s="157"/>
      <c r="B514" s="6">
        <v>7</v>
      </c>
      <c r="C514" s="9" t="s">
        <v>8</v>
      </c>
      <c r="D514" s="6" t="s">
        <v>26</v>
      </c>
      <c r="E514" s="17" t="str">
        <f>VLOOKUP(C514,Resources!B:G,3,FALSE)</f>
        <v>L</v>
      </c>
      <c r="F514" s="12">
        <v>1</v>
      </c>
      <c r="G514" s="12">
        <f>G512/2</f>
        <v>1.22</v>
      </c>
      <c r="H514" s="12">
        <f>H507</f>
        <v>1.22</v>
      </c>
      <c r="I514" s="12">
        <f>VLOOKUP(C514,Resources!B:G,6,FALSE)</f>
        <v>51.9</v>
      </c>
      <c r="J514" s="21">
        <f t="shared" si="852"/>
        <v>51.9</v>
      </c>
      <c r="K514" s="21">
        <f t="shared" si="853"/>
        <v>1</v>
      </c>
      <c r="L514" s="24">
        <f t="shared" si="854"/>
        <v>1</v>
      </c>
      <c r="M514" s="24">
        <f t="shared" si="855"/>
        <v>51.9</v>
      </c>
      <c r="N514" s="24">
        <f t="shared" si="856"/>
        <v>0</v>
      </c>
      <c r="O514" s="24">
        <f t="shared" si="857"/>
        <v>0</v>
      </c>
      <c r="P514" s="24">
        <f t="shared" si="858"/>
        <v>0</v>
      </c>
      <c r="Q514" s="24">
        <f t="shared" si="859"/>
        <v>51.9</v>
      </c>
      <c r="R514" s="87">
        <v>81</v>
      </c>
      <c r="T514" s="235" t="str">
        <f t="shared" si="759"/>
        <v xml:space="preserve"> </v>
      </c>
      <c r="U514" s="232"/>
    </row>
    <row r="515" spans="1:21" s="19" customFormat="1" x14ac:dyDescent="0.25">
      <c r="A515" s="159"/>
      <c r="B515" s="28">
        <v>8</v>
      </c>
      <c r="C515" s="29" t="s">
        <v>169</v>
      </c>
      <c r="D515" s="28"/>
      <c r="E515" s="30"/>
      <c r="F515" s="31"/>
      <c r="G515" s="31"/>
      <c r="H515" s="12"/>
      <c r="I515" s="31"/>
      <c r="J515" s="32"/>
      <c r="K515" s="32"/>
      <c r="L515" s="33"/>
      <c r="M515" s="33"/>
      <c r="N515" s="33"/>
      <c r="O515" s="33"/>
      <c r="P515" s="33"/>
      <c r="Q515" s="33"/>
      <c r="R515" s="89"/>
      <c r="T515" s="235" t="str">
        <f t="shared" si="759"/>
        <v xml:space="preserve"> </v>
      </c>
      <c r="U515" s="236"/>
    </row>
    <row r="516" spans="1:21" s="18" customFormat="1" x14ac:dyDescent="0.25">
      <c r="A516" s="157">
        <v>64.2</v>
      </c>
      <c r="B516" s="6">
        <v>9</v>
      </c>
      <c r="C516" s="9" t="s">
        <v>70</v>
      </c>
      <c r="D516" s="6" t="s">
        <v>26</v>
      </c>
      <c r="E516" s="17" t="str">
        <f>VLOOKUP(C516,Resources!B:G,3,FALSE)</f>
        <v>P</v>
      </c>
      <c r="F516" s="12">
        <v>1</v>
      </c>
      <c r="G516" s="26">
        <f>VLOOKUP($A516,'Model Inputs'!$A:$C,3,FALSE)</f>
        <v>1.22</v>
      </c>
      <c r="H516" s="12">
        <f>H507</f>
        <v>1.22</v>
      </c>
      <c r="I516" s="12">
        <f>VLOOKUP(C516,Resources!B:G,6,FALSE)</f>
        <v>135</v>
      </c>
      <c r="J516" s="21">
        <f t="shared" ref="J516:J517" si="860">(H516/G516)*I516*F516</f>
        <v>135</v>
      </c>
      <c r="K516" s="21">
        <f t="shared" ref="K516:K517" si="861">IF(E516="M"," ",L516*F516)</f>
        <v>1</v>
      </c>
      <c r="L516" s="24">
        <f t="shared" ref="L516:L517" si="862">IF(E516="M"," ",H516/G516)</f>
        <v>1</v>
      </c>
      <c r="M516" s="24">
        <f t="shared" ref="M516:M517" si="863">IF($E516="L",$J516,0)</f>
        <v>0</v>
      </c>
      <c r="N516" s="24">
        <f t="shared" ref="N516:N517" si="864">IF($E516="M",$J516,0)</f>
        <v>0</v>
      </c>
      <c r="O516" s="24">
        <f t="shared" ref="O516:O517" si="865">IF($E516="P",$J516,0)</f>
        <v>135</v>
      </c>
      <c r="P516" s="24">
        <f t="shared" ref="P516:P517" si="866">IF($E516="S",$J516,0)</f>
        <v>0</v>
      </c>
      <c r="Q516" s="24">
        <f t="shared" ref="Q516:Q517" si="867">SUM(M516:P516)</f>
        <v>135</v>
      </c>
      <c r="R516" s="87">
        <v>81</v>
      </c>
      <c r="T516" s="235" t="str">
        <f t="shared" si="759"/>
        <v xml:space="preserve"> </v>
      </c>
      <c r="U516" s="232"/>
    </row>
    <row r="517" spans="1:21" s="18" customFormat="1" x14ac:dyDescent="0.25">
      <c r="A517" s="157"/>
      <c r="B517" s="6">
        <v>10</v>
      </c>
      <c r="C517" s="9" t="s">
        <v>28</v>
      </c>
      <c r="D517" s="6" t="s">
        <v>26</v>
      </c>
      <c r="E517" s="17" t="str">
        <f>VLOOKUP(C517,Resources!B:G,3,FALSE)</f>
        <v>P</v>
      </c>
      <c r="F517" s="12">
        <v>1</v>
      </c>
      <c r="G517" s="12">
        <f>G516*2</f>
        <v>2.44</v>
      </c>
      <c r="H517" s="12">
        <f>H507</f>
        <v>1.22</v>
      </c>
      <c r="I517" s="12">
        <f>VLOOKUP(C517,Resources!B:G,6,FALSE)</f>
        <v>95</v>
      </c>
      <c r="J517" s="21">
        <f t="shared" si="860"/>
        <v>47.5</v>
      </c>
      <c r="K517" s="21">
        <f t="shared" si="861"/>
        <v>0.5</v>
      </c>
      <c r="L517" s="24">
        <f t="shared" si="862"/>
        <v>0.5</v>
      </c>
      <c r="M517" s="24">
        <f t="shared" si="863"/>
        <v>0</v>
      </c>
      <c r="N517" s="24">
        <f t="shared" si="864"/>
        <v>0</v>
      </c>
      <c r="O517" s="24">
        <f t="shared" si="865"/>
        <v>47.5</v>
      </c>
      <c r="P517" s="24">
        <f t="shared" si="866"/>
        <v>0</v>
      </c>
      <c r="Q517" s="24">
        <f t="shared" si="867"/>
        <v>47.5</v>
      </c>
      <c r="R517" s="87">
        <v>81</v>
      </c>
      <c r="T517" s="235" t="str">
        <f t="shared" si="759"/>
        <v xml:space="preserve"> </v>
      </c>
      <c r="U517" s="232"/>
    </row>
    <row r="518" spans="1:21" s="19" customFormat="1" x14ac:dyDescent="0.25">
      <c r="A518" s="159"/>
      <c r="B518" s="28">
        <v>11</v>
      </c>
      <c r="C518" s="29" t="s">
        <v>170</v>
      </c>
      <c r="D518" s="28"/>
      <c r="E518" s="30"/>
      <c r="F518" s="31"/>
      <c r="G518" s="31"/>
      <c r="H518" s="12"/>
      <c r="I518" s="31"/>
      <c r="J518" s="32"/>
      <c r="K518" s="32"/>
      <c r="L518" s="33"/>
      <c r="M518" s="33"/>
      <c r="N518" s="33"/>
      <c r="O518" s="33"/>
      <c r="P518" s="33"/>
      <c r="Q518" s="33"/>
      <c r="R518" s="89"/>
      <c r="T518" s="235" t="str">
        <f t="shared" si="759"/>
        <v xml:space="preserve"> </v>
      </c>
      <c r="U518" s="236"/>
    </row>
    <row r="519" spans="1:21" s="18" customFormat="1" x14ac:dyDescent="0.25">
      <c r="A519" s="157">
        <v>64.3</v>
      </c>
      <c r="B519" s="6">
        <v>12</v>
      </c>
      <c r="C519" s="9" t="s">
        <v>70</v>
      </c>
      <c r="D519" s="6" t="s">
        <v>26</v>
      </c>
      <c r="E519" s="17" t="str">
        <f>VLOOKUP(C519,Resources!B:G,3,FALSE)</f>
        <v>P</v>
      </c>
      <c r="F519" s="12">
        <v>1</v>
      </c>
      <c r="G519" s="26">
        <f>VLOOKUP($A519,'Model Inputs'!$A:$C,3,FALSE)</f>
        <v>1.22</v>
      </c>
      <c r="H519" s="12">
        <f>H507</f>
        <v>1.22</v>
      </c>
      <c r="I519" s="12">
        <f>VLOOKUP(C519,Resources!B:G,6,FALSE)</f>
        <v>135</v>
      </c>
      <c r="J519" s="21">
        <f t="shared" ref="J519:J520" si="868">(H519/G519)*I519*F519</f>
        <v>135</v>
      </c>
      <c r="K519" s="21">
        <f t="shared" ref="K519:K520" si="869">IF(E519="M"," ",L519*F519)</f>
        <v>1</v>
      </c>
      <c r="L519" s="24">
        <f t="shared" ref="L519:L520" si="870">IF(E519="M"," ",H519/G519)</f>
        <v>1</v>
      </c>
      <c r="M519" s="24">
        <f t="shared" ref="M519:M520" si="871">IF($E519="L",$J519,0)</f>
        <v>0</v>
      </c>
      <c r="N519" s="24">
        <f t="shared" ref="N519:N520" si="872">IF($E519="M",$J519,0)</f>
        <v>0</v>
      </c>
      <c r="O519" s="24">
        <f t="shared" ref="O519:O520" si="873">IF($E519="P",$J519,0)</f>
        <v>135</v>
      </c>
      <c r="P519" s="24">
        <f t="shared" ref="P519:P520" si="874">IF($E519="S",$J519,0)</f>
        <v>0</v>
      </c>
      <c r="Q519" s="24">
        <f t="shared" ref="Q519:Q520" si="875">SUM(M519:P519)</f>
        <v>135</v>
      </c>
      <c r="R519" s="87">
        <v>81</v>
      </c>
      <c r="T519" s="235" t="str">
        <f t="shared" si="759"/>
        <v xml:space="preserve"> </v>
      </c>
      <c r="U519" s="232"/>
    </row>
    <row r="520" spans="1:21" s="18" customFormat="1" x14ac:dyDescent="0.25">
      <c r="A520" s="157"/>
      <c r="B520" s="6">
        <v>13</v>
      </c>
      <c r="C520" s="9" t="s">
        <v>8</v>
      </c>
      <c r="D520" s="6" t="s">
        <v>26</v>
      </c>
      <c r="E520" s="17" t="str">
        <f>VLOOKUP(C520,Resources!B:G,3,FALSE)</f>
        <v>L</v>
      </c>
      <c r="F520" s="12">
        <v>1</v>
      </c>
      <c r="G520" s="12">
        <f>G519/2</f>
        <v>0.61</v>
      </c>
      <c r="H520" s="12">
        <f>H507</f>
        <v>1.22</v>
      </c>
      <c r="I520" s="12">
        <f>VLOOKUP(C520,Resources!B:G,6,FALSE)</f>
        <v>51.9</v>
      </c>
      <c r="J520" s="21">
        <f t="shared" si="868"/>
        <v>103.8</v>
      </c>
      <c r="K520" s="21">
        <f t="shared" si="869"/>
        <v>2</v>
      </c>
      <c r="L520" s="24">
        <f t="shared" si="870"/>
        <v>2</v>
      </c>
      <c r="M520" s="24">
        <f t="shared" si="871"/>
        <v>103.8</v>
      </c>
      <c r="N520" s="24">
        <f t="shared" si="872"/>
        <v>0</v>
      </c>
      <c r="O520" s="24">
        <f t="shared" si="873"/>
        <v>0</v>
      </c>
      <c r="P520" s="24">
        <f t="shared" si="874"/>
        <v>0</v>
      </c>
      <c r="Q520" s="24">
        <f t="shared" si="875"/>
        <v>103.8</v>
      </c>
      <c r="R520" s="87">
        <v>81</v>
      </c>
      <c r="T520" s="235" t="str">
        <f t="shared" ref="T520:T583" si="876">IF(R520=$U$7,"y"," ")</f>
        <v xml:space="preserve"> </v>
      </c>
      <c r="U520" s="232"/>
    </row>
    <row r="521" spans="1:21" s="19" customFormat="1" x14ac:dyDescent="0.25">
      <c r="A521" s="159"/>
      <c r="B521" s="28">
        <v>14</v>
      </c>
      <c r="C521" s="29" t="s">
        <v>171</v>
      </c>
      <c r="D521" s="28"/>
      <c r="E521" s="30"/>
      <c r="F521" s="31"/>
      <c r="G521" s="31"/>
      <c r="H521" s="12"/>
      <c r="I521" s="31"/>
      <c r="J521" s="32"/>
      <c r="K521" s="32"/>
      <c r="L521" s="33"/>
      <c r="M521" s="33"/>
      <c r="N521" s="33"/>
      <c r="O521" s="33"/>
      <c r="P521" s="33"/>
      <c r="Q521" s="33"/>
      <c r="R521" s="89"/>
      <c r="T521" s="235" t="str">
        <f t="shared" si="876"/>
        <v xml:space="preserve"> </v>
      </c>
      <c r="U521" s="236"/>
    </row>
    <row r="522" spans="1:21" s="18" customFormat="1" x14ac:dyDescent="0.25">
      <c r="A522" s="157">
        <v>64.400000000000006</v>
      </c>
      <c r="B522" s="6">
        <v>15</v>
      </c>
      <c r="C522" s="9" t="s">
        <v>8</v>
      </c>
      <c r="D522" s="6" t="s">
        <v>26</v>
      </c>
      <c r="E522" s="17" t="str">
        <f>VLOOKUP(C522,Resources!B:G,3,FALSE)</f>
        <v>L</v>
      </c>
      <c r="F522" s="12">
        <v>1</v>
      </c>
      <c r="G522" s="26">
        <f>VLOOKUP($A522,'Model Inputs'!$A:$C,3,FALSE)</f>
        <v>0.30499999999999999</v>
      </c>
      <c r="H522" s="12">
        <f>H507</f>
        <v>1.22</v>
      </c>
      <c r="I522" s="12">
        <f>VLOOKUP(C522,Resources!B:G,6,FALSE)</f>
        <v>51.9</v>
      </c>
      <c r="J522" s="21">
        <f t="shared" ref="J522:J524" si="877">(H522/G522)*I522*F522</f>
        <v>207.6</v>
      </c>
      <c r="K522" s="21">
        <f t="shared" ref="K522:K524" si="878">IF(E522="M"," ",L522*F522)</f>
        <v>4</v>
      </c>
      <c r="L522" s="24">
        <f t="shared" ref="L522:L524" si="879">IF(E522="M"," ",H522/G522)</f>
        <v>4</v>
      </c>
      <c r="M522" s="24">
        <f t="shared" ref="M522:M524" si="880">IF($E522="L",$J522,0)</f>
        <v>207.6</v>
      </c>
      <c r="N522" s="24">
        <f t="shared" ref="N522:N524" si="881">IF($E522="M",$J522,0)</f>
        <v>0</v>
      </c>
      <c r="O522" s="24">
        <f t="shared" ref="O522:O524" si="882">IF($E522="P",$J522,0)</f>
        <v>0</v>
      </c>
      <c r="P522" s="24">
        <f t="shared" ref="P522:P524" si="883">IF($E522="S",$J522,0)</f>
        <v>0</v>
      </c>
      <c r="Q522" s="24">
        <f t="shared" ref="Q522:Q524" si="884">SUM(M522:P522)</f>
        <v>207.6</v>
      </c>
      <c r="R522" s="87">
        <v>81</v>
      </c>
      <c r="T522" s="235" t="str">
        <f t="shared" si="876"/>
        <v xml:space="preserve"> </v>
      </c>
      <c r="U522" s="232"/>
    </row>
    <row r="523" spans="1:21" s="18" customFormat="1" x14ac:dyDescent="0.25">
      <c r="A523" s="157"/>
      <c r="B523" s="6">
        <v>16</v>
      </c>
      <c r="C523" s="9" t="s">
        <v>82</v>
      </c>
      <c r="D523" s="6" t="s">
        <v>26</v>
      </c>
      <c r="E523" s="17" t="str">
        <f>VLOOKUP(C523,Resources!B:G,3,FALSE)</f>
        <v>P</v>
      </c>
      <c r="F523" s="12">
        <v>1</v>
      </c>
      <c r="G523" s="12">
        <f>G522*2</f>
        <v>0.61</v>
      </c>
      <c r="H523" s="12">
        <f>H507</f>
        <v>1.22</v>
      </c>
      <c r="I523" s="12">
        <f>VLOOKUP(C523,Resources!B:G,6,FALSE)</f>
        <v>95</v>
      </c>
      <c r="J523" s="21">
        <f t="shared" si="877"/>
        <v>190</v>
      </c>
      <c r="K523" s="21">
        <f t="shared" si="878"/>
        <v>2</v>
      </c>
      <c r="L523" s="24">
        <f t="shared" si="879"/>
        <v>2</v>
      </c>
      <c r="M523" s="24">
        <f t="shared" si="880"/>
        <v>0</v>
      </c>
      <c r="N523" s="24">
        <f t="shared" si="881"/>
        <v>0</v>
      </c>
      <c r="O523" s="24">
        <f t="shared" si="882"/>
        <v>190</v>
      </c>
      <c r="P523" s="24">
        <f t="shared" si="883"/>
        <v>0</v>
      </c>
      <c r="Q523" s="24">
        <f t="shared" si="884"/>
        <v>190</v>
      </c>
      <c r="R523" s="87">
        <v>81</v>
      </c>
      <c r="T523" s="235" t="str">
        <f t="shared" si="876"/>
        <v xml:space="preserve"> </v>
      </c>
      <c r="U523" s="232"/>
    </row>
    <row r="524" spans="1:21" s="18" customFormat="1" x14ac:dyDescent="0.25">
      <c r="A524" s="157"/>
      <c r="B524" s="6">
        <v>17</v>
      </c>
      <c r="C524" s="9" t="s">
        <v>28</v>
      </c>
      <c r="D524" s="6" t="s">
        <v>26</v>
      </c>
      <c r="E524" s="17" t="str">
        <f>VLOOKUP(C524,Resources!B:G,3,FALSE)</f>
        <v>P</v>
      </c>
      <c r="F524" s="12">
        <v>1</v>
      </c>
      <c r="G524" s="12">
        <f>G522*4</f>
        <v>1.22</v>
      </c>
      <c r="H524" s="12">
        <f>H507</f>
        <v>1.22</v>
      </c>
      <c r="I524" s="12">
        <f>VLOOKUP(C524,Resources!B:G,6,FALSE)</f>
        <v>95</v>
      </c>
      <c r="J524" s="21">
        <f t="shared" si="877"/>
        <v>95</v>
      </c>
      <c r="K524" s="21">
        <f t="shared" si="878"/>
        <v>1</v>
      </c>
      <c r="L524" s="24">
        <f t="shared" si="879"/>
        <v>1</v>
      </c>
      <c r="M524" s="24">
        <f t="shared" si="880"/>
        <v>0</v>
      </c>
      <c r="N524" s="24">
        <f t="shared" si="881"/>
        <v>0</v>
      </c>
      <c r="O524" s="24">
        <f t="shared" si="882"/>
        <v>95</v>
      </c>
      <c r="P524" s="24">
        <f t="shared" si="883"/>
        <v>0</v>
      </c>
      <c r="Q524" s="24">
        <f t="shared" si="884"/>
        <v>95</v>
      </c>
      <c r="R524" s="87">
        <v>81</v>
      </c>
      <c r="T524" s="235" t="str">
        <f t="shared" si="876"/>
        <v xml:space="preserve"> </v>
      </c>
      <c r="U524" s="232"/>
    </row>
    <row r="525" spans="1:21" x14ac:dyDescent="0.25">
      <c r="F525" s="11"/>
      <c r="G525" s="11"/>
      <c r="H525" s="11"/>
      <c r="I525" s="11"/>
      <c r="J525" s="11"/>
      <c r="K525" s="11"/>
      <c r="R525" s="88"/>
      <c r="T525" s="235" t="str">
        <f t="shared" si="876"/>
        <v xml:space="preserve"> </v>
      </c>
    </row>
    <row r="526" spans="1:21" ht="30" x14ac:dyDescent="0.25">
      <c r="A526" s="156">
        <v>65</v>
      </c>
      <c r="B526" s="3" t="s">
        <v>235</v>
      </c>
      <c r="C526" s="3" t="s">
        <v>236</v>
      </c>
      <c r="D526" s="4" t="s">
        <v>145</v>
      </c>
      <c r="E526" s="15"/>
      <c r="F526" s="10"/>
      <c r="G526" s="10"/>
      <c r="H526" s="26">
        <f>VLOOKUP($A526,'Model Inputs'!$A:$C,3,FALSE)</f>
        <v>1</v>
      </c>
      <c r="I526" s="10"/>
      <c r="J526" s="10">
        <f>SUBTOTAL(9,J528:J529)</f>
        <v>892.8</v>
      </c>
      <c r="K526" s="10"/>
      <c r="L526" s="10">
        <f>ROUNDUP(MAX(L528:L529)/Workhrs,0)</f>
        <v>1</v>
      </c>
      <c r="M526" s="10">
        <f>SUBTOTAL(9,M528:M529)</f>
        <v>622.79999999999995</v>
      </c>
      <c r="N526" s="10">
        <f t="shared" ref="N526:Q526" si="885">SUBTOTAL(9,N528:N529)</f>
        <v>0</v>
      </c>
      <c r="O526" s="10">
        <f t="shared" si="885"/>
        <v>270</v>
      </c>
      <c r="P526" s="10">
        <f t="shared" si="885"/>
        <v>0</v>
      </c>
      <c r="Q526" s="10">
        <f t="shared" si="885"/>
        <v>892.8</v>
      </c>
      <c r="R526" s="86"/>
      <c r="T526" s="235" t="str">
        <f t="shared" si="876"/>
        <v xml:space="preserve"> </v>
      </c>
    </row>
    <row r="527" spans="1:21" x14ac:dyDescent="0.25">
      <c r="A527" s="157"/>
      <c r="B527" s="6">
        <v>1</v>
      </c>
      <c r="C527" s="9" t="s">
        <v>174</v>
      </c>
      <c r="D527" s="6" t="s">
        <v>31</v>
      </c>
      <c r="E527" s="17" t="str">
        <f>VLOOKUP(C527,Resources!B:G,3,FALSE)</f>
        <v>M</v>
      </c>
      <c r="F527" s="12">
        <v>1</v>
      </c>
      <c r="G527" s="12">
        <v>1</v>
      </c>
      <c r="H527" s="12">
        <f>H526</f>
        <v>1</v>
      </c>
      <c r="I527" s="12">
        <f>VLOOKUP(C527,Resources!B:G,6,FALSE)</f>
        <v>365</v>
      </c>
      <c r="J527" s="21">
        <f t="shared" ref="J527:J529" si="886">(H527/G527)*I527*F527</f>
        <v>365</v>
      </c>
      <c r="K527" s="21" t="str">
        <f t="shared" ref="K527:K529" si="887">IF(E527="M"," ",L527*F527)</f>
        <v xml:space="preserve"> </v>
      </c>
      <c r="L527" s="24" t="str">
        <f t="shared" ref="L527:L529" si="888">IF(E527="M"," ",H527/G527)</f>
        <v xml:space="preserve"> </v>
      </c>
      <c r="M527" s="24">
        <f t="shared" ref="M527:M529" si="889">IF($E527="L",$J527,0)</f>
        <v>0</v>
      </c>
      <c r="N527" s="24">
        <f t="shared" ref="N527:N529" si="890">IF($E527="M",$J527,0)</f>
        <v>365</v>
      </c>
      <c r="O527" s="24">
        <f t="shared" ref="O527:O529" si="891">IF($E527="P",$J527,0)</f>
        <v>0</v>
      </c>
      <c r="P527" s="24">
        <f t="shared" ref="P527:P529" si="892">IF($E527="S",$J527,0)</f>
        <v>0</v>
      </c>
      <c r="Q527" s="24">
        <f t="shared" ref="Q527:Q529" si="893">SUM(M527:P527)</f>
        <v>365</v>
      </c>
      <c r="R527" s="87" t="s">
        <v>545</v>
      </c>
      <c r="T527" s="235" t="str">
        <f t="shared" si="876"/>
        <v xml:space="preserve"> </v>
      </c>
    </row>
    <row r="528" spans="1:21" x14ac:dyDescent="0.25">
      <c r="A528" s="157">
        <v>65.099999999999994</v>
      </c>
      <c r="B528" s="6">
        <v>2</v>
      </c>
      <c r="C528" s="9" t="s">
        <v>70</v>
      </c>
      <c r="D528" s="6" t="s">
        <v>26</v>
      </c>
      <c r="E528" s="17" t="str">
        <f>VLOOKUP(C528,Resources!B:G,3,FALSE)</f>
        <v>P</v>
      </c>
      <c r="F528" s="12">
        <v>1</v>
      </c>
      <c r="G528" s="26">
        <f>VLOOKUP($A528,'Model Inputs'!$A:$C,3,FALSE)</f>
        <v>0.5</v>
      </c>
      <c r="H528" s="12">
        <v>1</v>
      </c>
      <c r="I528" s="12">
        <f>VLOOKUP(C528,Resources!B:G,6,FALSE)</f>
        <v>135</v>
      </c>
      <c r="J528" s="21">
        <f t="shared" si="886"/>
        <v>270</v>
      </c>
      <c r="K528" s="21">
        <f t="shared" si="887"/>
        <v>2</v>
      </c>
      <c r="L528" s="24">
        <f t="shared" si="888"/>
        <v>2</v>
      </c>
      <c r="M528" s="24">
        <f t="shared" si="889"/>
        <v>0</v>
      </c>
      <c r="N528" s="24">
        <f t="shared" si="890"/>
        <v>0</v>
      </c>
      <c r="O528" s="24">
        <f t="shared" si="891"/>
        <v>270</v>
      </c>
      <c r="P528" s="24">
        <f t="shared" si="892"/>
        <v>0</v>
      </c>
      <c r="Q528" s="24">
        <f t="shared" si="893"/>
        <v>270</v>
      </c>
      <c r="R528" s="87">
        <v>72</v>
      </c>
      <c r="T528" s="235" t="str">
        <f t="shared" si="876"/>
        <v xml:space="preserve"> </v>
      </c>
    </row>
    <row r="529" spans="1:21" x14ac:dyDescent="0.25">
      <c r="A529" s="157"/>
      <c r="B529" s="6">
        <v>3</v>
      </c>
      <c r="C529" s="9" t="s">
        <v>8</v>
      </c>
      <c r="D529" s="6" t="s">
        <v>26</v>
      </c>
      <c r="E529" s="17" t="str">
        <f>VLOOKUP(C529,Resources!B:G,3,FALSE)</f>
        <v>L</v>
      </c>
      <c r="F529" s="12">
        <v>3</v>
      </c>
      <c r="G529" s="12">
        <f>G528/2</f>
        <v>0.25</v>
      </c>
      <c r="H529" s="12">
        <v>1</v>
      </c>
      <c r="I529" s="12">
        <f>VLOOKUP(C529,Resources!B:G,6,FALSE)</f>
        <v>51.9</v>
      </c>
      <c r="J529" s="21">
        <f t="shared" si="886"/>
        <v>622.79999999999995</v>
      </c>
      <c r="K529" s="21">
        <f t="shared" si="887"/>
        <v>12</v>
      </c>
      <c r="L529" s="24">
        <f t="shared" si="888"/>
        <v>4</v>
      </c>
      <c r="M529" s="24">
        <f t="shared" si="889"/>
        <v>622.79999999999995</v>
      </c>
      <c r="N529" s="24">
        <f t="shared" si="890"/>
        <v>0</v>
      </c>
      <c r="O529" s="24">
        <f t="shared" si="891"/>
        <v>0</v>
      </c>
      <c r="P529" s="24">
        <f t="shared" si="892"/>
        <v>0</v>
      </c>
      <c r="Q529" s="24">
        <f t="shared" si="893"/>
        <v>622.79999999999995</v>
      </c>
      <c r="R529" s="87">
        <v>72</v>
      </c>
      <c r="T529" s="235" t="str">
        <f t="shared" si="876"/>
        <v xml:space="preserve"> </v>
      </c>
    </row>
    <row r="530" spans="1:21" x14ac:dyDescent="0.25">
      <c r="F530" s="11"/>
      <c r="G530" s="11"/>
      <c r="H530" s="11"/>
      <c r="I530" s="11"/>
      <c r="J530" s="11"/>
      <c r="K530" s="11"/>
      <c r="R530" s="88"/>
      <c r="T530" s="235" t="str">
        <f t="shared" si="876"/>
        <v xml:space="preserve"> </v>
      </c>
    </row>
    <row r="531" spans="1:21" ht="30" x14ac:dyDescent="0.25">
      <c r="A531" s="156"/>
      <c r="B531" s="3" t="s">
        <v>237</v>
      </c>
      <c r="C531" s="3" t="s">
        <v>238</v>
      </c>
      <c r="D531" s="4"/>
      <c r="E531" s="15"/>
      <c r="F531" s="10"/>
      <c r="G531" s="10"/>
      <c r="H531" s="10"/>
      <c r="I531" s="10"/>
      <c r="J531" s="10"/>
      <c r="K531" s="10"/>
      <c r="L531" s="23"/>
      <c r="M531" s="23"/>
      <c r="N531" s="23"/>
      <c r="O531" s="23"/>
      <c r="P531" s="23"/>
      <c r="Q531" s="23"/>
      <c r="R531" s="86"/>
      <c r="T531" s="235" t="str">
        <f t="shared" si="876"/>
        <v xml:space="preserve"> </v>
      </c>
    </row>
    <row r="532" spans="1:21" ht="60" x14ac:dyDescent="0.25">
      <c r="A532" s="156">
        <v>66</v>
      </c>
      <c r="B532" s="3" t="s">
        <v>239</v>
      </c>
      <c r="C532" s="3" t="s">
        <v>582</v>
      </c>
      <c r="D532" s="4" t="s">
        <v>32</v>
      </c>
      <c r="E532" s="15"/>
      <c r="F532" s="10"/>
      <c r="G532" s="10"/>
      <c r="H532" s="26">
        <f>VLOOKUP($A532,'Model Inputs'!$A:$C,3,FALSE)</f>
        <v>1.22</v>
      </c>
      <c r="I532" s="10"/>
      <c r="J532" s="10">
        <f>SUBTOTAL(9,J534:J535,J537:J539,J541:J542,J544:J545,J547:J549)</f>
        <v>1980.7849926016931</v>
      </c>
      <c r="K532" s="10"/>
      <c r="L532" s="10">
        <f>ROUNDUP(SUM(L538,L541,L544,L547)/Workhrs,0)</f>
        <v>2</v>
      </c>
      <c r="M532" s="10">
        <f>SUBTOTAL(9,M534:M535,M537:M539,M541:M542,M544:M545,M547:M549)</f>
        <v>427.12933004926106</v>
      </c>
      <c r="N532" s="10">
        <f t="shared" ref="N532:Q532" si="894">SUBTOTAL(9,N534:N535,N537:N539,N541:N542,N544:N545,N547:N549)</f>
        <v>475.62918780000001</v>
      </c>
      <c r="O532" s="10">
        <f t="shared" si="894"/>
        <v>1078.0264747524323</v>
      </c>
      <c r="P532" s="10">
        <f t="shared" si="894"/>
        <v>0</v>
      </c>
      <c r="Q532" s="10">
        <f t="shared" si="894"/>
        <v>1980.7849926016931</v>
      </c>
      <c r="R532" s="86"/>
      <c r="T532" s="235" t="str">
        <f t="shared" si="876"/>
        <v xml:space="preserve"> </v>
      </c>
    </row>
    <row r="533" spans="1:21" s="19" customFormat="1" x14ac:dyDescent="0.25">
      <c r="A533" s="159"/>
      <c r="B533" s="28">
        <v>1</v>
      </c>
      <c r="C533" s="29" t="s">
        <v>165</v>
      </c>
      <c r="D533" s="28"/>
      <c r="E533" s="30"/>
      <c r="F533" s="31"/>
      <c r="G533" s="31"/>
      <c r="H533" s="31"/>
      <c r="I533" s="31"/>
      <c r="J533" s="32"/>
      <c r="K533" s="32"/>
      <c r="L533" s="33"/>
      <c r="M533" s="33"/>
      <c r="N533" s="33"/>
      <c r="O533" s="33"/>
      <c r="P533" s="33"/>
      <c r="Q533" s="33"/>
      <c r="R533" s="89"/>
      <c r="T533" s="235" t="str">
        <f t="shared" si="876"/>
        <v xml:space="preserve"> </v>
      </c>
      <c r="U533" s="236"/>
    </row>
    <row r="534" spans="1:21" s="18" customFormat="1" x14ac:dyDescent="0.25">
      <c r="A534" s="157"/>
      <c r="B534" s="6">
        <v>2</v>
      </c>
      <c r="C534" s="9" t="s">
        <v>166</v>
      </c>
      <c r="D534" s="6" t="s">
        <v>32</v>
      </c>
      <c r="E534" s="17" t="str">
        <f>VLOOKUP(C534,Resources!B:G,3,FALSE)</f>
        <v>M</v>
      </c>
      <c r="F534" s="12">
        <v>1</v>
      </c>
      <c r="G534" s="12">
        <v>1</v>
      </c>
      <c r="H534" s="12">
        <f>H532*3.6721</f>
        <v>4.4799619999999996</v>
      </c>
      <c r="I534" s="12">
        <f>VLOOKUP(C534,Resources!B:G,6,FALSE)</f>
        <v>83.4</v>
      </c>
      <c r="J534" s="21">
        <f t="shared" ref="J534:J535" si="895">(H534/G534)*I534*F534</f>
        <v>373.6288308</v>
      </c>
      <c r="K534" s="21" t="str">
        <f t="shared" ref="K534:K535" si="896">IF(E534="M"," ",L534*F534)</f>
        <v xml:space="preserve"> </v>
      </c>
      <c r="L534" s="24" t="str">
        <f t="shared" ref="L534:L535" si="897">IF(E534="M"," ",H534/G534)</f>
        <v xml:space="preserve"> </v>
      </c>
      <c r="M534" s="24">
        <f t="shared" ref="M534:M535" si="898">IF($E534="L",$J534,0)</f>
        <v>0</v>
      </c>
      <c r="N534" s="24">
        <f t="shared" ref="N534:N535" si="899">IF($E534="M",$J534,0)</f>
        <v>373.6288308</v>
      </c>
      <c r="O534" s="24">
        <f t="shared" ref="O534:O535" si="900">IF($E534="P",$J534,0)</f>
        <v>0</v>
      </c>
      <c r="P534" s="24">
        <f t="shared" ref="P534:P535" si="901">IF($E534="S",$J534,0)</f>
        <v>0</v>
      </c>
      <c r="Q534" s="24">
        <f t="shared" ref="Q534:Q535" si="902">SUM(M534:P534)</f>
        <v>373.6288308</v>
      </c>
      <c r="R534" s="87" t="s">
        <v>541</v>
      </c>
      <c r="T534" s="235" t="str">
        <f t="shared" si="876"/>
        <v xml:space="preserve"> </v>
      </c>
      <c r="U534" s="232"/>
    </row>
    <row r="535" spans="1:21" s="18" customFormat="1" x14ac:dyDescent="0.25">
      <c r="A535" s="157"/>
      <c r="B535" s="6">
        <v>3</v>
      </c>
      <c r="C535" s="9" t="s">
        <v>167</v>
      </c>
      <c r="D535" s="6" t="s">
        <v>100</v>
      </c>
      <c r="E535" s="17" t="str">
        <f>VLOOKUP(C535,Resources!B:G,3,FALSE)</f>
        <v>M</v>
      </c>
      <c r="F535" s="12">
        <v>1</v>
      </c>
      <c r="G535" s="12">
        <v>1</v>
      </c>
      <c r="H535" s="12">
        <f>H532*3.2787</f>
        <v>4.0000140000000002</v>
      </c>
      <c r="I535" s="12">
        <f>VLOOKUP(C535,Resources!B:G,6,FALSE)</f>
        <v>25.5</v>
      </c>
      <c r="J535" s="21">
        <f t="shared" si="895"/>
        <v>102.00035700000001</v>
      </c>
      <c r="K535" s="21" t="str">
        <f t="shared" si="896"/>
        <v xml:space="preserve"> </v>
      </c>
      <c r="L535" s="24" t="str">
        <f t="shared" si="897"/>
        <v xml:space="preserve"> </v>
      </c>
      <c r="M535" s="24">
        <f t="shared" si="898"/>
        <v>0</v>
      </c>
      <c r="N535" s="24">
        <f t="shared" si="899"/>
        <v>102.00035700000001</v>
      </c>
      <c r="O535" s="24">
        <f t="shared" si="900"/>
        <v>0</v>
      </c>
      <c r="P535" s="24">
        <f t="shared" si="901"/>
        <v>0</v>
      </c>
      <c r="Q535" s="24">
        <f t="shared" si="902"/>
        <v>102.00035700000001</v>
      </c>
      <c r="R535" s="87" t="s">
        <v>542</v>
      </c>
      <c r="T535" s="235" t="str">
        <f t="shared" si="876"/>
        <v>y</v>
      </c>
      <c r="U535" s="232"/>
    </row>
    <row r="536" spans="1:21" s="19" customFormat="1" x14ac:dyDescent="0.25">
      <c r="A536" s="159"/>
      <c r="B536" s="28">
        <v>4</v>
      </c>
      <c r="C536" s="29" t="s">
        <v>168</v>
      </c>
      <c r="D536" s="28"/>
      <c r="E536" s="30"/>
      <c r="F536" s="31"/>
      <c r="G536" s="31"/>
      <c r="H536" s="31"/>
      <c r="I536" s="31"/>
      <c r="J536" s="32"/>
      <c r="K536" s="32"/>
      <c r="L536" s="33"/>
      <c r="M536" s="33"/>
      <c r="N536" s="33"/>
      <c r="O536" s="33"/>
      <c r="P536" s="33"/>
      <c r="Q536" s="33"/>
      <c r="R536" s="89"/>
      <c r="T536" s="235" t="str">
        <f t="shared" si="876"/>
        <v xml:space="preserve"> </v>
      </c>
      <c r="U536" s="236"/>
    </row>
    <row r="537" spans="1:21" s="18" customFormat="1" x14ac:dyDescent="0.25">
      <c r="A537" s="157">
        <v>66.099999999999994</v>
      </c>
      <c r="B537" s="6">
        <v>5</v>
      </c>
      <c r="C537" s="9" t="s">
        <v>70</v>
      </c>
      <c r="D537" s="6" t="s">
        <v>26</v>
      </c>
      <c r="E537" s="17" t="str">
        <f>VLOOKUP(C537,Resources!B:G,3,FALSE)</f>
        <v>P</v>
      </c>
      <c r="F537" s="12">
        <v>1</v>
      </c>
      <c r="G537" s="26">
        <f>VLOOKUP($A537,'Model Inputs'!$A:$C,3,FALSE)</f>
        <v>2.44</v>
      </c>
      <c r="H537" s="12">
        <f>H532</f>
        <v>1.22</v>
      </c>
      <c r="I537" s="12">
        <f>VLOOKUP(C537,Resources!B:G,6,FALSE)</f>
        <v>135</v>
      </c>
      <c r="J537" s="21">
        <f t="shared" ref="J537:J539" si="903">(H537/G537)*I537*F537</f>
        <v>67.5</v>
      </c>
      <c r="K537" s="21">
        <f t="shared" ref="K537:K539" si="904">IF(E537="M"," ",L537*F537)</f>
        <v>0.5</v>
      </c>
      <c r="L537" s="24">
        <f t="shared" ref="L537:L539" si="905">IF(E537="M"," ",H537/G537)</f>
        <v>0.5</v>
      </c>
      <c r="M537" s="24">
        <f t="shared" ref="M537:M539" si="906">IF($E537="L",$J537,0)</f>
        <v>0</v>
      </c>
      <c r="N537" s="24">
        <f t="shared" ref="N537:N539" si="907">IF($E537="M",$J537,0)</f>
        <v>0</v>
      </c>
      <c r="O537" s="24">
        <f t="shared" ref="O537:O539" si="908">IF($E537="P",$J537,0)</f>
        <v>67.5</v>
      </c>
      <c r="P537" s="24">
        <f t="shared" ref="P537:P539" si="909">IF($E537="S",$J537,0)</f>
        <v>0</v>
      </c>
      <c r="Q537" s="24">
        <f t="shared" ref="Q537:Q539" si="910">SUM(M537:P537)</f>
        <v>67.5</v>
      </c>
      <c r="R537" s="87">
        <v>81</v>
      </c>
      <c r="T537" s="235" t="str">
        <f t="shared" si="876"/>
        <v xml:space="preserve"> </v>
      </c>
      <c r="U537" s="232"/>
    </row>
    <row r="538" spans="1:21" s="18" customFormat="1" x14ac:dyDescent="0.25">
      <c r="A538" s="157"/>
      <c r="B538" s="6">
        <v>6</v>
      </c>
      <c r="C538" s="9" t="s">
        <v>27</v>
      </c>
      <c r="D538" s="6" t="s">
        <v>26</v>
      </c>
      <c r="E538" s="17" t="str">
        <f>VLOOKUP(C538,Resources!B:G,3,FALSE)</f>
        <v>P</v>
      </c>
      <c r="F538" s="12">
        <v>1</v>
      </c>
      <c r="G538" s="12">
        <v>1</v>
      </c>
      <c r="H538" s="12">
        <f>H537</f>
        <v>1.22</v>
      </c>
      <c r="I538" s="12">
        <f>VLOOKUP(C538,Resources!B:G,6,FALSE)</f>
        <v>90</v>
      </c>
      <c r="J538" s="21">
        <f t="shared" si="903"/>
        <v>109.8</v>
      </c>
      <c r="K538" s="21">
        <f t="shared" si="904"/>
        <v>1.22</v>
      </c>
      <c r="L538" s="24">
        <f t="shared" si="905"/>
        <v>1.22</v>
      </c>
      <c r="M538" s="24">
        <f t="shared" si="906"/>
        <v>0</v>
      </c>
      <c r="N538" s="24">
        <f t="shared" si="907"/>
        <v>0</v>
      </c>
      <c r="O538" s="24">
        <f t="shared" si="908"/>
        <v>109.8</v>
      </c>
      <c r="P538" s="24">
        <f t="shared" si="909"/>
        <v>0</v>
      </c>
      <c r="Q538" s="24">
        <f t="shared" si="910"/>
        <v>109.8</v>
      </c>
      <c r="R538" s="87">
        <v>81</v>
      </c>
      <c r="T538" s="235" t="str">
        <f t="shared" si="876"/>
        <v xml:space="preserve"> </v>
      </c>
      <c r="U538" s="232"/>
    </row>
    <row r="539" spans="1:21" s="18" customFormat="1" x14ac:dyDescent="0.25">
      <c r="A539" s="157"/>
      <c r="B539" s="6">
        <v>7</v>
      </c>
      <c r="C539" s="9" t="s">
        <v>8</v>
      </c>
      <c r="D539" s="6" t="s">
        <v>26</v>
      </c>
      <c r="E539" s="17" t="str">
        <f>VLOOKUP(C539,Resources!B:G,3,FALSE)</f>
        <v>L</v>
      </c>
      <c r="F539" s="12">
        <v>1</v>
      </c>
      <c r="G539" s="12">
        <v>1</v>
      </c>
      <c r="H539" s="12">
        <f>H537</f>
        <v>1.22</v>
      </c>
      <c r="I539" s="12">
        <f>VLOOKUP(C539,Resources!B:G,6,FALSE)</f>
        <v>51.9</v>
      </c>
      <c r="J539" s="21">
        <f t="shared" si="903"/>
        <v>63.317999999999998</v>
      </c>
      <c r="K539" s="21">
        <f t="shared" si="904"/>
        <v>1.22</v>
      </c>
      <c r="L539" s="24">
        <f t="shared" si="905"/>
        <v>1.22</v>
      </c>
      <c r="M539" s="24">
        <f t="shared" si="906"/>
        <v>63.317999999999998</v>
      </c>
      <c r="N539" s="24">
        <f t="shared" si="907"/>
        <v>0</v>
      </c>
      <c r="O539" s="24">
        <f t="shared" si="908"/>
        <v>0</v>
      </c>
      <c r="P539" s="24">
        <f t="shared" si="909"/>
        <v>0</v>
      </c>
      <c r="Q539" s="24">
        <f t="shared" si="910"/>
        <v>63.317999999999998</v>
      </c>
      <c r="R539" s="87">
        <v>81</v>
      </c>
      <c r="T539" s="235" t="str">
        <f t="shared" si="876"/>
        <v xml:space="preserve"> </v>
      </c>
      <c r="U539" s="232"/>
    </row>
    <row r="540" spans="1:21" s="19" customFormat="1" x14ac:dyDescent="0.25">
      <c r="A540" s="159"/>
      <c r="B540" s="28">
        <v>8</v>
      </c>
      <c r="C540" s="29" t="s">
        <v>169</v>
      </c>
      <c r="D540" s="28"/>
      <c r="E540" s="30"/>
      <c r="F540" s="31"/>
      <c r="G540" s="31"/>
      <c r="H540" s="12"/>
      <c r="I540" s="31"/>
      <c r="J540" s="32"/>
      <c r="K540" s="32"/>
      <c r="L540" s="33"/>
      <c r="M540" s="33"/>
      <c r="N540" s="33"/>
      <c r="O540" s="33"/>
      <c r="P540" s="33"/>
      <c r="Q540" s="33"/>
      <c r="R540" s="89"/>
      <c r="T540" s="235" t="str">
        <f t="shared" si="876"/>
        <v xml:space="preserve"> </v>
      </c>
      <c r="U540" s="236"/>
    </row>
    <row r="541" spans="1:21" s="18" customFormat="1" x14ac:dyDescent="0.25">
      <c r="A541" s="157">
        <v>66.2</v>
      </c>
      <c r="B541" s="6">
        <v>9</v>
      </c>
      <c r="C541" s="9" t="s">
        <v>70</v>
      </c>
      <c r="D541" s="6" t="s">
        <v>26</v>
      </c>
      <c r="E541" s="17" t="str">
        <f>VLOOKUP(C541,Resources!B:G,3,FALSE)</f>
        <v>P</v>
      </c>
      <c r="F541" s="12">
        <v>1</v>
      </c>
      <c r="G541" s="26">
        <f>VLOOKUP($A541,'Model Inputs'!$A:$C,3,FALSE)</f>
        <v>0.81299999999999994</v>
      </c>
      <c r="H541" s="12">
        <f>H532</f>
        <v>1.22</v>
      </c>
      <c r="I541" s="12">
        <f>VLOOKUP(C541,Resources!B:G,6,FALSE)</f>
        <v>135</v>
      </c>
      <c r="J541" s="21">
        <f t="shared" ref="J541:J542" si="911">(H541/G541)*I541*F541</f>
        <v>202.58302583025832</v>
      </c>
      <c r="K541" s="21">
        <f t="shared" ref="K541:K542" si="912">IF(E541="M"," ",L541*F541)</f>
        <v>1.5006150061500616</v>
      </c>
      <c r="L541" s="24">
        <f t="shared" ref="L541:L542" si="913">IF(E541="M"," ",H541/G541)</f>
        <v>1.5006150061500616</v>
      </c>
      <c r="M541" s="24">
        <f t="shared" ref="M541:M542" si="914">IF($E541="L",$J541,0)</f>
        <v>0</v>
      </c>
      <c r="N541" s="24">
        <f t="shared" ref="N541:N542" si="915">IF($E541="M",$J541,0)</f>
        <v>0</v>
      </c>
      <c r="O541" s="24">
        <f t="shared" ref="O541:O542" si="916">IF($E541="P",$J541,0)</f>
        <v>202.58302583025832</v>
      </c>
      <c r="P541" s="24">
        <f t="shared" ref="P541:P542" si="917">IF($E541="S",$J541,0)</f>
        <v>0</v>
      </c>
      <c r="Q541" s="24">
        <f t="shared" ref="Q541:Q542" si="918">SUM(M541:P541)</f>
        <v>202.58302583025832</v>
      </c>
      <c r="R541" s="87">
        <v>81</v>
      </c>
      <c r="T541" s="235" t="str">
        <f t="shared" si="876"/>
        <v xml:space="preserve"> </v>
      </c>
      <c r="U541" s="232"/>
    </row>
    <row r="542" spans="1:21" s="18" customFormat="1" x14ac:dyDescent="0.25">
      <c r="A542" s="157"/>
      <c r="B542" s="6">
        <v>10</v>
      </c>
      <c r="C542" s="9" t="s">
        <v>28</v>
      </c>
      <c r="D542" s="6" t="s">
        <v>26</v>
      </c>
      <c r="E542" s="17" t="str">
        <f>VLOOKUP(C542,Resources!B:G,3,FALSE)</f>
        <v>P</v>
      </c>
      <c r="F542" s="12">
        <v>1</v>
      </c>
      <c r="G542" s="12">
        <f>G541*3</f>
        <v>2.4390000000000001</v>
      </c>
      <c r="H542" s="12">
        <f>H532</f>
        <v>1.22</v>
      </c>
      <c r="I542" s="12">
        <f>VLOOKUP(C542,Resources!B:G,6,FALSE)</f>
        <v>95</v>
      </c>
      <c r="J542" s="21">
        <f t="shared" si="911"/>
        <v>47.519475194751948</v>
      </c>
      <c r="K542" s="21">
        <f t="shared" si="912"/>
        <v>0.5002050020500205</v>
      </c>
      <c r="L542" s="24">
        <f t="shared" si="913"/>
        <v>0.5002050020500205</v>
      </c>
      <c r="M542" s="24">
        <f t="shared" si="914"/>
        <v>0</v>
      </c>
      <c r="N542" s="24">
        <f t="shared" si="915"/>
        <v>0</v>
      </c>
      <c r="O542" s="24">
        <f t="shared" si="916"/>
        <v>47.519475194751948</v>
      </c>
      <c r="P542" s="24">
        <f t="shared" si="917"/>
        <v>0</v>
      </c>
      <c r="Q542" s="24">
        <f t="shared" si="918"/>
        <v>47.519475194751948</v>
      </c>
      <c r="R542" s="87">
        <v>81</v>
      </c>
      <c r="T542" s="235" t="str">
        <f t="shared" si="876"/>
        <v xml:space="preserve"> </v>
      </c>
      <c r="U542" s="232"/>
    </row>
    <row r="543" spans="1:21" s="19" customFormat="1" x14ac:dyDescent="0.25">
      <c r="A543" s="159"/>
      <c r="B543" s="28">
        <v>11</v>
      </c>
      <c r="C543" s="29" t="s">
        <v>170</v>
      </c>
      <c r="D543" s="28"/>
      <c r="E543" s="30"/>
      <c r="F543" s="31"/>
      <c r="G543" s="31"/>
      <c r="H543" s="12"/>
      <c r="I543" s="31"/>
      <c r="J543" s="32"/>
      <c r="K543" s="32"/>
      <c r="L543" s="33"/>
      <c r="M543" s="33"/>
      <c r="N543" s="33"/>
      <c r="O543" s="33"/>
      <c r="P543" s="33"/>
      <c r="Q543" s="33"/>
      <c r="R543" s="89"/>
      <c r="T543" s="235" t="str">
        <f t="shared" si="876"/>
        <v xml:space="preserve"> </v>
      </c>
      <c r="U543" s="236"/>
    </row>
    <row r="544" spans="1:21" s="18" customFormat="1" x14ac:dyDescent="0.25">
      <c r="A544" s="157">
        <v>66.3</v>
      </c>
      <c r="B544" s="6">
        <v>12</v>
      </c>
      <c r="C544" s="9" t="s">
        <v>70</v>
      </c>
      <c r="D544" s="6" t="s">
        <v>26</v>
      </c>
      <c r="E544" s="17" t="str">
        <f>VLOOKUP(C544,Resources!B:G,3,FALSE)</f>
        <v>P</v>
      </c>
      <c r="F544" s="12">
        <v>1</v>
      </c>
      <c r="G544" s="26">
        <f>VLOOKUP($A544,'Model Inputs'!$A:$C,3,FALSE)</f>
        <v>0.61</v>
      </c>
      <c r="H544" s="12">
        <f>H532</f>
        <v>1.22</v>
      </c>
      <c r="I544" s="12">
        <f>VLOOKUP(C544,Resources!B:G,6,FALSE)</f>
        <v>135</v>
      </c>
      <c r="J544" s="21">
        <f t="shared" ref="J544:J545" si="919">(H544/G544)*I544*F544</f>
        <v>270</v>
      </c>
      <c r="K544" s="21">
        <f t="shared" ref="K544:K545" si="920">IF(E544="M"," ",L544*F544)</f>
        <v>2</v>
      </c>
      <c r="L544" s="24">
        <f t="shared" ref="L544:L545" si="921">IF(E544="M"," ",H544/G544)</f>
        <v>2</v>
      </c>
      <c r="M544" s="24">
        <f t="shared" ref="M544:M545" si="922">IF($E544="L",$J544,0)</f>
        <v>0</v>
      </c>
      <c r="N544" s="24">
        <f t="shared" ref="N544:N545" si="923">IF($E544="M",$J544,0)</f>
        <v>0</v>
      </c>
      <c r="O544" s="24">
        <f t="shared" ref="O544:O545" si="924">IF($E544="P",$J544,0)</f>
        <v>270</v>
      </c>
      <c r="P544" s="24">
        <f t="shared" ref="P544:P545" si="925">IF($E544="S",$J544,0)</f>
        <v>0</v>
      </c>
      <c r="Q544" s="24">
        <f t="shared" ref="Q544:Q545" si="926">SUM(M544:P544)</f>
        <v>270</v>
      </c>
      <c r="R544" s="87">
        <v>81</v>
      </c>
      <c r="T544" s="235" t="str">
        <f t="shared" si="876"/>
        <v xml:space="preserve"> </v>
      </c>
      <c r="U544" s="232"/>
    </row>
    <row r="545" spans="1:21" s="18" customFormat="1" x14ac:dyDescent="0.25">
      <c r="A545" s="157"/>
      <c r="B545" s="6">
        <v>13</v>
      </c>
      <c r="C545" s="9" t="s">
        <v>8</v>
      </c>
      <c r="D545" s="6" t="s">
        <v>26</v>
      </c>
      <c r="E545" s="17" t="str">
        <f>VLOOKUP(C545,Resources!B:G,3,FALSE)</f>
        <v>L</v>
      </c>
      <c r="F545" s="12">
        <v>1</v>
      </c>
      <c r="G545" s="12">
        <f>G544*2</f>
        <v>1.22</v>
      </c>
      <c r="H545" s="12">
        <f>H544</f>
        <v>1.22</v>
      </c>
      <c r="I545" s="12">
        <f>VLOOKUP(C545,Resources!B:G,6,FALSE)</f>
        <v>51.9</v>
      </c>
      <c r="J545" s="21">
        <f t="shared" si="919"/>
        <v>51.9</v>
      </c>
      <c r="K545" s="21">
        <f t="shared" si="920"/>
        <v>1</v>
      </c>
      <c r="L545" s="24">
        <f t="shared" si="921"/>
        <v>1</v>
      </c>
      <c r="M545" s="24">
        <f t="shared" si="922"/>
        <v>51.9</v>
      </c>
      <c r="N545" s="24">
        <f t="shared" si="923"/>
        <v>0</v>
      </c>
      <c r="O545" s="24">
        <f t="shared" si="924"/>
        <v>0</v>
      </c>
      <c r="P545" s="24">
        <f t="shared" si="925"/>
        <v>0</v>
      </c>
      <c r="Q545" s="24">
        <f t="shared" si="926"/>
        <v>51.9</v>
      </c>
      <c r="R545" s="87">
        <v>81</v>
      </c>
      <c r="T545" s="235" t="str">
        <f t="shared" si="876"/>
        <v xml:space="preserve"> </v>
      </c>
      <c r="U545" s="232"/>
    </row>
    <row r="546" spans="1:21" s="19" customFormat="1" x14ac:dyDescent="0.25">
      <c r="A546" s="159"/>
      <c r="B546" s="28">
        <v>14</v>
      </c>
      <c r="C546" s="29" t="s">
        <v>171</v>
      </c>
      <c r="D546" s="28"/>
      <c r="E546" s="30"/>
      <c r="F546" s="31"/>
      <c r="G546" s="31"/>
      <c r="H546" s="12"/>
      <c r="I546" s="31"/>
      <c r="J546" s="32"/>
      <c r="K546" s="32"/>
      <c r="L546" s="33"/>
      <c r="M546" s="33"/>
      <c r="N546" s="33"/>
      <c r="O546" s="33"/>
      <c r="P546" s="33"/>
      <c r="Q546" s="33"/>
      <c r="R546" s="89"/>
      <c r="T546" s="235" t="str">
        <f t="shared" si="876"/>
        <v xml:space="preserve"> </v>
      </c>
      <c r="U546" s="236"/>
    </row>
    <row r="547" spans="1:21" s="18" customFormat="1" x14ac:dyDescent="0.25">
      <c r="A547" s="157">
        <v>66.400000000000006</v>
      </c>
      <c r="B547" s="6">
        <v>15</v>
      </c>
      <c r="C547" s="9" t="s">
        <v>8</v>
      </c>
      <c r="D547" s="6" t="s">
        <v>26</v>
      </c>
      <c r="E547" s="17" t="str">
        <f>VLOOKUP(C547,Resources!B:G,3,FALSE)</f>
        <v>L</v>
      </c>
      <c r="F547" s="12">
        <v>1</v>
      </c>
      <c r="G547" s="26">
        <f>VLOOKUP($A547,'Model Inputs'!$A:$C,3,FALSE)</f>
        <v>0.20300000000000001</v>
      </c>
      <c r="H547" s="12">
        <f>H532</f>
        <v>1.22</v>
      </c>
      <c r="I547" s="12">
        <f>VLOOKUP(C547,Resources!B:G,6,FALSE)</f>
        <v>51.9</v>
      </c>
      <c r="J547" s="21">
        <f t="shared" ref="J547:J549" si="927">(H547/G547)*I547*F547</f>
        <v>311.91133004926104</v>
      </c>
      <c r="K547" s="21">
        <f t="shared" ref="K547:K549" si="928">IF(E547="M"," ",L547*F547)</f>
        <v>6.0098522167487678</v>
      </c>
      <c r="L547" s="24">
        <f t="shared" ref="L547:L549" si="929">IF(E547="M"," ",H547/G547)</f>
        <v>6.0098522167487678</v>
      </c>
      <c r="M547" s="24">
        <f t="shared" ref="M547:M549" si="930">IF($E547="L",$J547,0)</f>
        <v>311.91133004926104</v>
      </c>
      <c r="N547" s="24">
        <f t="shared" ref="N547:N549" si="931">IF($E547="M",$J547,0)</f>
        <v>0</v>
      </c>
      <c r="O547" s="24">
        <f t="shared" ref="O547:O549" si="932">IF($E547="P",$J547,0)</f>
        <v>0</v>
      </c>
      <c r="P547" s="24">
        <f t="shared" ref="P547:P549" si="933">IF($E547="S",$J547,0)</f>
        <v>0</v>
      </c>
      <c r="Q547" s="24">
        <f t="shared" ref="Q547:Q549" si="934">SUM(M547:P547)</f>
        <v>311.91133004926104</v>
      </c>
      <c r="R547" s="87">
        <v>81</v>
      </c>
      <c r="T547" s="235" t="str">
        <f t="shared" si="876"/>
        <v xml:space="preserve"> </v>
      </c>
      <c r="U547" s="232"/>
    </row>
    <row r="548" spans="1:21" s="18" customFormat="1" x14ac:dyDescent="0.25">
      <c r="A548" s="157"/>
      <c r="B548" s="6">
        <v>16</v>
      </c>
      <c r="C548" s="9" t="s">
        <v>82</v>
      </c>
      <c r="D548" s="6" t="s">
        <v>26</v>
      </c>
      <c r="E548" s="17" t="str">
        <f>VLOOKUP(C548,Resources!B:G,3,FALSE)</f>
        <v>P</v>
      </c>
      <c r="F548" s="12">
        <v>1</v>
      </c>
      <c r="G548" s="12">
        <f>G547*2</f>
        <v>0.40600000000000003</v>
      </c>
      <c r="H548" s="12">
        <f>H532</f>
        <v>1.22</v>
      </c>
      <c r="I548" s="12">
        <f>VLOOKUP(C548,Resources!B:G,6,FALSE)</f>
        <v>95</v>
      </c>
      <c r="J548" s="21">
        <f t="shared" si="927"/>
        <v>285.46798029556646</v>
      </c>
      <c r="K548" s="21">
        <f t="shared" si="928"/>
        <v>3.0049261083743839</v>
      </c>
      <c r="L548" s="24">
        <f t="shared" si="929"/>
        <v>3.0049261083743839</v>
      </c>
      <c r="M548" s="24">
        <f t="shared" si="930"/>
        <v>0</v>
      </c>
      <c r="N548" s="24">
        <f t="shared" si="931"/>
        <v>0</v>
      </c>
      <c r="O548" s="24">
        <f t="shared" si="932"/>
        <v>285.46798029556646</v>
      </c>
      <c r="P548" s="24">
        <f t="shared" si="933"/>
        <v>0</v>
      </c>
      <c r="Q548" s="24">
        <f t="shared" si="934"/>
        <v>285.46798029556646</v>
      </c>
      <c r="R548" s="87">
        <v>81</v>
      </c>
      <c r="T548" s="235" t="str">
        <f t="shared" si="876"/>
        <v xml:space="preserve"> </v>
      </c>
      <c r="U548" s="232"/>
    </row>
    <row r="549" spans="1:21" s="18" customFormat="1" x14ac:dyDescent="0.25">
      <c r="A549" s="157"/>
      <c r="B549" s="6">
        <v>17</v>
      </c>
      <c r="C549" s="9" t="s">
        <v>28</v>
      </c>
      <c r="D549" s="6" t="s">
        <v>26</v>
      </c>
      <c r="E549" s="17" t="str">
        <f>VLOOKUP(C549,Resources!B:G,3,FALSE)</f>
        <v>P</v>
      </c>
      <c r="F549" s="12">
        <v>1</v>
      </c>
      <c r="G549" s="12">
        <f>G547*6</f>
        <v>1.218</v>
      </c>
      <c r="H549" s="12">
        <f>H532</f>
        <v>1.22</v>
      </c>
      <c r="I549" s="12">
        <f>VLOOKUP(C549,Resources!B:G,6,FALSE)</f>
        <v>95</v>
      </c>
      <c r="J549" s="21">
        <f t="shared" si="927"/>
        <v>95.155993431855507</v>
      </c>
      <c r="K549" s="21">
        <f t="shared" si="928"/>
        <v>1.0016420361247949</v>
      </c>
      <c r="L549" s="24">
        <f t="shared" si="929"/>
        <v>1.0016420361247949</v>
      </c>
      <c r="M549" s="24">
        <f t="shared" si="930"/>
        <v>0</v>
      </c>
      <c r="N549" s="24">
        <f t="shared" si="931"/>
        <v>0</v>
      </c>
      <c r="O549" s="24">
        <f t="shared" si="932"/>
        <v>95.155993431855507</v>
      </c>
      <c r="P549" s="24">
        <f t="shared" si="933"/>
        <v>0</v>
      </c>
      <c r="Q549" s="24">
        <f t="shared" si="934"/>
        <v>95.155993431855507</v>
      </c>
      <c r="R549" s="87">
        <v>81</v>
      </c>
      <c r="T549" s="235" t="str">
        <f t="shared" si="876"/>
        <v xml:space="preserve"> </v>
      </c>
      <c r="U549" s="232"/>
    </row>
    <row r="550" spans="1:21" x14ac:dyDescent="0.25">
      <c r="F550" s="11"/>
      <c r="G550" s="11"/>
      <c r="H550" s="11"/>
      <c r="I550" s="11"/>
      <c r="J550" s="11"/>
      <c r="K550" s="11"/>
      <c r="R550" s="88"/>
      <c r="T550" s="235" t="str">
        <f t="shared" si="876"/>
        <v xml:space="preserve"> </v>
      </c>
    </row>
    <row r="551" spans="1:21" ht="30" x14ac:dyDescent="0.25">
      <c r="A551" s="156">
        <v>265</v>
      </c>
      <c r="B551" s="3" t="s">
        <v>240</v>
      </c>
      <c r="C551" s="3" t="s">
        <v>241</v>
      </c>
      <c r="D551" s="4" t="s">
        <v>145</v>
      </c>
      <c r="E551" s="15"/>
      <c r="F551" s="10"/>
      <c r="G551" s="10"/>
      <c r="H551" s="26">
        <f>VLOOKUP($A551,'Model Inputs'!$A:$C,3,FALSE)</f>
        <v>1</v>
      </c>
      <c r="I551" s="10"/>
      <c r="J551" s="10">
        <f>SUBTOTAL(9,J552:J556)</f>
        <v>2147.9749999999999</v>
      </c>
      <c r="K551" s="10"/>
      <c r="L551" s="10">
        <f>ROUNDUP(MAX(L552:L556)/Workhrs,0)</f>
        <v>1</v>
      </c>
      <c r="M551" s="10">
        <f>SUBTOTAL(9,M552:M556)</f>
        <v>1245.5999999999999</v>
      </c>
      <c r="N551" s="10">
        <f t="shared" ref="N551:Q551" si="935">SUBTOTAL(9,N552:N556)</f>
        <v>362.375</v>
      </c>
      <c r="O551" s="10">
        <f t="shared" si="935"/>
        <v>540</v>
      </c>
      <c r="P551" s="10">
        <f t="shared" si="935"/>
        <v>0</v>
      </c>
      <c r="Q551" s="10">
        <f t="shared" si="935"/>
        <v>2147.9749999999999</v>
      </c>
      <c r="R551" s="86"/>
      <c r="T551" s="235" t="str">
        <f t="shared" si="876"/>
        <v xml:space="preserve"> </v>
      </c>
    </row>
    <row r="552" spans="1:21" x14ac:dyDescent="0.25">
      <c r="A552" s="157"/>
      <c r="B552" s="6">
        <v>1</v>
      </c>
      <c r="C552" s="9" t="s">
        <v>194</v>
      </c>
      <c r="D552" s="6" t="s">
        <v>180</v>
      </c>
      <c r="E552" s="17" t="str">
        <f>VLOOKUP(C552,Resources!B:G,3,FALSE)</f>
        <v>M</v>
      </c>
      <c r="F552" s="12">
        <v>1</v>
      </c>
      <c r="G552" s="12">
        <v>1</v>
      </c>
      <c r="H552" s="12">
        <f>H551*0.715</f>
        <v>0.71499999999999997</v>
      </c>
      <c r="I552" s="12">
        <f>VLOOKUP(C552,Resources!B:G,6,FALSE)</f>
        <v>325</v>
      </c>
      <c r="J552" s="21">
        <f t="shared" ref="J552:J556" si="936">(H552/G552)*I552*F552</f>
        <v>232.375</v>
      </c>
      <c r="K552" s="21" t="str">
        <f t="shared" ref="K552:K556" si="937">IF(E552="M"," ",L552*F552)</f>
        <v xml:space="preserve"> </v>
      </c>
      <c r="L552" s="24" t="str">
        <f t="shared" ref="L552:L556" si="938">IF(E552="M"," ",H552/G552)</f>
        <v xml:space="preserve"> </v>
      </c>
      <c r="M552" s="24">
        <f t="shared" ref="M552:M556" si="939">IF($E552="L",$J552,0)</f>
        <v>0</v>
      </c>
      <c r="N552" s="24">
        <f t="shared" ref="N552:N556" si="940">IF($E552="M",$J552,0)</f>
        <v>232.375</v>
      </c>
      <c r="O552" s="24">
        <f t="shared" ref="O552:O556" si="941">IF($E552="P",$J552,0)</f>
        <v>0</v>
      </c>
      <c r="P552" s="24">
        <f t="shared" ref="P552:P556" si="942">IF($E552="S",$J552,0)</f>
        <v>0</v>
      </c>
      <c r="Q552" s="24">
        <f t="shared" ref="Q552:Q556" si="943">SUM(M552:P552)</f>
        <v>232.375</v>
      </c>
      <c r="R552" s="87" t="s">
        <v>543</v>
      </c>
      <c r="T552" s="235" t="str">
        <f t="shared" si="876"/>
        <v xml:space="preserve"> </v>
      </c>
    </row>
    <row r="553" spans="1:21" x14ac:dyDescent="0.25">
      <c r="A553" s="157"/>
      <c r="B553" s="6">
        <v>2</v>
      </c>
      <c r="C553" s="9" t="s">
        <v>181</v>
      </c>
      <c r="D553" s="6" t="s">
        <v>109</v>
      </c>
      <c r="E553" s="17" t="str">
        <f>VLOOKUP(C553,Resources!B:G,3,FALSE)</f>
        <v>M</v>
      </c>
      <c r="F553" s="12">
        <v>1</v>
      </c>
      <c r="G553" s="12">
        <v>1</v>
      </c>
      <c r="H553" s="12">
        <f>H551*3</f>
        <v>3</v>
      </c>
      <c r="I553" s="12">
        <f>VLOOKUP(C553,Resources!B:G,6,FALSE)</f>
        <v>10</v>
      </c>
      <c r="J553" s="21">
        <f t="shared" si="936"/>
        <v>30</v>
      </c>
      <c r="K553" s="21" t="str">
        <f t="shared" si="937"/>
        <v xml:space="preserve"> </v>
      </c>
      <c r="L553" s="24" t="str">
        <f t="shared" si="938"/>
        <v xml:space="preserve"> </v>
      </c>
      <c r="M553" s="24">
        <f t="shared" si="939"/>
        <v>0</v>
      </c>
      <c r="N553" s="24">
        <f t="shared" si="940"/>
        <v>30</v>
      </c>
      <c r="O553" s="24">
        <f t="shared" si="941"/>
        <v>0</v>
      </c>
      <c r="P553" s="24">
        <f t="shared" si="942"/>
        <v>0</v>
      </c>
      <c r="Q553" s="24">
        <f t="shared" si="943"/>
        <v>30</v>
      </c>
      <c r="R553" s="87">
        <v>72</v>
      </c>
      <c r="T553" s="235" t="str">
        <f t="shared" si="876"/>
        <v xml:space="preserve"> </v>
      </c>
    </row>
    <row r="554" spans="1:21" x14ac:dyDescent="0.25">
      <c r="A554" s="157"/>
      <c r="B554" s="6">
        <v>3</v>
      </c>
      <c r="C554" s="9" t="s">
        <v>182</v>
      </c>
      <c r="D554" s="6" t="s">
        <v>32</v>
      </c>
      <c r="E554" s="17" t="str">
        <f>VLOOKUP(C554,Resources!B:G,3,FALSE)</f>
        <v>M</v>
      </c>
      <c r="F554" s="12">
        <v>1</v>
      </c>
      <c r="G554" s="12">
        <v>1</v>
      </c>
      <c r="H554" s="12">
        <f>H551*20</f>
        <v>20</v>
      </c>
      <c r="I554" s="12">
        <f>VLOOKUP(C554,Resources!B:G,6,FALSE)</f>
        <v>5</v>
      </c>
      <c r="J554" s="21">
        <f t="shared" si="936"/>
        <v>100</v>
      </c>
      <c r="K554" s="21" t="str">
        <f t="shared" si="937"/>
        <v xml:space="preserve"> </v>
      </c>
      <c r="L554" s="24" t="str">
        <f t="shared" si="938"/>
        <v xml:space="preserve"> </v>
      </c>
      <c r="M554" s="24">
        <f t="shared" si="939"/>
        <v>0</v>
      </c>
      <c r="N554" s="24">
        <f t="shared" si="940"/>
        <v>100</v>
      </c>
      <c r="O554" s="24">
        <f t="shared" si="941"/>
        <v>0</v>
      </c>
      <c r="P554" s="24">
        <f t="shared" si="942"/>
        <v>0</v>
      </c>
      <c r="Q554" s="24">
        <f t="shared" si="943"/>
        <v>100</v>
      </c>
      <c r="R554" s="87">
        <v>72</v>
      </c>
      <c r="T554" s="235" t="str">
        <f t="shared" si="876"/>
        <v xml:space="preserve"> </v>
      </c>
    </row>
    <row r="555" spans="1:21" x14ac:dyDescent="0.25">
      <c r="A555" s="157">
        <v>265.10000000000002</v>
      </c>
      <c r="B555" s="6">
        <v>4</v>
      </c>
      <c r="C555" s="9" t="s">
        <v>8</v>
      </c>
      <c r="D555" s="6" t="s">
        <v>26</v>
      </c>
      <c r="E555" s="17" t="str">
        <f>VLOOKUP(C555,Resources!B:G,3,FALSE)</f>
        <v>L</v>
      </c>
      <c r="F555" s="12">
        <v>3</v>
      </c>
      <c r="G555" s="26">
        <f>VLOOKUP($A555,'Model Inputs'!$A:$C,3,FALSE)</f>
        <v>0.125</v>
      </c>
      <c r="H555" s="12">
        <v>1</v>
      </c>
      <c r="I555" s="12">
        <f>VLOOKUP(C555,Resources!B:G,6,FALSE)</f>
        <v>51.9</v>
      </c>
      <c r="J555" s="21">
        <f t="shared" si="936"/>
        <v>1245.5999999999999</v>
      </c>
      <c r="K555" s="21">
        <f t="shared" si="937"/>
        <v>24</v>
      </c>
      <c r="L555" s="24">
        <f t="shared" si="938"/>
        <v>8</v>
      </c>
      <c r="M555" s="24">
        <f t="shared" si="939"/>
        <v>1245.5999999999999</v>
      </c>
      <c r="N555" s="24">
        <f t="shared" si="940"/>
        <v>0</v>
      </c>
      <c r="O555" s="24">
        <f t="shared" si="941"/>
        <v>0</v>
      </c>
      <c r="P555" s="24">
        <f t="shared" si="942"/>
        <v>0</v>
      </c>
      <c r="Q555" s="24">
        <f t="shared" si="943"/>
        <v>1245.5999999999999</v>
      </c>
      <c r="R555" s="87">
        <v>72</v>
      </c>
      <c r="T555" s="235" t="str">
        <f t="shared" si="876"/>
        <v xml:space="preserve"> </v>
      </c>
    </row>
    <row r="556" spans="1:21" x14ac:dyDescent="0.25">
      <c r="A556" s="157"/>
      <c r="B556" s="6">
        <v>5</v>
      </c>
      <c r="C556" s="9" t="s">
        <v>70</v>
      </c>
      <c r="D556" s="6" t="s">
        <v>26</v>
      </c>
      <c r="E556" s="17" t="str">
        <f>VLOOKUP(C556,Resources!B:G,3,FALSE)</f>
        <v>P</v>
      </c>
      <c r="F556" s="12">
        <v>1</v>
      </c>
      <c r="G556" s="12">
        <f>G555*2</f>
        <v>0.25</v>
      </c>
      <c r="H556" s="12">
        <v>1</v>
      </c>
      <c r="I556" s="12">
        <f>VLOOKUP(C556,Resources!B:G,6,FALSE)</f>
        <v>135</v>
      </c>
      <c r="J556" s="21">
        <f t="shared" si="936"/>
        <v>540</v>
      </c>
      <c r="K556" s="21">
        <f t="shared" si="937"/>
        <v>4</v>
      </c>
      <c r="L556" s="24">
        <f t="shared" si="938"/>
        <v>4</v>
      </c>
      <c r="M556" s="24">
        <f t="shared" si="939"/>
        <v>0</v>
      </c>
      <c r="N556" s="24">
        <f t="shared" si="940"/>
        <v>0</v>
      </c>
      <c r="O556" s="24">
        <f t="shared" si="941"/>
        <v>540</v>
      </c>
      <c r="P556" s="24">
        <f t="shared" si="942"/>
        <v>0</v>
      </c>
      <c r="Q556" s="24">
        <f t="shared" si="943"/>
        <v>540</v>
      </c>
      <c r="R556" s="87">
        <v>72</v>
      </c>
      <c r="T556" s="235" t="str">
        <f t="shared" si="876"/>
        <v xml:space="preserve"> </v>
      </c>
    </row>
    <row r="557" spans="1:21" x14ac:dyDescent="0.25">
      <c r="F557" s="11"/>
      <c r="G557" s="11"/>
      <c r="H557" s="11"/>
      <c r="I557" s="11"/>
      <c r="J557" s="11"/>
      <c r="K557" s="11"/>
      <c r="R557" s="88"/>
      <c r="T557" s="235" t="str">
        <f t="shared" si="876"/>
        <v xml:space="preserve"> </v>
      </c>
    </row>
    <row r="558" spans="1:21" ht="30" x14ac:dyDescent="0.25">
      <c r="A558" s="156"/>
      <c r="B558" s="3" t="s">
        <v>242</v>
      </c>
      <c r="C558" s="3" t="s">
        <v>243</v>
      </c>
      <c r="D558" s="4"/>
      <c r="E558" s="15"/>
      <c r="F558" s="10"/>
      <c r="G558" s="10"/>
      <c r="H558" s="10"/>
      <c r="I558" s="10"/>
      <c r="J558" s="10"/>
      <c r="K558" s="10"/>
      <c r="L558" s="23"/>
      <c r="M558" s="23"/>
      <c r="N558" s="23"/>
      <c r="O558" s="23"/>
      <c r="P558" s="23"/>
      <c r="Q558" s="23"/>
      <c r="R558" s="86"/>
      <c r="T558" s="235" t="str">
        <f t="shared" si="876"/>
        <v xml:space="preserve"> </v>
      </c>
    </row>
    <row r="559" spans="1:21" ht="75" x14ac:dyDescent="0.25">
      <c r="A559" s="156">
        <v>266</v>
      </c>
      <c r="B559" s="3" t="s">
        <v>244</v>
      </c>
      <c r="C559" s="3" t="s">
        <v>583</v>
      </c>
      <c r="D559" s="4" t="s">
        <v>32</v>
      </c>
      <c r="E559" s="15"/>
      <c r="F559" s="10"/>
      <c r="G559" s="10"/>
      <c r="H559" s="26">
        <f>VLOOKUP($A559,'Model Inputs'!$A:$C,3,FALSE)</f>
        <v>14.4</v>
      </c>
      <c r="I559" s="10"/>
      <c r="J559" s="10">
        <f>SUBTOTAL(9,J561:J563,J565:J568,J570:J571,J573:J574,J576:J577)</f>
        <v>9926.3852701480228</v>
      </c>
      <c r="K559" s="10"/>
      <c r="L559" s="10">
        <f>ROUNDUP(SUM(L565,L570,L573:L574,L576)/Workhrs,0)</f>
        <v>3</v>
      </c>
      <c r="M559" s="10">
        <f>SUBTOTAL(9,M561:M563,M565:M568,M570:M571,M573:M574,M576:M577)</f>
        <v>2491.1999999999998</v>
      </c>
      <c r="N559" s="10">
        <f t="shared" ref="N559:Q559" si="944">SUBTOTAL(9,N561:N563,N565:N568,N570:N571,N573:N574,N576:N577)</f>
        <v>4095.1852701480229</v>
      </c>
      <c r="O559" s="10">
        <f t="shared" si="944"/>
        <v>3340</v>
      </c>
      <c r="P559" s="10">
        <f t="shared" si="944"/>
        <v>0</v>
      </c>
      <c r="Q559" s="10">
        <f t="shared" si="944"/>
        <v>9926.3852701480228</v>
      </c>
      <c r="R559" s="86"/>
      <c r="T559" s="235" t="str">
        <f t="shared" si="876"/>
        <v xml:space="preserve"> </v>
      </c>
    </row>
    <row r="560" spans="1:21" s="19" customFormat="1" x14ac:dyDescent="0.25">
      <c r="A560" s="159"/>
      <c r="B560" s="28">
        <v>1</v>
      </c>
      <c r="C560" s="29" t="s">
        <v>245</v>
      </c>
      <c r="D560" s="28"/>
      <c r="E560" s="30"/>
      <c r="F560" s="31"/>
      <c r="G560" s="31"/>
      <c r="H560" s="31"/>
      <c r="I560" s="31"/>
      <c r="J560" s="32"/>
      <c r="K560" s="32"/>
      <c r="L560" s="33"/>
      <c r="M560" s="33"/>
      <c r="N560" s="33"/>
      <c r="O560" s="33"/>
      <c r="P560" s="33"/>
      <c r="Q560" s="33"/>
      <c r="R560" s="89"/>
      <c r="T560" s="235" t="str">
        <f t="shared" si="876"/>
        <v xml:space="preserve"> </v>
      </c>
      <c r="U560" s="236"/>
    </row>
    <row r="561" spans="1:21" s="18" customFormat="1" x14ac:dyDescent="0.25">
      <c r="A561" s="157"/>
      <c r="B561" s="6">
        <v>2</v>
      </c>
      <c r="C561" s="9" t="s">
        <v>246</v>
      </c>
      <c r="D561" s="6" t="s">
        <v>31</v>
      </c>
      <c r="E561" s="17" t="str">
        <f>VLOOKUP(C561,Resources!B:G,3,FALSE)</f>
        <v>M</v>
      </c>
      <c r="F561" s="12">
        <v>1</v>
      </c>
      <c r="G561" s="12">
        <v>1</v>
      </c>
      <c r="H561" s="12">
        <f>H559/1.2</f>
        <v>12</v>
      </c>
      <c r="I561" s="12">
        <f>VLOOKUP(C561,Resources!B:G,6,FALSE)</f>
        <v>247.5</v>
      </c>
      <c r="J561" s="21">
        <f t="shared" ref="J561:J563" si="945">(H561/G561)*I561*F561</f>
        <v>2970</v>
      </c>
      <c r="K561" s="21" t="str">
        <f t="shared" ref="K561:K563" si="946">IF(E561="M"," ",L561*F561)</f>
        <v xml:space="preserve"> </v>
      </c>
      <c r="L561" s="24" t="str">
        <f t="shared" ref="L561:L563" si="947">IF(E561="M"," ",H561/G561)</f>
        <v xml:space="preserve"> </v>
      </c>
      <c r="M561" s="24">
        <f t="shared" ref="M561:M563" si="948">IF($E561="L",$J561,0)</f>
        <v>0</v>
      </c>
      <c r="N561" s="24">
        <f t="shared" ref="N561:N563" si="949">IF($E561="M",$J561,0)</f>
        <v>2970</v>
      </c>
      <c r="O561" s="24">
        <f t="shared" ref="O561:O563" si="950">IF($E561="P",$J561,0)</f>
        <v>0</v>
      </c>
      <c r="P561" s="24">
        <f t="shared" ref="P561:P563" si="951">IF($E561="S",$J561,0)</f>
        <v>0</v>
      </c>
      <c r="Q561" s="24">
        <f t="shared" ref="Q561:Q563" si="952">SUM(M561:P561)</f>
        <v>2970</v>
      </c>
      <c r="R561" s="87" t="s">
        <v>545</v>
      </c>
      <c r="T561" s="235" t="str">
        <f t="shared" si="876"/>
        <v xml:space="preserve"> </v>
      </c>
      <c r="U561" s="232"/>
    </row>
    <row r="562" spans="1:21" s="18" customFormat="1" x14ac:dyDescent="0.25">
      <c r="A562" s="157"/>
      <c r="B562" s="6">
        <v>3</v>
      </c>
      <c r="C562" s="9" t="s">
        <v>189</v>
      </c>
      <c r="D562" s="6" t="s">
        <v>100</v>
      </c>
      <c r="E562" s="17" t="str">
        <f>VLOOKUP(C562,Resources!B:G,3,FALSE)</f>
        <v>M</v>
      </c>
      <c r="F562" s="12">
        <v>1</v>
      </c>
      <c r="G562" s="12">
        <v>1</v>
      </c>
      <c r="H562" s="12">
        <f>H559/3.2469</f>
        <v>4.4349995380208815</v>
      </c>
      <c r="I562" s="12">
        <f>VLOOKUP(C562,Resources!B:G,6,FALSE)</f>
        <v>28</v>
      </c>
      <c r="J562" s="21">
        <f t="shared" si="945"/>
        <v>124.17998706458468</v>
      </c>
      <c r="K562" s="21" t="str">
        <f t="shared" si="946"/>
        <v xml:space="preserve"> </v>
      </c>
      <c r="L562" s="24" t="str">
        <f t="shared" si="947"/>
        <v xml:space="preserve"> </v>
      </c>
      <c r="M562" s="24">
        <f t="shared" si="948"/>
        <v>0</v>
      </c>
      <c r="N562" s="24">
        <f t="shared" si="949"/>
        <v>124.17998706458468</v>
      </c>
      <c r="O562" s="24">
        <f t="shared" si="950"/>
        <v>0</v>
      </c>
      <c r="P562" s="24">
        <f t="shared" si="951"/>
        <v>0</v>
      </c>
      <c r="Q562" s="24">
        <f t="shared" si="952"/>
        <v>124.17998706458468</v>
      </c>
      <c r="R562" s="87" t="s">
        <v>542</v>
      </c>
      <c r="T562" s="235" t="str">
        <f t="shared" si="876"/>
        <v>y</v>
      </c>
      <c r="U562" s="232"/>
    </row>
    <row r="563" spans="1:21" s="18" customFormat="1" x14ac:dyDescent="0.25">
      <c r="A563" s="157"/>
      <c r="B563" s="6">
        <v>4</v>
      </c>
      <c r="C563" s="9" t="s">
        <v>194</v>
      </c>
      <c r="D563" s="6" t="s">
        <v>180</v>
      </c>
      <c r="E563" s="17" t="str">
        <f>VLOOKUP(C563,Resources!B:G,3,FALSE)</f>
        <v>M</v>
      </c>
      <c r="F563" s="12">
        <v>1</v>
      </c>
      <c r="G563" s="12">
        <v>1</v>
      </c>
      <c r="H563" s="12">
        <f>H559/4.6753</f>
        <v>3.0800162556413491</v>
      </c>
      <c r="I563" s="12">
        <f>VLOOKUP(C563,Resources!B:G,6,FALSE)</f>
        <v>325</v>
      </c>
      <c r="J563" s="21">
        <f t="shared" si="945"/>
        <v>1001.0052830834385</v>
      </c>
      <c r="K563" s="21" t="str">
        <f t="shared" si="946"/>
        <v xml:space="preserve"> </v>
      </c>
      <c r="L563" s="24" t="str">
        <f t="shared" si="947"/>
        <v xml:space="preserve"> </v>
      </c>
      <c r="M563" s="24">
        <f t="shared" si="948"/>
        <v>0</v>
      </c>
      <c r="N563" s="24">
        <f t="shared" si="949"/>
        <v>1001.0052830834385</v>
      </c>
      <c r="O563" s="24">
        <f t="shared" si="950"/>
        <v>0</v>
      </c>
      <c r="P563" s="24">
        <f t="shared" si="951"/>
        <v>0</v>
      </c>
      <c r="Q563" s="24">
        <f t="shared" si="952"/>
        <v>1001.0052830834385</v>
      </c>
      <c r="R563" s="87" t="s">
        <v>543</v>
      </c>
      <c r="T563" s="235" t="str">
        <f t="shared" si="876"/>
        <v xml:space="preserve"> </v>
      </c>
      <c r="U563" s="232"/>
    </row>
    <row r="564" spans="1:21" s="19" customFormat="1" x14ac:dyDescent="0.25">
      <c r="A564" s="159"/>
      <c r="B564" s="28">
        <v>5</v>
      </c>
      <c r="C564" s="29" t="s">
        <v>247</v>
      </c>
      <c r="D564" s="28"/>
      <c r="E564" s="30"/>
      <c r="F564" s="31"/>
      <c r="G564" s="31"/>
      <c r="H564" s="31"/>
      <c r="I564" s="31"/>
      <c r="J564" s="32"/>
      <c r="K564" s="32"/>
      <c r="L564" s="33"/>
      <c r="M564" s="33"/>
      <c r="N564" s="33"/>
      <c r="O564" s="33"/>
      <c r="P564" s="33"/>
      <c r="Q564" s="33"/>
      <c r="R564" s="89"/>
      <c r="T564" s="235" t="str">
        <f t="shared" si="876"/>
        <v xml:space="preserve"> </v>
      </c>
      <c r="U564" s="236"/>
    </row>
    <row r="565" spans="1:21" s="18" customFormat="1" x14ac:dyDescent="0.25">
      <c r="A565" s="157">
        <v>266.10000000000002</v>
      </c>
      <c r="B565" s="6">
        <v>6</v>
      </c>
      <c r="C565" s="9" t="s">
        <v>70</v>
      </c>
      <c r="D565" s="6" t="s">
        <v>26</v>
      </c>
      <c r="E565" s="17" t="str">
        <f>VLOOKUP(C565,Resources!B:G,3,FALSE)</f>
        <v>P</v>
      </c>
      <c r="F565" s="12">
        <v>1</v>
      </c>
      <c r="G565" s="26">
        <f>VLOOKUP($A565,'Model Inputs'!$A:$C,3,FALSE)</f>
        <v>3.6</v>
      </c>
      <c r="H565" s="12">
        <f>H559</f>
        <v>14.4</v>
      </c>
      <c r="I565" s="12">
        <f>VLOOKUP(C565,Resources!B:G,6,FALSE)</f>
        <v>135</v>
      </c>
      <c r="J565" s="21">
        <f t="shared" ref="J565:J568" si="953">(H565/G565)*I565*F565</f>
        <v>540</v>
      </c>
      <c r="K565" s="21">
        <f t="shared" ref="K565:K568" si="954">IF(E565="M"," ",L565*F565)</f>
        <v>4</v>
      </c>
      <c r="L565" s="24">
        <f t="shared" ref="L565:L568" si="955">IF(E565="M"," ",H565/G565)</f>
        <v>4</v>
      </c>
      <c r="M565" s="24">
        <f t="shared" ref="M565:M568" si="956">IF($E565="L",$J565,0)</f>
        <v>0</v>
      </c>
      <c r="N565" s="24">
        <f t="shared" ref="N565:N568" si="957">IF($E565="M",$J565,0)</f>
        <v>0</v>
      </c>
      <c r="O565" s="24">
        <f t="shared" ref="O565:O568" si="958">IF($E565="P",$J565,0)</f>
        <v>540</v>
      </c>
      <c r="P565" s="24">
        <f t="shared" ref="P565:P568" si="959">IF($E565="S",$J565,0)</f>
        <v>0</v>
      </c>
      <c r="Q565" s="24">
        <f t="shared" ref="Q565:Q568" si="960">SUM(M565:P565)</f>
        <v>540</v>
      </c>
      <c r="R565" s="87">
        <v>181</v>
      </c>
      <c r="T565" s="235" t="str">
        <f t="shared" si="876"/>
        <v xml:space="preserve"> </v>
      </c>
      <c r="U565" s="232"/>
    </row>
    <row r="566" spans="1:21" s="18" customFormat="1" x14ac:dyDescent="0.25">
      <c r="A566" s="157"/>
      <c r="B566" s="6">
        <v>7</v>
      </c>
      <c r="C566" s="9" t="s">
        <v>27</v>
      </c>
      <c r="D566" s="6" t="s">
        <v>26</v>
      </c>
      <c r="E566" s="17" t="str">
        <f>VLOOKUP(C566,Resources!B:G,3,FALSE)</f>
        <v>P</v>
      </c>
      <c r="F566" s="12">
        <v>1</v>
      </c>
      <c r="G566" s="12">
        <f>G565</f>
        <v>3.6</v>
      </c>
      <c r="H566" s="12">
        <f>H559</f>
        <v>14.4</v>
      </c>
      <c r="I566" s="12">
        <f>VLOOKUP(C566,Resources!B:G,6,FALSE)</f>
        <v>90</v>
      </c>
      <c r="J566" s="21">
        <f t="shared" si="953"/>
        <v>360</v>
      </c>
      <c r="K566" s="21">
        <f t="shared" si="954"/>
        <v>4</v>
      </c>
      <c r="L566" s="24">
        <f t="shared" si="955"/>
        <v>4</v>
      </c>
      <c r="M566" s="24">
        <f t="shared" si="956"/>
        <v>0</v>
      </c>
      <c r="N566" s="24">
        <f t="shared" si="957"/>
        <v>0</v>
      </c>
      <c r="O566" s="24">
        <f t="shared" si="958"/>
        <v>360</v>
      </c>
      <c r="P566" s="24">
        <f t="shared" si="959"/>
        <v>0</v>
      </c>
      <c r="Q566" s="24">
        <f t="shared" si="960"/>
        <v>360</v>
      </c>
      <c r="R566" s="87">
        <v>181</v>
      </c>
      <c r="T566" s="235" t="str">
        <f t="shared" si="876"/>
        <v xml:space="preserve"> </v>
      </c>
      <c r="U566" s="232"/>
    </row>
    <row r="567" spans="1:21" s="18" customFormat="1" x14ac:dyDescent="0.25">
      <c r="A567" s="157"/>
      <c r="B567" s="6">
        <v>8</v>
      </c>
      <c r="C567" s="9" t="s">
        <v>28</v>
      </c>
      <c r="D567" s="6" t="s">
        <v>26</v>
      </c>
      <c r="E567" s="17" t="str">
        <f>VLOOKUP(C567,Resources!B:G,3,FALSE)</f>
        <v>P</v>
      </c>
      <c r="F567" s="12">
        <v>1</v>
      </c>
      <c r="G567" s="12">
        <f>G565</f>
        <v>3.6</v>
      </c>
      <c r="H567" s="12">
        <f>H559</f>
        <v>14.4</v>
      </c>
      <c r="I567" s="12">
        <f>VLOOKUP(C567,Resources!B:G,6,FALSE)</f>
        <v>95</v>
      </c>
      <c r="J567" s="21">
        <f t="shared" si="953"/>
        <v>380</v>
      </c>
      <c r="K567" s="21">
        <f t="shared" si="954"/>
        <v>4</v>
      </c>
      <c r="L567" s="24">
        <f t="shared" si="955"/>
        <v>4</v>
      </c>
      <c r="M567" s="24">
        <f t="shared" si="956"/>
        <v>0</v>
      </c>
      <c r="N567" s="24">
        <f t="shared" si="957"/>
        <v>0</v>
      </c>
      <c r="O567" s="24">
        <f t="shared" si="958"/>
        <v>380</v>
      </c>
      <c r="P567" s="24">
        <f t="shared" si="959"/>
        <v>0</v>
      </c>
      <c r="Q567" s="24">
        <f t="shared" si="960"/>
        <v>380</v>
      </c>
      <c r="R567" s="87">
        <v>181</v>
      </c>
      <c r="T567" s="235" t="str">
        <f t="shared" si="876"/>
        <v xml:space="preserve"> </v>
      </c>
      <c r="U567" s="232"/>
    </row>
    <row r="568" spans="1:21" s="18" customFormat="1" x14ac:dyDescent="0.25">
      <c r="A568" s="157"/>
      <c r="B568" s="6">
        <v>9</v>
      </c>
      <c r="C568" s="9" t="s">
        <v>8</v>
      </c>
      <c r="D568" s="6" t="s">
        <v>26</v>
      </c>
      <c r="E568" s="17" t="str">
        <f>VLOOKUP(C568,Resources!B:G,3,FALSE)</f>
        <v>L</v>
      </c>
      <c r="F568" s="12">
        <v>3</v>
      </c>
      <c r="G568" s="12">
        <f>G565</f>
        <v>3.6</v>
      </c>
      <c r="H568" s="12">
        <f>H559</f>
        <v>14.4</v>
      </c>
      <c r="I568" s="12">
        <f>VLOOKUP(C568,Resources!B:G,6,FALSE)</f>
        <v>51.9</v>
      </c>
      <c r="J568" s="21">
        <f t="shared" si="953"/>
        <v>622.79999999999995</v>
      </c>
      <c r="K568" s="21">
        <f t="shared" si="954"/>
        <v>12</v>
      </c>
      <c r="L568" s="24">
        <f t="shared" si="955"/>
        <v>4</v>
      </c>
      <c r="M568" s="24">
        <f t="shared" si="956"/>
        <v>622.79999999999995</v>
      </c>
      <c r="N568" s="24">
        <f t="shared" si="957"/>
        <v>0</v>
      </c>
      <c r="O568" s="24">
        <f t="shared" si="958"/>
        <v>0</v>
      </c>
      <c r="P568" s="24">
        <f t="shared" si="959"/>
        <v>0</v>
      </c>
      <c r="Q568" s="24">
        <f t="shared" si="960"/>
        <v>622.79999999999995</v>
      </c>
      <c r="R568" s="87">
        <v>181</v>
      </c>
      <c r="T568" s="235" t="str">
        <f t="shared" si="876"/>
        <v xml:space="preserve"> </v>
      </c>
      <c r="U568" s="232"/>
    </row>
    <row r="569" spans="1:21" s="19" customFormat="1" x14ac:dyDescent="0.25">
      <c r="A569" s="159"/>
      <c r="B569" s="28">
        <v>10</v>
      </c>
      <c r="C569" s="29" t="s">
        <v>248</v>
      </c>
      <c r="D569" s="28"/>
      <c r="E569" s="30"/>
      <c r="F569" s="31"/>
      <c r="G569" s="31"/>
      <c r="H569" s="31"/>
      <c r="I569" s="31"/>
      <c r="J569" s="32"/>
      <c r="K569" s="32"/>
      <c r="L569" s="33"/>
      <c r="M569" s="33"/>
      <c r="N569" s="33"/>
      <c r="O569" s="33"/>
      <c r="P569" s="33"/>
      <c r="Q569" s="33"/>
      <c r="R569" s="89"/>
      <c r="T569" s="235" t="str">
        <f t="shared" si="876"/>
        <v xml:space="preserve"> </v>
      </c>
      <c r="U569" s="236"/>
    </row>
    <row r="570" spans="1:21" s="18" customFormat="1" x14ac:dyDescent="0.25">
      <c r="A570" s="157">
        <v>266.2</v>
      </c>
      <c r="B570" s="6">
        <v>11</v>
      </c>
      <c r="C570" s="9" t="s">
        <v>82</v>
      </c>
      <c r="D570" s="6" t="s">
        <v>26</v>
      </c>
      <c r="E570" s="17" t="str">
        <f>VLOOKUP(C570,Resources!B:G,3,FALSE)</f>
        <v>P</v>
      </c>
      <c r="F570" s="12">
        <v>1</v>
      </c>
      <c r="G570" s="26">
        <f>VLOOKUP($A570,'Model Inputs'!$A:$C,3,FALSE)</f>
        <v>1.8</v>
      </c>
      <c r="H570" s="12">
        <f>H559</f>
        <v>14.4</v>
      </c>
      <c r="I570" s="12">
        <f>VLOOKUP(C570,Resources!B:G,6,FALSE)</f>
        <v>95</v>
      </c>
      <c r="J570" s="21">
        <f t="shared" ref="J570:J571" si="961">(H570/G570)*I570*F570</f>
        <v>760</v>
      </c>
      <c r="K570" s="21">
        <f t="shared" ref="K570:K571" si="962">IF(E570="M"," ",L570*F570)</f>
        <v>8</v>
      </c>
      <c r="L570" s="24">
        <f t="shared" ref="L570:L571" si="963">IF(E570="M"," ",H570/G570)</f>
        <v>8</v>
      </c>
      <c r="M570" s="24">
        <f t="shared" ref="M570:M571" si="964">IF($E570="L",$J570,0)</f>
        <v>0</v>
      </c>
      <c r="N570" s="24">
        <f t="shared" ref="N570:N571" si="965">IF($E570="M",$J570,0)</f>
        <v>0</v>
      </c>
      <c r="O570" s="24">
        <f t="shared" ref="O570:O571" si="966">IF($E570="P",$J570,0)</f>
        <v>760</v>
      </c>
      <c r="P570" s="24">
        <f t="shared" ref="P570:P571" si="967">IF($E570="S",$J570,0)</f>
        <v>0</v>
      </c>
      <c r="Q570" s="24">
        <f t="shared" ref="Q570:Q571" si="968">SUM(M570:P570)</f>
        <v>760</v>
      </c>
      <c r="R570" s="87">
        <v>181</v>
      </c>
      <c r="T570" s="235" t="str">
        <f t="shared" si="876"/>
        <v xml:space="preserve"> </v>
      </c>
      <c r="U570" s="232"/>
    </row>
    <row r="571" spans="1:21" s="18" customFormat="1" x14ac:dyDescent="0.25">
      <c r="A571" s="157"/>
      <c r="B571" s="6">
        <v>12</v>
      </c>
      <c r="C571" s="9" t="s">
        <v>8</v>
      </c>
      <c r="D571" s="6" t="s">
        <v>26</v>
      </c>
      <c r="E571" s="17" t="str">
        <f>VLOOKUP(C571,Resources!B:G,3,FALSE)</f>
        <v>L</v>
      </c>
      <c r="F571" s="12">
        <v>3</v>
      </c>
      <c r="G571" s="12">
        <f>G570</f>
        <v>1.8</v>
      </c>
      <c r="H571" s="12">
        <f>H559</f>
        <v>14.4</v>
      </c>
      <c r="I571" s="12">
        <f>VLOOKUP(C571,Resources!B:G,6,FALSE)</f>
        <v>51.9</v>
      </c>
      <c r="J571" s="21">
        <f t="shared" si="961"/>
        <v>1245.5999999999999</v>
      </c>
      <c r="K571" s="21">
        <f t="shared" si="962"/>
        <v>24</v>
      </c>
      <c r="L571" s="24">
        <f t="shared" si="963"/>
        <v>8</v>
      </c>
      <c r="M571" s="24">
        <f t="shared" si="964"/>
        <v>1245.5999999999999</v>
      </c>
      <c r="N571" s="24">
        <f t="shared" si="965"/>
        <v>0</v>
      </c>
      <c r="O571" s="24">
        <f t="shared" si="966"/>
        <v>0</v>
      </c>
      <c r="P571" s="24">
        <f t="shared" si="967"/>
        <v>0</v>
      </c>
      <c r="Q571" s="24">
        <f t="shared" si="968"/>
        <v>1245.5999999999999</v>
      </c>
      <c r="R571" s="87">
        <v>181</v>
      </c>
      <c r="T571" s="235" t="str">
        <f t="shared" si="876"/>
        <v xml:space="preserve"> </v>
      </c>
      <c r="U571" s="232"/>
    </row>
    <row r="572" spans="1:21" s="19" customFormat="1" x14ac:dyDescent="0.25">
      <c r="A572" s="159"/>
      <c r="B572" s="28">
        <v>13</v>
      </c>
      <c r="C572" s="29" t="s">
        <v>249</v>
      </c>
      <c r="D572" s="28"/>
      <c r="E572" s="30"/>
      <c r="F572" s="31"/>
      <c r="G572" s="31"/>
      <c r="H572" s="31"/>
      <c r="I572" s="31"/>
      <c r="J572" s="32"/>
      <c r="K572" s="32"/>
      <c r="L572" s="33"/>
      <c r="M572" s="33"/>
      <c r="N572" s="33"/>
      <c r="O572" s="33"/>
      <c r="P572" s="33"/>
      <c r="Q572" s="33"/>
      <c r="R572" s="89"/>
      <c r="T572" s="235" t="str">
        <f t="shared" si="876"/>
        <v xml:space="preserve"> </v>
      </c>
      <c r="U572" s="236"/>
    </row>
    <row r="573" spans="1:21" s="18" customFormat="1" x14ac:dyDescent="0.25">
      <c r="A573" s="157">
        <v>266.3</v>
      </c>
      <c r="B573" s="6">
        <v>14</v>
      </c>
      <c r="C573" s="9" t="s">
        <v>70</v>
      </c>
      <c r="D573" s="6" t="s">
        <v>26</v>
      </c>
      <c r="E573" s="17" t="str">
        <f>VLOOKUP(C573,Resources!B:G,3,FALSE)</f>
        <v>P</v>
      </c>
      <c r="F573" s="12">
        <v>1</v>
      </c>
      <c r="G573" s="26">
        <f>VLOOKUP($A573,'Model Inputs'!$A:$C,3,FALSE)</f>
        <v>3</v>
      </c>
      <c r="H573" s="12">
        <f>H561</f>
        <v>12</v>
      </c>
      <c r="I573" s="12">
        <f>VLOOKUP(C573,Resources!B:G,6,FALSE)</f>
        <v>135</v>
      </c>
      <c r="J573" s="21">
        <f t="shared" ref="J573:J574" si="969">(H573/G573)*I573*F573</f>
        <v>540</v>
      </c>
      <c r="K573" s="21">
        <f t="shared" ref="K573:K574" si="970">IF(E573="M"," ",L573*F573)</f>
        <v>4</v>
      </c>
      <c r="L573" s="24">
        <f t="shared" ref="L573:L574" si="971">IF(E573="M"," ",H573/G573)</f>
        <v>4</v>
      </c>
      <c r="M573" s="24">
        <f t="shared" ref="M573:M574" si="972">IF($E573="L",$J573,0)</f>
        <v>0</v>
      </c>
      <c r="N573" s="24">
        <f t="shared" ref="N573:N574" si="973">IF($E573="M",$J573,0)</f>
        <v>0</v>
      </c>
      <c r="O573" s="24">
        <f t="shared" ref="O573:O574" si="974">IF($E573="P",$J573,0)</f>
        <v>540</v>
      </c>
      <c r="P573" s="24">
        <f t="shared" ref="P573:P574" si="975">IF($E573="S",$J573,0)</f>
        <v>0</v>
      </c>
      <c r="Q573" s="24">
        <f t="shared" ref="Q573:Q574" si="976">SUM(M573:P573)</f>
        <v>540</v>
      </c>
      <c r="R573" s="87">
        <v>181</v>
      </c>
      <c r="T573" s="235" t="str">
        <f t="shared" si="876"/>
        <v xml:space="preserve"> </v>
      </c>
      <c r="U573" s="232"/>
    </row>
    <row r="574" spans="1:21" s="18" customFormat="1" x14ac:dyDescent="0.25">
      <c r="A574" s="157"/>
      <c r="B574" s="6">
        <v>15</v>
      </c>
      <c r="C574" s="9" t="s">
        <v>8</v>
      </c>
      <c r="D574" s="6" t="s">
        <v>26</v>
      </c>
      <c r="E574" s="17" t="str">
        <f>VLOOKUP(C574,Resources!B:G,3,FALSE)</f>
        <v>L</v>
      </c>
      <c r="F574" s="12">
        <v>3</v>
      </c>
      <c r="G574" s="12">
        <f>G573</f>
        <v>3</v>
      </c>
      <c r="H574" s="12">
        <f>H561</f>
        <v>12</v>
      </c>
      <c r="I574" s="12">
        <f>VLOOKUP(C574,Resources!B:G,6,FALSE)</f>
        <v>51.9</v>
      </c>
      <c r="J574" s="21">
        <f t="shared" si="969"/>
        <v>622.79999999999995</v>
      </c>
      <c r="K574" s="21">
        <f t="shared" si="970"/>
        <v>12</v>
      </c>
      <c r="L574" s="24">
        <f t="shared" si="971"/>
        <v>4</v>
      </c>
      <c r="M574" s="24">
        <f t="shared" si="972"/>
        <v>622.79999999999995</v>
      </c>
      <c r="N574" s="24">
        <f t="shared" si="973"/>
        <v>0</v>
      </c>
      <c r="O574" s="24">
        <f t="shared" si="974"/>
        <v>0</v>
      </c>
      <c r="P574" s="24">
        <f t="shared" si="975"/>
        <v>0</v>
      </c>
      <c r="Q574" s="24">
        <f t="shared" si="976"/>
        <v>622.79999999999995</v>
      </c>
      <c r="R574" s="87">
        <v>181</v>
      </c>
      <c r="T574" s="235" t="str">
        <f t="shared" si="876"/>
        <v xml:space="preserve"> </v>
      </c>
      <c r="U574" s="232"/>
    </row>
    <row r="575" spans="1:21" s="19" customFormat="1" x14ac:dyDescent="0.25">
      <c r="A575" s="159"/>
      <c r="B575" s="28">
        <v>16</v>
      </c>
      <c r="C575" s="29" t="s">
        <v>197</v>
      </c>
      <c r="D575" s="28"/>
      <c r="E575" s="30"/>
      <c r="F575" s="31"/>
      <c r="G575" s="31"/>
      <c r="H575" s="31"/>
      <c r="I575" s="31"/>
      <c r="J575" s="32"/>
      <c r="K575" s="32"/>
      <c r="L575" s="33"/>
      <c r="M575" s="33"/>
      <c r="N575" s="33"/>
      <c r="O575" s="33"/>
      <c r="P575" s="33"/>
      <c r="Q575" s="33"/>
      <c r="R575" s="89"/>
      <c r="T575" s="235" t="str">
        <f t="shared" si="876"/>
        <v xml:space="preserve"> </v>
      </c>
      <c r="U575" s="236"/>
    </row>
    <row r="576" spans="1:21" s="18" customFormat="1" x14ac:dyDescent="0.25">
      <c r="A576" s="157">
        <v>266.39999999999998</v>
      </c>
      <c r="B576" s="6">
        <v>17</v>
      </c>
      <c r="C576" s="9" t="s">
        <v>82</v>
      </c>
      <c r="D576" s="6" t="s">
        <v>26</v>
      </c>
      <c r="E576" s="17" t="str">
        <f>VLOOKUP(C576,Resources!B:G,3,FALSE)</f>
        <v>P</v>
      </c>
      <c r="F576" s="12">
        <v>1</v>
      </c>
      <c r="G576" s="26">
        <f>VLOOKUP($A576,'Model Inputs'!$A:$C,3,FALSE)</f>
        <v>3.6</v>
      </c>
      <c r="H576" s="12">
        <f>H559</f>
        <v>14.4</v>
      </c>
      <c r="I576" s="12">
        <f>VLOOKUP(C576,Resources!B:G,6,FALSE)</f>
        <v>95</v>
      </c>
      <c r="J576" s="21">
        <f t="shared" ref="J576:J577" si="977">(H576/G576)*I576*F576</f>
        <v>380</v>
      </c>
      <c r="K576" s="21">
        <f t="shared" ref="K576:K577" si="978">IF(E576="M"," ",L576*F576)</f>
        <v>4</v>
      </c>
      <c r="L576" s="24">
        <f t="shared" ref="L576:L577" si="979">IF(E576="M"," ",H576/G576)</f>
        <v>4</v>
      </c>
      <c r="M576" s="24">
        <f t="shared" ref="M576:M577" si="980">IF($E576="L",$J576,0)</f>
        <v>0</v>
      </c>
      <c r="N576" s="24">
        <f t="shared" ref="N576:N577" si="981">IF($E576="M",$J576,0)</f>
        <v>0</v>
      </c>
      <c r="O576" s="24">
        <f t="shared" ref="O576:O577" si="982">IF($E576="P",$J576,0)</f>
        <v>380</v>
      </c>
      <c r="P576" s="24">
        <f t="shared" ref="P576:P577" si="983">IF($E576="S",$J576,0)</f>
        <v>0</v>
      </c>
      <c r="Q576" s="24">
        <f t="shared" ref="Q576:Q577" si="984">SUM(M576:P576)</f>
        <v>380</v>
      </c>
      <c r="R576" s="87">
        <v>181</v>
      </c>
      <c r="T576" s="235" t="str">
        <f t="shared" si="876"/>
        <v xml:space="preserve"> </v>
      </c>
      <c r="U576" s="232"/>
    </row>
    <row r="577" spans="1:21" s="18" customFormat="1" x14ac:dyDescent="0.25">
      <c r="A577" s="157"/>
      <c r="B577" s="6">
        <v>18</v>
      </c>
      <c r="C577" s="9" t="s">
        <v>28</v>
      </c>
      <c r="D577" s="6" t="s">
        <v>26</v>
      </c>
      <c r="E577" s="17" t="str">
        <f>VLOOKUP(C577,Resources!B:G,3,FALSE)</f>
        <v>P</v>
      </c>
      <c r="F577" s="12">
        <v>1</v>
      </c>
      <c r="G577" s="12">
        <f>G576</f>
        <v>3.6</v>
      </c>
      <c r="H577" s="12">
        <f>H559</f>
        <v>14.4</v>
      </c>
      <c r="I577" s="12">
        <f>VLOOKUP(C577,Resources!B:G,6,FALSE)</f>
        <v>95</v>
      </c>
      <c r="J577" s="21">
        <f t="shared" si="977"/>
        <v>380</v>
      </c>
      <c r="K577" s="21">
        <f t="shared" si="978"/>
        <v>4</v>
      </c>
      <c r="L577" s="24">
        <f t="shared" si="979"/>
        <v>4</v>
      </c>
      <c r="M577" s="24">
        <f t="shared" si="980"/>
        <v>0</v>
      </c>
      <c r="N577" s="24">
        <f t="shared" si="981"/>
        <v>0</v>
      </c>
      <c r="O577" s="24">
        <f t="shared" si="982"/>
        <v>380</v>
      </c>
      <c r="P577" s="24">
        <f t="shared" si="983"/>
        <v>0</v>
      </c>
      <c r="Q577" s="24">
        <f t="shared" si="984"/>
        <v>380</v>
      </c>
      <c r="R577" s="87">
        <v>181</v>
      </c>
      <c r="T577" s="235" t="str">
        <f t="shared" si="876"/>
        <v xml:space="preserve"> </v>
      </c>
      <c r="U577" s="232"/>
    </row>
    <row r="578" spans="1:21" x14ac:dyDescent="0.25">
      <c r="F578" s="11"/>
      <c r="G578" s="11"/>
      <c r="H578" s="11"/>
      <c r="I578" s="11"/>
      <c r="J578" s="11"/>
      <c r="K578" s="11"/>
      <c r="R578" s="88"/>
      <c r="T578" s="235" t="str">
        <f t="shared" si="876"/>
        <v xml:space="preserve"> </v>
      </c>
    </row>
    <row r="579" spans="1:21" ht="45" x14ac:dyDescent="0.25">
      <c r="A579" s="156">
        <v>67</v>
      </c>
      <c r="B579" s="3" t="s">
        <v>250</v>
      </c>
      <c r="C579" s="3" t="s">
        <v>251</v>
      </c>
      <c r="D579" s="4" t="s">
        <v>145</v>
      </c>
      <c r="E579" s="15"/>
      <c r="F579" s="10"/>
      <c r="G579" s="10"/>
      <c r="H579" s="26">
        <f>VLOOKUP($A579,'Model Inputs'!$A:$C,3,FALSE)</f>
        <v>2</v>
      </c>
      <c r="I579" s="10"/>
      <c r="J579" s="10">
        <f>SUBTOTAL(9,J580:J581)</f>
        <v>947.8</v>
      </c>
      <c r="K579" s="10"/>
      <c r="L579" s="10">
        <f>ROUNDUP(MAX(L580:L581)/Workhrs,0)</f>
        <v>1</v>
      </c>
      <c r="M579" s="10">
        <f>SUBTOTAL(9,M580:M581)</f>
        <v>622.79999999999995</v>
      </c>
      <c r="N579" s="10">
        <f t="shared" ref="N579:Q579" si="985">SUBTOTAL(9,N580:N581)</f>
        <v>325</v>
      </c>
      <c r="O579" s="10">
        <f t="shared" si="985"/>
        <v>0</v>
      </c>
      <c r="P579" s="10">
        <f t="shared" si="985"/>
        <v>0</v>
      </c>
      <c r="Q579" s="10">
        <f t="shared" si="985"/>
        <v>947.8</v>
      </c>
      <c r="R579" s="86"/>
      <c r="T579" s="235" t="str">
        <f t="shared" si="876"/>
        <v xml:space="preserve"> </v>
      </c>
    </row>
    <row r="580" spans="1:21" x14ac:dyDescent="0.25">
      <c r="A580" s="157"/>
      <c r="B580" s="6">
        <v>1</v>
      </c>
      <c r="C580" s="9" t="s">
        <v>194</v>
      </c>
      <c r="D580" s="6" t="s">
        <v>180</v>
      </c>
      <c r="E580" s="17" t="str">
        <f>VLOOKUP(C580,Resources!B:G,3,FALSE)</f>
        <v>M</v>
      </c>
      <c r="F580" s="12">
        <v>1</v>
      </c>
      <c r="G580" s="12">
        <v>1</v>
      </c>
      <c r="H580" s="12">
        <f>H579/2</f>
        <v>1</v>
      </c>
      <c r="I580" s="12">
        <f>VLOOKUP(C580,Resources!B:G,6,FALSE)</f>
        <v>325</v>
      </c>
      <c r="J580" s="21">
        <f t="shared" ref="J580:J581" si="986">(H580/G580)*I580*F580</f>
        <v>325</v>
      </c>
      <c r="K580" s="21" t="str">
        <f t="shared" ref="K580:K581" si="987">IF(E580="M"," ",L580*F580)</f>
        <v xml:space="preserve"> </v>
      </c>
      <c r="L580" s="24" t="str">
        <f t="shared" ref="L580:L581" si="988">IF(E580="M"," ",H580/G580)</f>
        <v xml:space="preserve"> </v>
      </c>
      <c r="M580" s="24">
        <f t="shared" ref="M580:M581" si="989">IF($E580="L",$J580,0)</f>
        <v>0</v>
      </c>
      <c r="N580" s="24">
        <f t="shared" ref="N580:N581" si="990">IF($E580="M",$J580,0)</f>
        <v>325</v>
      </c>
      <c r="O580" s="24">
        <f t="shared" ref="O580:O581" si="991">IF($E580="P",$J580,0)</f>
        <v>0</v>
      </c>
      <c r="P580" s="24">
        <f t="shared" ref="P580:P581" si="992">IF($E580="S",$J580,0)</f>
        <v>0</v>
      </c>
      <c r="Q580" s="24">
        <f t="shared" ref="Q580:Q581" si="993">SUM(M580:P580)</f>
        <v>325</v>
      </c>
      <c r="R580" s="87" t="s">
        <v>543</v>
      </c>
      <c r="T580" s="235" t="str">
        <f t="shared" si="876"/>
        <v xml:space="preserve"> </v>
      </c>
    </row>
    <row r="581" spans="1:21" x14ac:dyDescent="0.25">
      <c r="A581" s="157">
        <v>67.099999999999994</v>
      </c>
      <c r="B581" s="6">
        <v>2</v>
      </c>
      <c r="C581" s="9" t="s">
        <v>8</v>
      </c>
      <c r="D581" s="6" t="s">
        <v>26</v>
      </c>
      <c r="E581" s="17" t="str">
        <f>VLOOKUP(C581,Resources!B:G,3,FALSE)</f>
        <v>L</v>
      </c>
      <c r="F581" s="12">
        <v>3</v>
      </c>
      <c r="G581" s="26">
        <f>VLOOKUP($A581,'Model Inputs'!$A:$C,3,FALSE)</f>
        <v>0.5</v>
      </c>
      <c r="H581" s="12">
        <f>H579</f>
        <v>2</v>
      </c>
      <c r="I581" s="12">
        <f>VLOOKUP(C581,Resources!B:G,6,FALSE)</f>
        <v>51.9</v>
      </c>
      <c r="J581" s="21">
        <f t="shared" si="986"/>
        <v>622.79999999999995</v>
      </c>
      <c r="K581" s="21">
        <f t="shared" si="987"/>
        <v>12</v>
      </c>
      <c r="L581" s="24">
        <f t="shared" si="988"/>
        <v>4</v>
      </c>
      <c r="M581" s="24">
        <f t="shared" si="989"/>
        <v>622.79999999999995</v>
      </c>
      <c r="N581" s="24">
        <f t="shared" si="990"/>
        <v>0</v>
      </c>
      <c r="O581" s="24">
        <f t="shared" si="991"/>
        <v>0</v>
      </c>
      <c r="P581" s="24">
        <f t="shared" si="992"/>
        <v>0</v>
      </c>
      <c r="Q581" s="24">
        <f t="shared" si="993"/>
        <v>622.79999999999995</v>
      </c>
      <c r="R581" s="87">
        <v>72</v>
      </c>
      <c r="T581" s="235" t="str">
        <f t="shared" si="876"/>
        <v xml:space="preserve"> </v>
      </c>
    </row>
    <row r="582" spans="1:21" x14ac:dyDescent="0.25">
      <c r="F582" s="11"/>
      <c r="G582" s="11"/>
      <c r="H582" s="11"/>
      <c r="I582" s="11"/>
      <c r="J582" s="11"/>
      <c r="K582" s="11"/>
      <c r="R582" s="88"/>
      <c r="T582" s="235" t="str">
        <f t="shared" si="876"/>
        <v xml:space="preserve"> </v>
      </c>
    </row>
    <row r="583" spans="1:21" ht="45" x14ac:dyDescent="0.25">
      <c r="A583" s="156">
        <v>68</v>
      </c>
      <c r="B583" s="3" t="s">
        <v>252</v>
      </c>
      <c r="C583" s="3" t="s">
        <v>253</v>
      </c>
      <c r="D583" s="4" t="s">
        <v>18</v>
      </c>
      <c r="E583" s="15"/>
      <c r="F583" s="10"/>
      <c r="G583" s="10"/>
      <c r="H583" s="26">
        <f>VLOOKUP($A583,'Model Inputs'!$A:$C,3,FALSE)</f>
        <v>1</v>
      </c>
      <c r="I583" s="10"/>
      <c r="J583" s="10">
        <f>SUBTOTAL(9,J584:J586)</f>
        <v>1658.0838323353291</v>
      </c>
      <c r="K583" s="10"/>
      <c r="L583" s="10">
        <f>ROUNDUP(MAX(L584:L586)/Workhrs,0)</f>
        <v>1</v>
      </c>
      <c r="M583" s="10">
        <f>SUBTOTAL(9,M584:M586)</f>
        <v>310.77844311377243</v>
      </c>
      <c r="N583" s="10">
        <f t="shared" ref="N583:Q583" si="994">SUBTOTAL(9,N584:N586)</f>
        <v>0</v>
      </c>
      <c r="O583" s="10">
        <f t="shared" si="994"/>
        <v>1347.3053892215567</v>
      </c>
      <c r="P583" s="10">
        <f t="shared" si="994"/>
        <v>0</v>
      </c>
      <c r="Q583" s="10">
        <f t="shared" si="994"/>
        <v>1658.0838323353291</v>
      </c>
      <c r="R583" s="86"/>
      <c r="T583" s="235" t="str">
        <f t="shared" si="876"/>
        <v xml:space="preserve"> </v>
      </c>
    </row>
    <row r="584" spans="1:21" x14ac:dyDescent="0.25">
      <c r="A584" s="157">
        <v>68.099999999999994</v>
      </c>
      <c r="B584" s="6">
        <v>1</v>
      </c>
      <c r="C584" s="9" t="s">
        <v>70</v>
      </c>
      <c r="D584" s="6" t="s">
        <v>26</v>
      </c>
      <c r="E584" s="17" t="str">
        <f>VLOOKUP(C584,Resources!B:G,3,FALSE)</f>
        <v>P</v>
      </c>
      <c r="F584" s="12">
        <v>1</v>
      </c>
      <c r="G584" s="26">
        <f>VLOOKUP($A584,'Model Inputs'!$A:$C,3,FALSE)</f>
        <v>0.16700000000000001</v>
      </c>
      <c r="H584" s="12">
        <f>H583</f>
        <v>1</v>
      </c>
      <c r="I584" s="12">
        <f>VLOOKUP(C584,Resources!B:G,6,FALSE)</f>
        <v>135</v>
      </c>
      <c r="J584" s="21">
        <f t="shared" ref="J584:J586" si="995">(H584/G584)*I584*F584</f>
        <v>808.38323353293401</v>
      </c>
      <c r="K584" s="21">
        <f t="shared" ref="K584:K586" si="996">IF(E584="M"," ",L584*F584)</f>
        <v>5.9880239520958076</v>
      </c>
      <c r="L584" s="24">
        <f t="shared" ref="L584:L586" si="997">IF(E584="M"," ",H584/G584)</f>
        <v>5.9880239520958076</v>
      </c>
      <c r="M584" s="24">
        <f t="shared" ref="M584:M586" si="998">IF($E584="L",$J584,0)</f>
        <v>0</v>
      </c>
      <c r="N584" s="24">
        <f t="shared" ref="N584:N586" si="999">IF($E584="M",$J584,0)</f>
        <v>0</v>
      </c>
      <c r="O584" s="24">
        <f t="shared" ref="O584:O586" si="1000">IF($E584="P",$J584,0)</f>
        <v>808.38323353293401</v>
      </c>
      <c r="P584" s="24">
        <f t="shared" ref="P584:P586" si="1001">IF($E584="S",$J584,0)</f>
        <v>0</v>
      </c>
      <c r="Q584" s="24">
        <f t="shared" ref="Q584:Q586" si="1002">SUM(M584:P584)</f>
        <v>808.38323353293401</v>
      </c>
      <c r="R584" s="87">
        <v>53</v>
      </c>
      <c r="T584" s="235" t="str">
        <f t="shared" ref="T584:T647" si="1003">IF(R584=$U$7,"y"," ")</f>
        <v xml:space="preserve"> </v>
      </c>
    </row>
    <row r="585" spans="1:21" x14ac:dyDescent="0.25">
      <c r="A585" s="157"/>
      <c r="B585" s="6">
        <v>2</v>
      </c>
      <c r="C585" s="9" t="s">
        <v>27</v>
      </c>
      <c r="D585" s="6" t="s">
        <v>26</v>
      </c>
      <c r="E585" s="17" t="str">
        <f>VLOOKUP(C585,Resources!B:G,3,FALSE)</f>
        <v>P</v>
      </c>
      <c r="F585" s="12">
        <v>1</v>
      </c>
      <c r="G585" s="12">
        <f>G584</f>
        <v>0.16700000000000001</v>
      </c>
      <c r="H585" s="12">
        <f>H583</f>
        <v>1</v>
      </c>
      <c r="I585" s="12">
        <f>VLOOKUP(C585,Resources!B:G,6,FALSE)</f>
        <v>90</v>
      </c>
      <c r="J585" s="21">
        <f t="shared" si="995"/>
        <v>538.92215568862264</v>
      </c>
      <c r="K585" s="21">
        <f t="shared" si="996"/>
        <v>5.9880239520958076</v>
      </c>
      <c r="L585" s="24">
        <f t="shared" si="997"/>
        <v>5.9880239520958076</v>
      </c>
      <c r="M585" s="24">
        <f t="shared" si="998"/>
        <v>0</v>
      </c>
      <c r="N585" s="24">
        <f t="shared" si="999"/>
        <v>0</v>
      </c>
      <c r="O585" s="24">
        <f t="shared" si="1000"/>
        <v>538.92215568862264</v>
      </c>
      <c r="P585" s="24">
        <f t="shared" si="1001"/>
        <v>0</v>
      </c>
      <c r="Q585" s="24">
        <f t="shared" si="1002"/>
        <v>538.92215568862264</v>
      </c>
      <c r="R585" s="87">
        <v>53</v>
      </c>
      <c r="T585" s="235" t="str">
        <f t="shared" si="1003"/>
        <v xml:space="preserve"> </v>
      </c>
    </row>
    <row r="586" spans="1:21" x14ac:dyDescent="0.25">
      <c r="A586" s="157"/>
      <c r="B586" s="6">
        <v>3</v>
      </c>
      <c r="C586" s="9" t="s">
        <v>8</v>
      </c>
      <c r="D586" s="6" t="s">
        <v>26</v>
      </c>
      <c r="E586" s="17" t="str">
        <f>VLOOKUP(C586,Resources!B:G,3,FALSE)</f>
        <v>L</v>
      </c>
      <c r="F586" s="12">
        <v>1</v>
      </c>
      <c r="G586" s="12">
        <f>G584</f>
        <v>0.16700000000000001</v>
      </c>
      <c r="H586" s="12">
        <f>H583</f>
        <v>1</v>
      </c>
      <c r="I586" s="12">
        <f>VLOOKUP(C586,Resources!B:G,6,FALSE)</f>
        <v>51.9</v>
      </c>
      <c r="J586" s="21">
        <f t="shared" si="995"/>
        <v>310.77844311377243</v>
      </c>
      <c r="K586" s="21">
        <f t="shared" si="996"/>
        <v>5.9880239520958076</v>
      </c>
      <c r="L586" s="24">
        <f t="shared" si="997"/>
        <v>5.9880239520958076</v>
      </c>
      <c r="M586" s="24">
        <f t="shared" si="998"/>
        <v>310.77844311377243</v>
      </c>
      <c r="N586" s="24">
        <f t="shared" si="999"/>
        <v>0</v>
      </c>
      <c r="O586" s="24">
        <f t="shared" si="1000"/>
        <v>0</v>
      </c>
      <c r="P586" s="24">
        <f t="shared" si="1001"/>
        <v>0</v>
      </c>
      <c r="Q586" s="24">
        <f t="shared" si="1002"/>
        <v>310.77844311377243</v>
      </c>
      <c r="R586" s="87">
        <v>53</v>
      </c>
      <c r="T586" s="235" t="str">
        <f t="shared" si="1003"/>
        <v xml:space="preserve"> </v>
      </c>
    </row>
    <row r="587" spans="1:21" x14ac:dyDescent="0.25">
      <c r="F587" s="11"/>
      <c r="G587" s="11"/>
      <c r="H587" s="11"/>
      <c r="I587" s="11"/>
      <c r="J587" s="11"/>
      <c r="K587" s="11"/>
      <c r="R587" s="88"/>
      <c r="T587" s="235" t="str">
        <f t="shared" si="1003"/>
        <v xml:space="preserve"> </v>
      </c>
    </row>
    <row r="588" spans="1:21" ht="60" x14ac:dyDescent="0.25">
      <c r="A588" s="156">
        <v>69</v>
      </c>
      <c r="B588" s="3" t="s">
        <v>254</v>
      </c>
      <c r="C588" s="3" t="s">
        <v>255</v>
      </c>
      <c r="D588" s="4" t="s">
        <v>18</v>
      </c>
      <c r="E588" s="15"/>
      <c r="F588" s="10"/>
      <c r="G588" s="10"/>
      <c r="H588" s="26">
        <f>VLOOKUP($A588,'Model Inputs'!$A:$C,3,FALSE)</f>
        <v>1</v>
      </c>
      <c r="I588" s="10"/>
      <c r="J588" s="10">
        <f>SUBTOTAL(9,J589:J591)</f>
        <v>2322.6</v>
      </c>
      <c r="K588" s="10"/>
      <c r="L588" s="10">
        <f>ROUNDUP(MAX(L589:L591)/Workhrs,0)</f>
        <v>1</v>
      </c>
      <c r="M588" s="10">
        <f>SUBTOTAL(9,M589:M591)</f>
        <v>207.6</v>
      </c>
      <c r="N588" s="10">
        <f t="shared" ref="N588:Q588" si="1004">SUBTOTAL(9,N589:N591)</f>
        <v>1575</v>
      </c>
      <c r="O588" s="10">
        <f t="shared" si="1004"/>
        <v>540</v>
      </c>
      <c r="P588" s="10">
        <f t="shared" si="1004"/>
        <v>0</v>
      </c>
      <c r="Q588" s="10">
        <f t="shared" si="1004"/>
        <v>2322.6</v>
      </c>
      <c r="R588" s="86"/>
      <c r="T588" s="235" t="str">
        <f t="shared" si="1003"/>
        <v xml:space="preserve"> </v>
      </c>
    </row>
    <row r="589" spans="1:21" x14ac:dyDescent="0.25">
      <c r="A589" s="157"/>
      <c r="B589" s="6">
        <v>1</v>
      </c>
      <c r="C589" s="9" t="s">
        <v>146</v>
      </c>
      <c r="D589" s="6" t="s">
        <v>100</v>
      </c>
      <c r="E589" s="17" t="str">
        <f>VLOOKUP(C589,Resources!B:G,3,FALSE)</f>
        <v>M</v>
      </c>
      <c r="F589" s="12">
        <v>1</v>
      </c>
      <c r="G589" s="12">
        <v>1</v>
      </c>
      <c r="H589" s="12">
        <f>H588*45</f>
        <v>45</v>
      </c>
      <c r="I589" s="12">
        <f>VLOOKUP(C589,Resources!B:G,6,FALSE)</f>
        <v>35</v>
      </c>
      <c r="J589" s="21">
        <f t="shared" ref="J589:J591" si="1005">(H589/G589)*I589*F589</f>
        <v>1575</v>
      </c>
      <c r="K589" s="21" t="str">
        <f t="shared" ref="K589:K591" si="1006">IF(E589="M"," ",L589*F589)</f>
        <v xml:space="preserve"> </v>
      </c>
      <c r="L589" s="24" t="str">
        <f t="shared" ref="L589:L591" si="1007">IF(E589="M"," ",H589/G589)</f>
        <v xml:space="preserve"> </v>
      </c>
      <c r="M589" s="24">
        <f t="shared" ref="M589:M591" si="1008">IF($E589="L",$J589,0)</f>
        <v>0</v>
      </c>
      <c r="N589" s="24">
        <f t="shared" ref="N589:N591" si="1009">IF($E589="M",$J589,0)</f>
        <v>1575</v>
      </c>
      <c r="O589" s="24">
        <f t="shared" ref="O589:O591" si="1010">IF($E589="P",$J589,0)</f>
        <v>0</v>
      </c>
      <c r="P589" s="24">
        <f t="shared" ref="P589:P591" si="1011">IF($E589="S",$J589,0)</f>
        <v>0</v>
      </c>
      <c r="Q589" s="24">
        <f t="shared" ref="Q589:Q591" si="1012">SUM(M589:P589)</f>
        <v>1575</v>
      </c>
      <c r="R589" s="87" t="s">
        <v>540</v>
      </c>
      <c r="T589" s="235" t="str">
        <f t="shared" si="1003"/>
        <v xml:space="preserve"> </v>
      </c>
    </row>
    <row r="590" spans="1:21" x14ac:dyDescent="0.25">
      <c r="A590" s="157">
        <v>69.099999999999994</v>
      </c>
      <c r="B590" s="6">
        <v>2</v>
      </c>
      <c r="C590" s="9" t="s">
        <v>70</v>
      </c>
      <c r="D590" s="6" t="s">
        <v>26</v>
      </c>
      <c r="E590" s="17" t="str">
        <f>VLOOKUP(C590,Resources!B:G,3,FALSE)</f>
        <v>P</v>
      </c>
      <c r="F590" s="12">
        <v>1</v>
      </c>
      <c r="G590" s="26">
        <f>VLOOKUP($A590,'Model Inputs'!$A:$C,3,FALSE)</f>
        <v>11.25</v>
      </c>
      <c r="H590" s="12">
        <f>H589</f>
        <v>45</v>
      </c>
      <c r="I590" s="12">
        <f>VLOOKUP(C590,Resources!B:G,6,FALSE)</f>
        <v>135</v>
      </c>
      <c r="J590" s="21">
        <f t="shared" si="1005"/>
        <v>540</v>
      </c>
      <c r="K590" s="21">
        <f t="shared" si="1006"/>
        <v>4</v>
      </c>
      <c r="L590" s="24">
        <f t="shared" si="1007"/>
        <v>4</v>
      </c>
      <c r="M590" s="24">
        <f t="shared" si="1008"/>
        <v>0</v>
      </c>
      <c r="N590" s="24">
        <f t="shared" si="1009"/>
        <v>0</v>
      </c>
      <c r="O590" s="24">
        <f t="shared" si="1010"/>
        <v>540</v>
      </c>
      <c r="P590" s="24">
        <f t="shared" si="1011"/>
        <v>0</v>
      </c>
      <c r="Q590" s="24">
        <f t="shared" si="1012"/>
        <v>540</v>
      </c>
      <c r="R590" s="87">
        <v>81</v>
      </c>
      <c r="T590" s="235" t="str">
        <f t="shared" si="1003"/>
        <v xml:space="preserve"> </v>
      </c>
    </row>
    <row r="591" spans="1:21" x14ac:dyDescent="0.25">
      <c r="A591" s="157"/>
      <c r="B591" s="6">
        <v>3</v>
      </c>
      <c r="C591" s="9" t="s">
        <v>8</v>
      </c>
      <c r="D591" s="6" t="s">
        <v>26</v>
      </c>
      <c r="E591" s="17" t="str">
        <f>VLOOKUP(C591,Resources!B:G,3,FALSE)</f>
        <v>L</v>
      </c>
      <c r="F591" s="12">
        <v>1</v>
      </c>
      <c r="G591" s="12">
        <f>G590</f>
        <v>11.25</v>
      </c>
      <c r="H591" s="12">
        <f>H589</f>
        <v>45</v>
      </c>
      <c r="I591" s="12">
        <f>VLOOKUP(C591,Resources!B:G,6,FALSE)</f>
        <v>51.9</v>
      </c>
      <c r="J591" s="21">
        <f t="shared" si="1005"/>
        <v>207.6</v>
      </c>
      <c r="K591" s="21">
        <f t="shared" si="1006"/>
        <v>4</v>
      </c>
      <c r="L591" s="24">
        <f t="shared" si="1007"/>
        <v>4</v>
      </c>
      <c r="M591" s="24">
        <f t="shared" si="1008"/>
        <v>207.6</v>
      </c>
      <c r="N591" s="24">
        <f t="shared" si="1009"/>
        <v>0</v>
      </c>
      <c r="O591" s="24">
        <f t="shared" si="1010"/>
        <v>0</v>
      </c>
      <c r="P591" s="24">
        <f t="shared" si="1011"/>
        <v>0</v>
      </c>
      <c r="Q591" s="24">
        <f t="shared" si="1012"/>
        <v>207.6</v>
      </c>
      <c r="R591" s="87">
        <v>81</v>
      </c>
      <c r="T591" s="235" t="str">
        <f t="shared" si="1003"/>
        <v xml:space="preserve"> </v>
      </c>
    </row>
    <row r="592" spans="1:21" x14ac:dyDescent="0.25">
      <c r="F592" s="11"/>
      <c r="G592" s="11"/>
      <c r="H592" s="11"/>
      <c r="I592" s="11"/>
      <c r="J592" s="11"/>
      <c r="K592" s="11"/>
      <c r="R592" s="88"/>
      <c r="T592" s="235" t="str">
        <f t="shared" si="1003"/>
        <v xml:space="preserve"> </v>
      </c>
    </row>
    <row r="593" spans="1:21" ht="30" x14ac:dyDescent="0.25">
      <c r="A593" s="156">
        <v>70</v>
      </c>
      <c r="B593" s="3" t="s">
        <v>256</v>
      </c>
      <c r="C593" s="3" t="s">
        <v>257</v>
      </c>
      <c r="D593" s="4" t="s">
        <v>18</v>
      </c>
      <c r="E593" s="15"/>
      <c r="F593" s="10"/>
      <c r="G593" s="10"/>
      <c r="H593" s="26">
        <f>VLOOKUP($A593,'Model Inputs'!$A:$C,3,FALSE)</f>
        <v>1</v>
      </c>
      <c r="I593" s="10"/>
      <c r="J593" s="10">
        <f>SUBTOTAL(9,J595:J597,J599:J603)</f>
        <v>4666.8500000000004</v>
      </c>
      <c r="K593" s="10"/>
      <c r="L593" s="10">
        <f>ROUNDUP(MAX(L595:L597,L599:L603)/Workhrs,0)</f>
        <v>1</v>
      </c>
      <c r="M593" s="10">
        <f>SUBTOTAL(9,M595:M597,M599:M603)</f>
        <v>1245.5999999999999</v>
      </c>
      <c r="N593" s="10">
        <f t="shared" ref="N593:Q593" si="1013">SUBTOTAL(9,N595:N597,N599:N603)</f>
        <v>1181.25</v>
      </c>
      <c r="O593" s="10">
        <f t="shared" si="1013"/>
        <v>2240</v>
      </c>
      <c r="P593" s="10">
        <f t="shared" si="1013"/>
        <v>0</v>
      </c>
      <c r="Q593" s="10">
        <f t="shared" si="1013"/>
        <v>4666.8500000000004</v>
      </c>
      <c r="R593" s="86"/>
      <c r="T593" s="235" t="str">
        <f t="shared" si="1003"/>
        <v xml:space="preserve"> </v>
      </c>
    </row>
    <row r="594" spans="1:21" s="19" customFormat="1" x14ac:dyDescent="0.25">
      <c r="A594" s="159"/>
      <c r="B594" s="28">
        <v>1</v>
      </c>
      <c r="C594" s="29" t="s">
        <v>258</v>
      </c>
      <c r="D594" s="28"/>
      <c r="E594" s="30"/>
      <c r="F594" s="31"/>
      <c r="G594" s="31"/>
      <c r="H594" s="31"/>
      <c r="I594" s="31"/>
      <c r="J594" s="32"/>
      <c r="K594" s="32"/>
      <c r="L594" s="33"/>
      <c r="M594" s="33"/>
      <c r="N594" s="33"/>
      <c r="O594" s="33"/>
      <c r="P594" s="33"/>
      <c r="Q594" s="33"/>
      <c r="R594" s="89"/>
      <c r="T594" s="235" t="str">
        <f t="shared" si="1003"/>
        <v xml:space="preserve"> </v>
      </c>
      <c r="U594" s="236"/>
    </row>
    <row r="595" spans="1:21" x14ac:dyDescent="0.25">
      <c r="A595" s="157">
        <v>70.099999999999994</v>
      </c>
      <c r="B595" s="6">
        <v>2</v>
      </c>
      <c r="C595" s="9" t="s">
        <v>70</v>
      </c>
      <c r="D595" s="6" t="s">
        <v>26</v>
      </c>
      <c r="E595" s="17" t="str">
        <f>VLOOKUP(C595,Resources!B:G,3,FALSE)</f>
        <v>P</v>
      </c>
      <c r="F595" s="12">
        <v>1</v>
      </c>
      <c r="G595" s="26">
        <f>VLOOKUP($A595,'Model Inputs'!$A:$C,3,FALSE)</f>
        <v>0.25</v>
      </c>
      <c r="H595" s="12">
        <f>H593</f>
        <v>1</v>
      </c>
      <c r="I595" s="12">
        <f>VLOOKUP(C595,Resources!B:G,6,FALSE)</f>
        <v>135</v>
      </c>
      <c r="J595" s="21">
        <f t="shared" ref="J595:J597" si="1014">(H595/G595)*I595*F595</f>
        <v>540</v>
      </c>
      <c r="K595" s="21">
        <f t="shared" ref="K595:K597" si="1015">IF(E595="M"," ",L595*F595)</f>
        <v>4</v>
      </c>
      <c r="L595" s="24">
        <f t="shared" ref="L595:L597" si="1016">IF(E595="M"," ",H595/G595)</f>
        <v>4</v>
      </c>
      <c r="M595" s="24">
        <f t="shared" ref="M595:M597" si="1017">IF($E595="L",$J595,0)</f>
        <v>0</v>
      </c>
      <c r="N595" s="24">
        <f t="shared" ref="N595:N597" si="1018">IF($E595="M",$J595,0)</f>
        <v>0</v>
      </c>
      <c r="O595" s="24">
        <f t="shared" ref="O595:O597" si="1019">IF($E595="P",$J595,0)</f>
        <v>540</v>
      </c>
      <c r="P595" s="24">
        <f t="shared" ref="P595:P597" si="1020">IF($E595="S",$J595,0)</f>
        <v>0</v>
      </c>
      <c r="Q595" s="24">
        <f t="shared" ref="Q595:Q597" si="1021">SUM(M595:P595)</f>
        <v>540</v>
      </c>
      <c r="R595" s="87">
        <v>21</v>
      </c>
      <c r="T595" s="235" t="str">
        <f t="shared" si="1003"/>
        <v xml:space="preserve"> </v>
      </c>
    </row>
    <row r="596" spans="1:21" x14ac:dyDescent="0.25">
      <c r="A596" s="157"/>
      <c r="B596" s="6">
        <v>3</v>
      </c>
      <c r="C596" s="9" t="s">
        <v>27</v>
      </c>
      <c r="D596" s="6" t="s">
        <v>26</v>
      </c>
      <c r="E596" s="17" t="str">
        <f>VLOOKUP(C596,Resources!B:G,3,FALSE)</f>
        <v>P</v>
      </c>
      <c r="F596" s="12">
        <v>2</v>
      </c>
      <c r="G596" s="12">
        <f>G595</f>
        <v>0.25</v>
      </c>
      <c r="H596" s="12">
        <f>H593</f>
        <v>1</v>
      </c>
      <c r="I596" s="12">
        <f>VLOOKUP(C596,Resources!B:G,6,FALSE)</f>
        <v>90</v>
      </c>
      <c r="J596" s="21">
        <f t="shared" si="1014"/>
        <v>720</v>
      </c>
      <c r="K596" s="21">
        <f t="shared" si="1015"/>
        <v>8</v>
      </c>
      <c r="L596" s="24">
        <f t="shared" si="1016"/>
        <v>4</v>
      </c>
      <c r="M596" s="24">
        <f t="shared" si="1017"/>
        <v>0</v>
      </c>
      <c r="N596" s="24">
        <f t="shared" si="1018"/>
        <v>0</v>
      </c>
      <c r="O596" s="24">
        <f t="shared" si="1019"/>
        <v>720</v>
      </c>
      <c r="P596" s="24">
        <f t="shared" si="1020"/>
        <v>0</v>
      </c>
      <c r="Q596" s="24">
        <f t="shared" si="1021"/>
        <v>720</v>
      </c>
      <c r="R596" s="87">
        <v>21</v>
      </c>
      <c r="T596" s="235" t="str">
        <f t="shared" si="1003"/>
        <v xml:space="preserve"> </v>
      </c>
    </row>
    <row r="597" spans="1:21" x14ac:dyDescent="0.25">
      <c r="A597" s="157"/>
      <c r="B597" s="6">
        <v>4</v>
      </c>
      <c r="C597" s="9" t="s">
        <v>8</v>
      </c>
      <c r="D597" s="6" t="s">
        <v>26</v>
      </c>
      <c r="E597" s="17" t="str">
        <f>VLOOKUP(C597,Resources!B:G,3,FALSE)</f>
        <v>L</v>
      </c>
      <c r="F597" s="12">
        <v>3</v>
      </c>
      <c r="G597" s="12">
        <f>G595</f>
        <v>0.25</v>
      </c>
      <c r="H597" s="12">
        <f>H593</f>
        <v>1</v>
      </c>
      <c r="I597" s="12">
        <f>VLOOKUP(C597,Resources!B:G,6,FALSE)</f>
        <v>51.9</v>
      </c>
      <c r="J597" s="21">
        <f t="shared" si="1014"/>
        <v>622.79999999999995</v>
      </c>
      <c r="K597" s="21">
        <f t="shared" si="1015"/>
        <v>12</v>
      </c>
      <c r="L597" s="24">
        <f t="shared" si="1016"/>
        <v>4</v>
      </c>
      <c r="M597" s="24">
        <f t="shared" si="1017"/>
        <v>622.79999999999995</v>
      </c>
      <c r="N597" s="24">
        <f t="shared" si="1018"/>
        <v>0</v>
      </c>
      <c r="O597" s="24">
        <f t="shared" si="1019"/>
        <v>0</v>
      </c>
      <c r="P597" s="24">
        <f t="shared" si="1020"/>
        <v>0</v>
      </c>
      <c r="Q597" s="24">
        <f t="shared" si="1021"/>
        <v>622.79999999999995</v>
      </c>
      <c r="R597" s="87">
        <v>21</v>
      </c>
      <c r="T597" s="235" t="str">
        <f t="shared" si="1003"/>
        <v xml:space="preserve"> </v>
      </c>
    </row>
    <row r="598" spans="1:21" s="19" customFormat="1" x14ac:dyDescent="0.25">
      <c r="A598" s="159"/>
      <c r="B598" s="28">
        <v>5</v>
      </c>
      <c r="C598" s="29" t="s">
        <v>197</v>
      </c>
      <c r="D598" s="28"/>
      <c r="E598" s="30"/>
      <c r="F598" s="31"/>
      <c r="G598" s="31"/>
      <c r="H598" s="31"/>
      <c r="I598" s="31"/>
      <c r="J598" s="32"/>
      <c r="K598" s="32"/>
      <c r="L598" s="33"/>
      <c r="M598" s="33"/>
      <c r="N598" s="33"/>
      <c r="O598" s="33"/>
      <c r="P598" s="33"/>
      <c r="Q598" s="33"/>
      <c r="R598" s="89"/>
      <c r="T598" s="235" t="str">
        <f t="shared" si="1003"/>
        <v xml:space="preserve"> </v>
      </c>
      <c r="U598" s="236"/>
    </row>
    <row r="599" spans="1:21" x14ac:dyDescent="0.25">
      <c r="A599" s="157"/>
      <c r="B599" s="6">
        <v>6</v>
      </c>
      <c r="C599" s="9" t="s">
        <v>198</v>
      </c>
      <c r="D599" s="6" t="s">
        <v>100</v>
      </c>
      <c r="E599" s="17" t="str">
        <f>VLOOKUP(C599,Resources!B:G,3,FALSE)</f>
        <v>M</v>
      </c>
      <c r="F599" s="12">
        <v>1</v>
      </c>
      <c r="G599" s="12">
        <v>1</v>
      </c>
      <c r="H599" s="12">
        <f>H593*35</f>
        <v>35</v>
      </c>
      <c r="I599" s="12">
        <f>VLOOKUP(C599,Resources!B:G,6,FALSE)</f>
        <v>33.75</v>
      </c>
      <c r="J599" s="21">
        <f t="shared" ref="J599:J603" si="1022">(H599/G599)*I599*F599</f>
        <v>1181.25</v>
      </c>
      <c r="K599" s="21" t="str">
        <f t="shared" ref="K599:K603" si="1023">IF(E599="M"," ",L599*F599)</f>
        <v xml:space="preserve"> </v>
      </c>
      <c r="L599" s="24" t="str">
        <f t="shared" ref="L599:L603" si="1024">IF(E599="M"," ",H599/G599)</f>
        <v xml:space="preserve"> </v>
      </c>
      <c r="M599" s="24">
        <f t="shared" ref="M599:M603" si="1025">IF($E599="L",$J599,0)</f>
        <v>0</v>
      </c>
      <c r="N599" s="24">
        <f t="shared" ref="N599:N603" si="1026">IF($E599="M",$J599,0)</f>
        <v>1181.25</v>
      </c>
      <c r="O599" s="24">
        <f t="shared" ref="O599:O603" si="1027">IF($E599="P",$J599,0)</f>
        <v>0</v>
      </c>
      <c r="P599" s="24">
        <f t="shared" ref="P599:P603" si="1028">IF($E599="S",$J599,0)</f>
        <v>0</v>
      </c>
      <c r="Q599" s="24">
        <f t="shared" ref="Q599:Q603" si="1029">SUM(M599:P599)</f>
        <v>1181.25</v>
      </c>
      <c r="R599" s="87" t="s">
        <v>539</v>
      </c>
      <c r="T599" s="235" t="str">
        <f t="shared" si="1003"/>
        <v xml:space="preserve"> </v>
      </c>
    </row>
    <row r="600" spans="1:21" x14ac:dyDescent="0.25">
      <c r="A600" s="157">
        <v>70.2</v>
      </c>
      <c r="B600" s="6">
        <v>7</v>
      </c>
      <c r="C600" s="9" t="s">
        <v>82</v>
      </c>
      <c r="D600" s="6" t="s">
        <v>26</v>
      </c>
      <c r="E600" s="17" t="str">
        <f>VLOOKUP(C600,Resources!B:G,3,FALSE)</f>
        <v>P</v>
      </c>
      <c r="F600" s="12">
        <v>1</v>
      </c>
      <c r="G600" s="26">
        <f>VLOOKUP($A600,'Model Inputs'!$A:$C,3,FALSE)</f>
        <v>0.25</v>
      </c>
      <c r="H600" s="12">
        <f>H593</f>
        <v>1</v>
      </c>
      <c r="I600" s="12">
        <f>VLOOKUP(C600,Resources!B:G,6,FALSE)</f>
        <v>95</v>
      </c>
      <c r="J600" s="21">
        <f t="shared" si="1022"/>
        <v>380</v>
      </c>
      <c r="K600" s="21">
        <f t="shared" si="1023"/>
        <v>4</v>
      </c>
      <c r="L600" s="24">
        <f t="shared" si="1024"/>
        <v>4</v>
      </c>
      <c r="M600" s="24">
        <f t="shared" si="1025"/>
        <v>0</v>
      </c>
      <c r="N600" s="24">
        <f t="shared" si="1026"/>
        <v>0</v>
      </c>
      <c r="O600" s="24">
        <f t="shared" si="1027"/>
        <v>380</v>
      </c>
      <c r="P600" s="24">
        <f t="shared" si="1028"/>
        <v>0</v>
      </c>
      <c r="Q600" s="24">
        <f t="shared" si="1029"/>
        <v>380</v>
      </c>
      <c r="R600" s="87">
        <v>62</v>
      </c>
      <c r="T600" s="235" t="str">
        <f t="shared" si="1003"/>
        <v xml:space="preserve"> </v>
      </c>
    </row>
    <row r="601" spans="1:21" x14ac:dyDescent="0.25">
      <c r="A601" s="157"/>
      <c r="B601" s="6">
        <v>8</v>
      </c>
      <c r="C601" s="9" t="s">
        <v>28</v>
      </c>
      <c r="D601" s="6" t="s">
        <v>26</v>
      </c>
      <c r="E601" s="17" t="str">
        <f>VLOOKUP(C601,Resources!B:G,3,FALSE)</f>
        <v>P</v>
      </c>
      <c r="F601" s="12">
        <v>1</v>
      </c>
      <c r="G601" s="12">
        <f>G600</f>
        <v>0.25</v>
      </c>
      <c r="H601" s="12">
        <f>H593</f>
        <v>1</v>
      </c>
      <c r="I601" s="12">
        <f>VLOOKUP(C601,Resources!B:G,6,FALSE)</f>
        <v>95</v>
      </c>
      <c r="J601" s="21">
        <f t="shared" si="1022"/>
        <v>380</v>
      </c>
      <c r="K601" s="21">
        <f t="shared" si="1023"/>
        <v>4</v>
      </c>
      <c r="L601" s="24">
        <f t="shared" si="1024"/>
        <v>4</v>
      </c>
      <c r="M601" s="24">
        <f t="shared" si="1025"/>
        <v>0</v>
      </c>
      <c r="N601" s="24">
        <f t="shared" si="1026"/>
        <v>0</v>
      </c>
      <c r="O601" s="24">
        <f t="shared" si="1027"/>
        <v>380</v>
      </c>
      <c r="P601" s="24">
        <f t="shared" si="1028"/>
        <v>0</v>
      </c>
      <c r="Q601" s="24">
        <f t="shared" si="1029"/>
        <v>380</v>
      </c>
      <c r="R601" s="87">
        <v>62</v>
      </c>
      <c r="T601" s="235" t="str">
        <f t="shared" si="1003"/>
        <v xml:space="preserve"> </v>
      </c>
    </row>
    <row r="602" spans="1:21" x14ac:dyDescent="0.25">
      <c r="A602" s="157"/>
      <c r="B602" s="6">
        <v>9</v>
      </c>
      <c r="C602" s="9" t="s">
        <v>89</v>
      </c>
      <c r="D602" s="6" t="s">
        <v>26</v>
      </c>
      <c r="E602" s="17" t="str">
        <f>VLOOKUP(C602,Resources!B:G,3,FALSE)</f>
        <v>P</v>
      </c>
      <c r="F602" s="12">
        <v>1</v>
      </c>
      <c r="G602" s="12">
        <f>G600</f>
        <v>0.25</v>
      </c>
      <c r="H602" s="12">
        <f>H593</f>
        <v>1</v>
      </c>
      <c r="I602" s="12">
        <f>VLOOKUP(C602,Resources!B:G,6,FALSE)</f>
        <v>55</v>
      </c>
      <c r="J602" s="21">
        <f t="shared" si="1022"/>
        <v>220</v>
      </c>
      <c r="K602" s="21">
        <f t="shared" si="1023"/>
        <v>4</v>
      </c>
      <c r="L602" s="24">
        <f t="shared" si="1024"/>
        <v>4</v>
      </c>
      <c r="M602" s="24">
        <f t="shared" si="1025"/>
        <v>0</v>
      </c>
      <c r="N602" s="24">
        <f t="shared" si="1026"/>
        <v>0</v>
      </c>
      <c r="O602" s="24">
        <f t="shared" si="1027"/>
        <v>220</v>
      </c>
      <c r="P602" s="24">
        <f t="shared" si="1028"/>
        <v>0</v>
      </c>
      <c r="Q602" s="24">
        <f t="shared" si="1029"/>
        <v>220</v>
      </c>
      <c r="R602" s="87">
        <v>62</v>
      </c>
      <c r="T602" s="235" t="str">
        <f t="shared" si="1003"/>
        <v xml:space="preserve"> </v>
      </c>
    </row>
    <row r="603" spans="1:21" x14ac:dyDescent="0.25">
      <c r="A603" s="157"/>
      <c r="B603" s="6">
        <v>10</v>
      </c>
      <c r="C603" s="9" t="s">
        <v>8</v>
      </c>
      <c r="D603" s="6" t="s">
        <v>26</v>
      </c>
      <c r="E603" s="17" t="str">
        <f>VLOOKUP(C603,Resources!B:G,3,FALSE)</f>
        <v>L</v>
      </c>
      <c r="F603" s="12">
        <v>3</v>
      </c>
      <c r="G603" s="12">
        <f>G600</f>
        <v>0.25</v>
      </c>
      <c r="H603" s="12">
        <f>H593</f>
        <v>1</v>
      </c>
      <c r="I603" s="12">
        <f>VLOOKUP(C603,Resources!B:G,6,FALSE)</f>
        <v>51.9</v>
      </c>
      <c r="J603" s="21">
        <f t="shared" si="1022"/>
        <v>622.79999999999995</v>
      </c>
      <c r="K603" s="21">
        <f t="shared" si="1023"/>
        <v>12</v>
      </c>
      <c r="L603" s="24">
        <f t="shared" si="1024"/>
        <v>4</v>
      </c>
      <c r="M603" s="24">
        <f t="shared" si="1025"/>
        <v>622.79999999999995</v>
      </c>
      <c r="N603" s="24">
        <f t="shared" si="1026"/>
        <v>0</v>
      </c>
      <c r="O603" s="24">
        <f t="shared" si="1027"/>
        <v>0</v>
      </c>
      <c r="P603" s="24">
        <f t="shared" si="1028"/>
        <v>0</v>
      </c>
      <c r="Q603" s="24">
        <f t="shared" si="1029"/>
        <v>622.79999999999995</v>
      </c>
      <c r="R603" s="87">
        <v>62</v>
      </c>
      <c r="T603" s="235" t="str">
        <f t="shared" si="1003"/>
        <v xml:space="preserve"> </v>
      </c>
    </row>
    <row r="604" spans="1:21" x14ac:dyDescent="0.25">
      <c r="F604" s="11"/>
      <c r="G604" s="11"/>
      <c r="H604" s="11"/>
      <c r="I604" s="11"/>
      <c r="J604" s="11"/>
      <c r="K604" s="11"/>
      <c r="R604" s="88"/>
      <c r="T604" s="235" t="str">
        <f t="shared" si="1003"/>
        <v xml:space="preserve"> </v>
      </c>
    </row>
    <row r="605" spans="1:21" ht="30" x14ac:dyDescent="0.25">
      <c r="A605" s="156"/>
      <c r="B605" s="3" t="s">
        <v>259</v>
      </c>
      <c r="C605" s="3" t="s">
        <v>260</v>
      </c>
      <c r="D605" s="4"/>
      <c r="E605" s="15"/>
      <c r="F605" s="10"/>
      <c r="G605" s="10"/>
      <c r="H605" s="10"/>
      <c r="I605" s="10"/>
      <c r="J605" s="10"/>
      <c r="K605" s="10"/>
      <c r="L605" s="23"/>
      <c r="M605" s="23"/>
      <c r="N605" s="23"/>
      <c r="O605" s="23"/>
      <c r="P605" s="23"/>
      <c r="Q605" s="23"/>
      <c r="R605" s="86"/>
      <c r="T605" s="235" t="str">
        <f t="shared" si="1003"/>
        <v xml:space="preserve"> </v>
      </c>
    </row>
    <row r="606" spans="1:21" ht="30" x14ac:dyDescent="0.25">
      <c r="A606" s="156"/>
      <c r="B606" s="3" t="s">
        <v>261</v>
      </c>
      <c r="C606" s="3" t="s">
        <v>16</v>
      </c>
      <c r="D606" s="4"/>
      <c r="E606" s="15"/>
      <c r="F606" s="10"/>
      <c r="G606" s="10"/>
      <c r="H606" s="10"/>
      <c r="I606" s="10"/>
      <c r="J606" s="10"/>
      <c r="K606" s="10"/>
      <c r="L606" s="23"/>
      <c r="M606" s="23"/>
      <c r="N606" s="23"/>
      <c r="O606" s="23"/>
      <c r="P606" s="23"/>
      <c r="Q606" s="23"/>
      <c r="R606" s="86"/>
      <c r="T606" s="235" t="str">
        <f t="shared" si="1003"/>
        <v xml:space="preserve"> </v>
      </c>
    </row>
    <row r="607" spans="1:21" ht="60" x14ac:dyDescent="0.25">
      <c r="A607" s="156"/>
      <c r="B607" s="3" t="s">
        <v>262</v>
      </c>
      <c r="C607" s="3" t="s">
        <v>584</v>
      </c>
      <c r="D607" s="4" t="s">
        <v>18</v>
      </c>
      <c r="E607" s="15"/>
      <c r="F607" s="10"/>
      <c r="G607" s="10"/>
      <c r="H607" s="10">
        <v>1</v>
      </c>
      <c r="I607" s="10"/>
      <c r="J607" s="10"/>
      <c r="K607" s="10"/>
      <c r="L607" s="23"/>
      <c r="M607" s="23"/>
      <c r="N607" s="23"/>
      <c r="O607" s="23"/>
      <c r="P607" s="23"/>
      <c r="Q607" s="23"/>
      <c r="R607" s="86"/>
      <c r="T607" s="235" t="str">
        <f t="shared" si="1003"/>
        <v xml:space="preserve"> </v>
      </c>
    </row>
    <row r="608" spans="1:21" x14ac:dyDescent="0.25">
      <c r="B608" s="5">
        <v>1</v>
      </c>
      <c r="C608" s="8" t="s">
        <v>263</v>
      </c>
      <c r="F608" s="11"/>
      <c r="G608" s="11"/>
      <c r="H608" s="11"/>
      <c r="I608" s="11"/>
      <c r="J608" s="11"/>
      <c r="K608" s="11"/>
      <c r="R608" s="88"/>
      <c r="T608" s="235" t="str">
        <f t="shared" si="1003"/>
        <v xml:space="preserve"> </v>
      </c>
    </row>
    <row r="609" spans="1:21" x14ac:dyDescent="0.25">
      <c r="F609" s="11"/>
      <c r="G609" s="11"/>
      <c r="H609" s="11"/>
      <c r="I609" s="11"/>
      <c r="J609" s="11"/>
      <c r="K609" s="11"/>
      <c r="R609" s="88"/>
      <c r="T609" s="235" t="str">
        <f t="shared" si="1003"/>
        <v xml:space="preserve"> </v>
      </c>
    </row>
    <row r="610" spans="1:21" ht="60" x14ac:dyDescent="0.25">
      <c r="A610" s="156">
        <v>71</v>
      </c>
      <c r="B610" s="3" t="s">
        <v>264</v>
      </c>
      <c r="C610" s="3" t="s">
        <v>620</v>
      </c>
      <c r="D610" s="4" t="s">
        <v>18</v>
      </c>
      <c r="E610" s="15"/>
      <c r="F610" s="10"/>
      <c r="G610" s="10"/>
      <c r="H610" s="26">
        <f>VLOOKUP($A610,'Model Inputs'!$A:$C,3,FALSE)</f>
        <v>1</v>
      </c>
      <c r="I610" s="10"/>
      <c r="J610" s="10">
        <f>SUBTOTAL(9,J611:J614)</f>
        <v>28325.046910652924</v>
      </c>
      <c r="K610" s="10"/>
      <c r="L610" s="10">
        <f>ROUNDUP(MAX(L611:L614)/Workhrs,0)</f>
        <v>13</v>
      </c>
      <c r="M610" s="10">
        <f>SUBTOTAL(9,M611:M614)</f>
        <v>8774.987000000001</v>
      </c>
      <c r="N610" s="10">
        <f t="shared" ref="N610:Q610" si="1030">SUBTOTAL(9,N611:N614)</f>
        <v>0</v>
      </c>
      <c r="O610" s="10">
        <f t="shared" si="1030"/>
        <v>0</v>
      </c>
      <c r="P610" s="10">
        <f t="shared" si="1030"/>
        <v>19550.059910652919</v>
      </c>
      <c r="Q610" s="10">
        <f t="shared" si="1030"/>
        <v>28325.046910652924</v>
      </c>
      <c r="R610" s="86"/>
      <c r="T610" s="235" t="str">
        <f t="shared" si="1003"/>
        <v xml:space="preserve"> </v>
      </c>
    </row>
    <row r="611" spans="1:21" x14ac:dyDescent="0.25">
      <c r="A611" s="157"/>
      <c r="B611" s="6">
        <v>1</v>
      </c>
      <c r="C611" s="9" t="s">
        <v>21</v>
      </c>
      <c r="D611" s="6" t="s">
        <v>20</v>
      </c>
      <c r="E611" s="17" t="str">
        <f>VLOOKUP(C611,Resources!B:G,3,FALSE)</f>
        <v>L</v>
      </c>
      <c r="F611" s="12">
        <v>1</v>
      </c>
      <c r="G611" s="12">
        <v>1</v>
      </c>
      <c r="H611" s="12">
        <f>H610/2</f>
        <v>0.5</v>
      </c>
      <c r="I611" s="12">
        <f>VLOOKUP(C611,Resources!B:G,6,FALSE)</f>
        <v>3250</v>
      </c>
      <c r="J611" s="21">
        <f t="shared" ref="J611:J614" si="1031">(H611/G611)*I611*F611</f>
        <v>1625</v>
      </c>
      <c r="K611" s="21">
        <f t="shared" ref="K611:K614" si="1032">IF(E611="M"," ",L611*F611)</f>
        <v>0.5</v>
      </c>
      <c r="L611" s="24">
        <f t="shared" ref="L611:L614" si="1033">IF(E611="M"," ",H611/G611)</f>
        <v>0.5</v>
      </c>
      <c r="M611" s="24">
        <f t="shared" ref="M611:M614" si="1034">IF($E611="L",$J611,0)</f>
        <v>1625</v>
      </c>
      <c r="N611" s="24">
        <f t="shared" ref="N611:N614" si="1035">IF($E611="M",$J611,0)</f>
        <v>0</v>
      </c>
      <c r="O611" s="24">
        <f t="shared" ref="O611:O614" si="1036">IF($E611="P",$J611,0)</f>
        <v>0</v>
      </c>
      <c r="P611" s="24">
        <f t="shared" ref="P611:P614" si="1037">IF($E611="S",$J611,0)</f>
        <v>0</v>
      </c>
      <c r="Q611" s="24">
        <f t="shared" ref="Q611:Q614" si="1038">SUM(M611:P611)</f>
        <v>1625</v>
      </c>
      <c r="R611" s="87">
        <v>901</v>
      </c>
      <c r="T611" s="235" t="str">
        <f t="shared" si="1003"/>
        <v xml:space="preserve"> </v>
      </c>
    </row>
    <row r="612" spans="1:21" s="18" customFormat="1" x14ac:dyDescent="0.25">
      <c r="A612" s="157"/>
      <c r="B612" s="6">
        <v>2</v>
      </c>
      <c r="C612" s="9" t="s">
        <v>265</v>
      </c>
      <c r="D612" s="6" t="s">
        <v>26</v>
      </c>
      <c r="E612" s="17" t="str">
        <f>VLOOKUP(C612,Resources!B:G,3,FALSE)</f>
        <v>L</v>
      </c>
      <c r="F612" s="12">
        <v>1</v>
      </c>
      <c r="G612" s="12">
        <v>1</v>
      </c>
      <c r="H612" s="12">
        <f>H610*12.2222*9</f>
        <v>109.99980000000001</v>
      </c>
      <c r="I612" s="12">
        <f>VLOOKUP(C612,Resources!B:G,6,FALSE)</f>
        <v>65</v>
      </c>
      <c r="J612" s="21">
        <f t="shared" si="1031"/>
        <v>7149.9870000000001</v>
      </c>
      <c r="K612" s="21">
        <f t="shared" si="1032"/>
        <v>109.99980000000001</v>
      </c>
      <c r="L612" s="24">
        <f t="shared" si="1033"/>
        <v>109.99980000000001</v>
      </c>
      <c r="M612" s="24">
        <f t="shared" si="1034"/>
        <v>7149.9870000000001</v>
      </c>
      <c r="N612" s="24">
        <f t="shared" si="1035"/>
        <v>0</v>
      </c>
      <c r="O612" s="24">
        <f t="shared" si="1036"/>
        <v>0</v>
      </c>
      <c r="P612" s="24">
        <f t="shared" si="1037"/>
        <v>0</v>
      </c>
      <c r="Q612" s="24">
        <f t="shared" si="1038"/>
        <v>7149.9870000000001</v>
      </c>
      <c r="R612" s="87">
        <v>141</v>
      </c>
      <c r="T612" s="235" t="str">
        <f t="shared" si="1003"/>
        <v xml:space="preserve"> </v>
      </c>
      <c r="U612" s="232"/>
    </row>
    <row r="613" spans="1:21" s="18" customFormat="1" x14ac:dyDescent="0.25">
      <c r="A613" s="157"/>
      <c r="B613" s="6">
        <v>3</v>
      </c>
      <c r="C613" s="9" t="s">
        <v>266</v>
      </c>
      <c r="D613" s="6" t="s">
        <v>26</v>
      </c>
      <c r="E613" s="17" t="str">
        <f>VLOOKUP(C613,Resources!B:G,3,FALSE)</f>
        <v>S</v>
      </c>
      <c r="F613" s="12">
        <v>1</v>
      </c>
      <c r="G613" s="12">
        <v>1</v>
      </c>
      <c r="H613" s="12">
        <f>H612</f>
        <v>109.99980000000001</v>
      </c>
      <c r="I613" s="12">
        <f>VLOOKUP(C613,Resources!B:G,6,FALSE)</f>
        <v>130</v>
      </c>
      <c r="J613" s="21">
        <f t="shared" si="1031"/>
        <v>14299.974</v>
      </c>
      <c r="K613" s="21">
        <f t="shared" si="1032"/>
        <v>109.99980000000001</v>
      </c>
      <c r="L613" s="24">
        <f t="shared" si="1033"/>
        <v>109.99980000000001</v>
      </c>
      <c r="M613" s="24">
        <f t="shared" si="1034"/>
        <v>0</v>
      </c>
      <c r="N613" s="24">
        <f t="shared" si="1035"/>
        <v>0</v>
      </c>
      <c r="O613" s="24">
        <f t="shared" si="1036"/>
        <v>0</v>
      </c>
      <c r="P613" s="24">
        <f t="shared" si="1037"/>
        <v>14299.974</v>
      </c>
      <c r="Q613" s="24">
        <f t="shared" si="1038"/>
        <v>14299.974</v>
      </c>
      <c r="R613" s="87">
        <v>141</v>
      </c>
      <c r="T613" s="235" t="str">
        <f t="shared" si="1003"/>
        <v xml:space="preserve"> </v>
      </c>
      <c r="U613" s="232"/>
    </row>
    <row r="614" spans="1:21" s="18" customFormat="1" x14ac:dyDescent="0.25">
      <c r="A614" s="157"/>
      <c r="B614" s="6">
        <v>4</v>
      </c>
      <c r="C614" s="9" t="s">
        <v>24</v>
      </c>
      <c r="D614" s="6" t="s">
        <v>25</v>
      </c>
      <c r="E614" s="17" t="str">
        <f>VLOOKUP(C614,Resources!B:G,3,FALSE)</f>
        <v>S</v>
      </c>
      <c r="F614" s="12">
        <v>3</v>
      </c>
      <c r="G614" s="12">
        <v>1</v>
      </c>
      <c r="H614" s="12">
        <f>H612/7.857</f>
        <v>14.000229095074456</v>
      </c>
      <c r="I614" s="12">
        <f>VLOOKUP(C614,Resources!B:G,6,FALSE)</f>
        <v>125</v>
      </c>
      <c r="J614" s="21">
        <f t="shared" si="1031"/>
        <v>5250.0859106529206</v>
      </c>
      <c r="K614" s="21">
        <f t="shared" si="1032"/>
        <v>42.000687285223364</v>
      </c>
      <c r="L614" s="24">
        <f t="shared" si="1033"/>
        <v>14.000229095074456</v>
      </c>
      <c r="M614" s="24">
        <f t="shared" si="1034"/>
        <v>0</v>
      </c>
      <c r="N614" s="24">
        <f t="shared" si="1035"/>
        <v>0</v>
      </c>
      <c r="O614" s="24">
        <f t="shared" si="1036"/>
        <v>0</v>
      </c>
      <c r="P614" s="24">
        <f t="shared" si="1037"/>
        <v>5250.0859106529206</v>
      </c>
      <c r="Q614" s="24">
        <f t="shared" si="1038"/>
        <v>5250.0859106529206</v>
      </c>
      <c r="R614" s="87">
        <v>911</v>
      </c>
      <c r="T614" s="235" t="str">
        <f t="shared" si="1003"/>
        <v xml:space="preserve"> </v>
      </c>
      <c r="U614" s="232"/>
    </row>
    <row r="615" spans="1:21" x14ac:dyDescent="0.25">
      <c r="F615" s="11"/>
      <c r="G615" s="11"/>
      <c r="H615" s="11"/>
      <c r="I615" s="11"/>
      <c r="J615" s="11"/>
      <c r="K615" s="11"/>
      <c r="R615" s="88"/>
      <c r="T615" s="235" t="str">
        <f t="shared" si="1003"/>
        <v xml:space="preserve"> </v>
      </c>
    </row>
    <row r="616" spans="1:21" ht="30" x14ac:dyDescent="0.25">
      <c r="A616" s="156">
        <v>72</v>
      </c>
      <c r="B616" s="3" t="s">
        <v>267</v>
      </c>
      <c r="C616" s="3" t="s">
        <v>34</v>
      </c>
      <c r="D616" s="4" t="s">
        <v>18</v>
      </c>
      <c r="E616" s="15"/>
      <c r="F616" s="10"/>
      <c r="G616" s="10"/>
      <c r="H616" s="26">
        <f>VLOOKUP($A616,'Model Inputs'!$A:$C,3,FALSE)</f>
        <v>1</v>
      </c>
      <c r="I616" s="10"/>
      <c r="J616" s="10">
        <f>SUBTOTAL(9,J617:J619)</f>
        <v>5180</v>
      </c>
      <c r="K616" s="10"/>
      <c r="L616" s="10">
        <f>ROUNDUP(SUM(L617:L619)/Workhrs,0)</f>
        <v>4</v>
      </c>
      <c r="M616" s="10">
        <f>SUBTOTAL(9,M617:M619)</f>
        <v>5180</v>
      </c>
      <c r="N616" s="10">
        <f t="shared" ref="N616:Q616" si="1039">SUBTOTAL(9,N617:N619)</f>
        <v>0</v>
      </c>
      <c r="O616" s="10">
        <f t="shared" si="1039"/>
        <v>0</v>
      </c>
      <c r="P616" s="10">
        <f t="shared" si="1039"/>
        <v>0</v>
      </c>
      <c r="Q616" s="10">
        <f t="shared" si="1039"/>
        <v>5180</v>
      </c>
      <c r="R616" s="86"/>
      <c r="T616" s="235" t="str">
        <f t="shared" si="1003"/>
        <v xml:space="preserve"> </v>
      </c>
    </row>
    <row r="617" spans="1:21" x14ac:dyDescent="0.25">
      <c r="A617" s="157"/>
      <c r="B617" s="6">
        <v>1</v>
      </c>
      <c r="C617" s="9" t="s">
        <v>35</v>
      </c>
      <c r="D617" s="6" t="s">
        <v>26</v>
      </c>
      <c r="E617" s="17" t="str">
        <f>VLOOKUP(C617,Resources!B:G,3,FALSE)</f>
        <v>L</v>
      </c>
      <c r="F617" s="12">
        <v>1</v>
      </c>
      <c r="G617" s="12">
        <v>1</v>
      </c>
      <c r="H617" s="12">
        <f>H616*8</f>
        <v>8</v>
      </c>
      <c r="I617" s="12">
        <f>VLOOKUP(C617,Resources!B:G,6,FALSE)</f>
        <v>185</v>
      </c>
      <c r="J617" s="21">
        <f t="shared" ref="J617:J619" si="1040">(H617/G617)*I617*F617</f>
        <v>1480</v>
      </c>
      <c r="K617" s="21">
        <f t="shared" ref="K617:K619" si="1041">IF(E617="M"," ",L617*F617)</f>
        <v>8</v>
      </c>
      <c r="L617" s="24">
        <f t="shared" ref="L617:L619" si="1042">IF(E617="M"," ",H617/G617)</f>
        <v>8</v>
      </c>
      <c r="M617" s="24">
        <f t="shared" ref="M617:M619" si="1043">IF($E617="L",$J617,0)</f>
        <v>1480</v>
      </c>
      <c r="N617" s="24">
        <f t="shared" ref="N617:N619" si="1044">IF($E617="M",$J617,0)</f>
        <v>0</v>
      </c>
      <c r="O617" s="24">
        <f t="shared" ref="O617:O619" si="1045">IF($E617="P",$J617,0)</f>
        <v>0</v>
      </c>
      <c r="P617" s="24">
        <f t="shared" ref="P617:P619" si="1046">IF($E617="S",$J617,0)</f>
        <v>0</v>
      </c>
      <c r="Q617" s="24">
        <f t="shared" ref="Q617:Q619" si="1047">SUM(M617:P617)</f>
        <v>1480</v>
      </c>
      <c r="R617" s="87">
        <v>11</v>
      </c>
      <c r="T617" s="235" t="str">
        <f t="shared" si="1003"/>
        <v xml:space="preserve"> </v>
      </c>
    </row>
    <row r="618" spans="1:21" x14ac:dyDescent="0.25">
      <c r="A618" s="157"/>
      <c r="B618" s="6">
        <v>2</v>
      </c>
      <c r="C618" s="9" t="s">
        <v>35</v>
      </c>
      <c r="D618" s="6" t="s">
        <v>26</v>
      </c>
      <c r="E618" s="17" t="str">
        <f>VLOOKUP(C618,Resources!B:G,3,FALSE)</f>
        <v>L</v>
      </c>
      <c r="F618" s="12">
        <v>1</v>
      </c>
      <c r="G618" s="12">
        <v>1</v>
      </c>
      <c r="H618" s="12">
        <f>H616*12</f>
        <v>12</v>
      </c>
      <c r="I618" s="12">
        <f>VLOOKUP(C618,Resources!B:G,6,FALSE)</f>
        <v>185</v>
      </c>
      <c r="J618" s="21">
        <f t="shared" si="1040"/>
        <v>2220</v>
      </c>
      <c r="K618" s="21">
        <f t="shared" si="1041"/>
        <v>12</v>
      </c>
      <c r="L618" s="24">
        <f t="shared" si="1042"/>
        <v>12</v>
      </c>
      <c r="M618" s="24">
        <f t="shared" si="1043"/>
        <v>2220</v>
      </c>
      <c r="N618" s="24">
        <f t="shared" si="1044"/>
        <v>0</v>
      </c>
      <c r="O618" s="24">
        <f t="shared" si="1045"/>
        <v>0</v>
      </c>
      <c r="P618" s="24">
        <f t="shared" si="1046"/>
        <v>0</v>
      </c>
      <c r="Q618" s="24">
        <f t="shared" si="1047"/>
        <v>2220</v>
      </c>
      <c r="R618" s="87">
        <v>11</v>
      </c>
      <c r="T618" s="235" t="str">
        <f t="shared" si="1003"/>
        <v xml:space="preserve"> </v>
      </c>
    </row>
    <row r="619" spans="1:21" x14ac:dyDescent="0.25">
      <c r="A619" s="157"/>
      <c r="B619" s="6">
        <v>3</v>
      </c>
      <c r="C619" s="9" t="s">
        <v>35</v>
      </c>
      <c r="D619" s="6" t="s">
        <v>26</v>
      </c>
      <c r="E619" s="17" t="str">
        <f>VLOOKUP(C619,Resources!B:G,3,FALSE)</f>
        <v>L</v>
      </c>
      <c r="F619" s="12">
        <v>1</v>
      </c>
      <c r="G619" s="12">
        <v>1</v>
      </c>
      <c r="H619" s="12">
        <f>H616*8</f>
        <v>8</v>
      </c>
      <c r="I619" s="12">
        <f>VLOOKUP(C619,Resources!B:G,6,FALSE)</f>
        <v>185</v>
      </c>
      <c r="J619" s="21">
        <f t="shared" si="1040"/>
        <v>1480</v>
      </c>
      <c r="K619" s="21">
        <f t="shared" si="1041"/>
        <v>8</v>
      </c>
      <c r="L619" s="24">
        <f t="shared" si="1042"/>
        <v>8</v>
      </c>
      <c r="M619" s="24">
        <f t="shared" si="1043"/>
        <v>1480</v>
      </c>
      <c r="N619" s="24">
        <f t="shared" si="1044"/>
        <v>0</v>
      </c>
      <c r="O619" s="24">
        <f t="shared" si="1045"/>
        <v>0</v>
      </c>
      <c r="P619" s="24">
        <f t="shared" si="1046"/>
        <v>0</v>
      </c>
      <c r="Q619" s="24">
        <f t="shared" si="1047"/>
        <v>1480</v>
      </c>
      <c r="R619" s="87">
        <v>11</v>
      </c>
      <c r="T619" s="235" t="str">
        <f t="shared" si="1003"/>
        <v xml:space="preserve"> </v>
      </c>
    </row>
    <row r="620" spans="1:21" x14ac:dyDescent="0.25">
      <c r="F620" s="11"/>
      <c r="G620" s="11"/>
      <c r="H620" s="11"/>
      <c r="I620" s="11"/>
      <c r="J620" s="11"/>
      <c r="K620" s="11"/>
      <c r="R620" s="88"/>
      <c r="T620" s="235" t="str">
        <f t="shared" si="1003"/>
        <v xml:space="preserve"> </v>
      </c>
    </row>
    <row r="621" spans="1:21" ht="45" x14ac:dyDescent="0.25">
      <c r="A621" s="156"/>
      <c r="B621" s="3" t="s">
        <v>268</v>
      </c>
      <c r="C621" s="3" t="s">
        <v>37</v>
      </c>
      <c r="D621" s="4"/>
      <c r="E621" s="15"/>
      <c r="F621" s="10"/>
      <c r="G621" s="10"/>
      <c r="H621" s="10"/>
      <c r="I621" s="10"/>
      <c r="J621" s="10"/>
      <c r="K621" s="10"/>
      <c r="L621" s="23"/>
      <c r="M621" s="23"/>
      <c r="N621" s="23"/>
      <c r="O621" s="23"/>
      <c r="P621" s="23"/>
      <c r="Q621" s="23"/>
      <c r="R621" s="86"/>
      <c r="T621" s="235" t="str">
        <f t="shared" si="1003"/>
        <v xml:space="preserve"> </v>
      </c>
    </row>
    <row r="622" spans="1:21" ht="45" x14ac:dyDescent="0.25">
      <c r="A622" s="156">
        <v>73</v>
      </c>
      <c r="B622" s="3" t="s">
        <v>269</v>
      </c>
      <c r="C622" s="3" t="s">
        <v>39</v>
      </c>
      <c r="D622" s="4" t="s">
        <v>18</v>
      </c>
      <c r="E622" s="15"/>
      <c r="F622" s="10"/>
      <c r="G622" s="10"/>
      <c r="H622" s="26">
        <f>VLOOKUP($A622,'Model Inputs'!$A:$C,3,FALSE)</f>
        <v>1</v>
      </c>
      <c r="I622" s="10"/>
      <c r="J622" s="10">
        <f>SUBTOTAL(9,J623)</f>
        <v>2800</v>
      </c>
      <c r="K622" s="10"/>
      <c r="L622" s="10">
        <v>1</v>
      </c>
      <c r="M622" s="10">
        <f>SUBTOTAL(9,M623)</f>
        <v>0</v>
      </c>
      <c r="N622" s="10">
        <f t="shared" ref="N622:Q622" si="1048">SUBTOTAL(9,N623)</f>
        <v>0</v>
      </c>
      <c r="O622" s="10">
        <f t="shared" si="1048"/>
        <v>0</v>
      </c>
      <c r="P622" s="10">
        <f t="shared" si="1048"/>
        <v>2800</v>
      </c>
      <c r="Q622" s="10">
        <f t="shared" si="1048"/>
        <v>2800</v>
      </c>
      <c r="R622" s="86"/>
      <c r="T622" s="235" t="str">
        <f t="shared" si="1003"/>
        <v xml:space="preserve"> </v>
      </c>
    </row>
    <row r="623" spans="1:21" s="18" customFormat="1" x14ac:dyDescent="0.25">
      <c r="A623" s="157"/>
      <c r="B623" s="6">
        <v>1</v>
      </c>
      <c r="C623" s="9" t="s">
        <v>40</v>
      </c>
      <c r="D623" s="6" t="s">
        <v>18</v>
      </c>
      <c r="E623" s="17" t="str">
        <f>VLOOKUP(C623,Resources!B:G,3,FALSE)</f>
        <v>S</v>
      </c>
      <c r="F623" s="12">
        <v>1</v>
      </c>
      <c r="G623" s="12">
        <v>1</v>
      </c>
      <c r="H623" s="12">
        <f>H622*2800</f>
        <v>2800</v>
      </c>
      <c r="I623" s="12">
        <f>VLOOKUP(C623,Resources!B:G,6,FALSE)</f>
        <v>1</v>
      </c>
      <c r="J623" s="21">
        <f t="shared" ref="J623" si="1049">(H623/G623)*I623*F623</f>
        <v>2800</v>
      </c>
      <c r="K623" s="21">
        <f t="shared" ref="K623" si="1050">IF(E623="M"," ",L623*F623)</f>
        <v>2800</v>
      </c>
      <c r="L623" s="24">
        <f t="shared" ref="L623" si="1051">IF(E623="M"," ",H623/G623)</f>
        <v>2800</v>
      </c>
      <c r="M623" s="24">
        <f>IF($E623="L",$J623,0)</f>
        <v>0</v>
      </c>
      <c r="N623" s="24">
        <f>IF($E623="M",$J623,0)</f>
        <v>0</v>
      </c>
      <c r="O623" s="24">
        <f>IF($E623="P",$J623,0)</f>
        <v>0</v>
      </c>
      <c r="P623" s="24">
        <f>IF($E623="S",$J623,0)</f>
        <v>2800</v>
      </c>
      <c r="Q623" s="24">
        <f>SUM(M623:P623)</f>
        <v>2800</v>
      </c>
      <c r="R623" s="87">
        <v>904</v>
      </c>
      <c r="T623" s="235" t="str">
        <f t="shared" si="1003"/>
        <v xml:space="preserve"> </v>
      </c>
      <c r="U623" s="232"/>
    </row>
    <row r="624" spans="1:21" x14ac:dyDescent="0.25">
      <c r="F624" s="11"/>
      <c r="G624" s="11"/>
      <c r="H624" s="11"/>
      <c r="I624" s="11"/>
      <c r="J624" s="11"/>
      <c r="K624" s="11"/>
      <c r="R624" s="88"/>
      <c r="T624" s="235" t="str">
        <f t="shared" si="1003"/>
        <v xml:space="preserve"> </v>
      </c>
    </row>
    <row r="625" spans="1:20" ht="30" x14ac:dyDescent="0.25">
      <c r="A625" s="156">
        <v>74</v>
      </c>
      <c r="B625" s="3" t="s">
        <v>270</v>
      </c>
      <c r="C625" s="3" t="s">
        <v>42</v>
      </c>
      <c r="D625" s="4" t="s">
        <v>18</v>
      </c>
      <c r="E625" s="15"/>
      <c r="F625" s="10"/>
      <c r="G625" s="10"/>
      <c r="H625" s="26">
        <f>VLOOKUP($A625,'Model Inputs'!$A:$C,3,FALSE)</f>
        <v>1</v>
      </c>
      <c r="I625" s="10"/>
      <c r="J625" s="10">
        <f>SUBTOTAL(9,J626:J627)</f>
        <v>3200</v>
      </c>
      <c r="K625" s="10"/>
      <c r="L625" s="10">
        <f>ROUNDUP(MAX(L626:L627)/Workhrs,0)</f>
        <v>1</v>
      </c>
      <c r="M625" s="10">
        <f>SUBTOTAL(9,M626:M627)</f>
        <v>1600</v>
      </c>
      <c r="N625" s="10">
        <f t="shared" ref="N625:Q625" si="1052">SUBTOTAL(9,N626:N627)</f>
        <v>0</v>
      </c>
      <c r="O625" s="10">
        <f t="shared" si="1052"/>
        <v>0</v>
      </c>
      <c r="P625" s="10">
        <f t="shared" si="1052"/>
        <v>1600</v>
      </c>
      <c r="Q625" s="10">
        <f t="shared" si="1052"/>
        <v>3200</v>
      </c>
      <c r="R625" s="86"/>
      <c r="T625" s="235" t="str">
        <f t="shared" si="1003"/>
        <v xml:space="preserve"> </v>
      </c>
    </row>
    <row r="626" spans="1:20" x14ac:dyDescent="0.25">
      <c r="A626" s="157"/>
      <c r="B626" s="6">
        <v>1</v>
      </c>
      <c r="C626" s="9" t="s">
        <v>43</v>
      </c>
      <c r="D626" s="6" t="s">
        <v>20</v>
      </c>
      <c r="E626" s="17" t="str">
        <f>VLOOKUP(C626,Resources!B:G,3,FALSE)</f>
        <v>L</v>
      </c>
      <c r="F626" s="12">
        <v>1</v>
      </c>
      <c r="G626" s="12">
        <v>1</v>
      </c>
      <c r="H626" s="12">
        <f>H625/2</f>
        <v>0.5</v>
      </c>
      <c r="I626" s="12">
        <f>VLOOKUP(C626,Resources!B:G,6,FALSE)</f>
        <v>3200</v>
      </c>
      <c r="J626" s="21">
        <f t="shared" ref="J626:J627" si="1053">(H626/G626)*I626*F626</f>
        <v>1600</v>
      </c>
      <c r="K626" s="21">
        <f t="shared" ref="K626:K627" si="1054">IF(E626="M"," ",L626*F626)</f>
        <v>0.5</v>
      </c>
      <c r="L626" s="24">
        <f t="shared" ref="L626:L627" si="1055">IF(E626="M"," ",H626/G626)</f>
        <v>0.5</v>
      </c>
      <c r="M626" s="24">
        <f t="shared" ref="M626:M627" si="1056">IF($E626="L",$J626,0)</f>
        <v>1600</v>
      </c>
      <c r="N626" s="24">
        <f t="shared" ref="N626:N627" si="1057">IF($E626="M",$J626,0)</f>
        <v>0</v>
      </c>
      <c r="O626" s="24">
        <f t="shared" ref="O626:O627" si="1058">IF($E626="P",$J626,0)</f>
        <v>0</v>
      </c>
      <c r="P626" s="24">
        <f t="shared" ref="P626:P627" si="1059">IF($E626="S",$J626,0)</f>
        <v>0</v>
      </c>
      <c r="Q626" s="24">
        <f t="shared" ref="Q626:Q627" si="1060">SUM(M626:P626)</f>
        <v>1600</v>
      </c>
      <c r="R626" s="87">
        <v>901</v>
      </c>
      <c r="T626" s="235" t="str">
        <f t="shared" si="1003"/>
        <v xml:space="preserve"> </v>
      </c>
    </row>
    <row r="627" spans="1:20" x14ac:dyDescent="0.25">
      <c r="A627" s="157"/>
      <c r="B627" s="6">
        <v>2</v>
      </c>
      <c r="C627" s="9" t="s">
        <v>44</v>
      </c>
      <c r="D627" s="6" t="s">
        <v>26</v>
      </c>
      <c r="E627" s="17" t="str">
        <f>VLOOKUP(C627,Resources!B:G,3,FALSE)</f>
        <v>S</v>
      </c>
      <c r="F627" s="12">
        <v>1</v>
      </c>
      <c r="G627" s="12">
        <v>1</v>
      </c>
      <c r="H627" s="12">
        <f>H625*8</f>
        <v>8</v>
      </c>
      <c r="I627" s="12">
        <f>VLOOKUP(C627,Resources!B:G,6,FALSE)</f>
        <v>200</v>
      </c>
      <c r="J627" s="21">
        <f t="shared" si="1053"/>
        <v>1600</v>
      </c>
      <c r="K627" s="21">
        <f t="shared" si="1054"/>
        <v>8</v>
      </c>
      <c r="L627" s="24">
        <f t="shared" si="1055"/>
        <v>8</v>
      </c>
      <c r="M627" s="24">
        <f t="shared" si="1056"/>
        <v>0</v>
      </c>
      <c r="N627" s="24">
        <f t="shared" si="1057"/>
        <v>0</v>
      </c>
      <c r="O627" s="24">
        <f t="shared" si="1058"/>
        <v>0</v>
      </c>
      <c r="P627" s="24">
        <f t="shared" si="1059"/>
        <v>1600</v>
      </c>
      <c r="Q627" s="24">
        <f t="shared" si="1060"/>
        <v>1600</v>
      </c>
      <c r="R627" s="87">
        <v>15</v>
      </c>
      <c r="T627" s="235" t="str">
        <f t="shared" si="1003"/>
        <v xml:space="preserve"> </v>
      </c>
    </row>
    <row r="628" spans="1:20" x14ac:dyDescent="0.25">
      <c r="F628" s="11"/>
      <c r="G628" s="11"/>
      <c r="H628" s="11"/>
      <c r="I628" s="11"/>
      <c r="J628" s="11"/>
      <c r="K628" s="11"/>
      <c r="R628" s="88"/>
      <c r="T628" s="235" t="str">
        <f t="shared" si="1003"/>
        <v xml:space="preserve"> </v>
      </c>
    </row>
    <row r="629" spans="1:20" ht="30" x14ac:dyDescent="0.25">
      <c r="A629" s="156">
        <v>75</v>
      </c>
      <c r="B629" s="3" t="s">
        <v>271</v>
      </c>
      <c r="C629" s="3" t="s">
        <v>46</v>
      </c>
      <c r="D629" s="4" t="s">
        <v>18</v>
      </c>
      <c r="E629" s="15"/>
      <c r="F629" s="10"/>
      <c r="G629" s="10"/>
      <c r="H629" s="26">
        <f>VLOOKUP($A629,'Model Inputs'!$A:$C,3,FALSE)</f>
        <v>1</v>
      </c>
      <c r="I629" s="10"/>
      <c r="J629" s="10">
        <f>SUBTOTAL(9,J630:J632)</f>
        <v>5920</v>
      </c>
      <c r="K629" s="10"/>
      <c r="L629" s="10">
        <f>ROUNDUP(MAX(L630:L632)/Workhrs,0)</f>
        <v>2</v>
      </c>
      <c r="M629" s="10">
        <f>SUBTOTAL(9,M630:M632)</f>
        <v>5920</v>
      </c>
      <c r="N629" s="10">
        <f t="shared" ref="N629:Q629" si="1061">SUBTOTAL(9,N630:N632)</f>
        <v>0</v>
      </c>
      <c r="O629" s="10">
        <f t="shared" si="1061"/>
        <v>0</v>
      </c>
      <c r="P629" s="10">
        <f t="shared" si="1061"/>
        <v>0</v>
      </c>
      <c r="Q629" s="10">
        <f t="shared" si="1061"/>
        <v>5920</v>
      </c>
      <c r="R629" s="86"/>
      <c r="T629" s="235" t="str">
        <f t="shared" si="1003"/>
        <v xml:space="preserve"> </v>
      </c>
    </row>
    <row r="630" spans="1:20" x14ac:dyDescent="0.25">
      <c r="A630" s="157"/>
      <c r="B630" s="6">
        <v>1</v>
      </c>
      <c r="C630" s="9" t="s">
        <v>35</v>
      </c>
      <c r="D630" s="6" t="s">
        <v>26</v>
      </c>
      <c r="E630" s="17" t="str">
        <f>VLOOKUP(C630,Resources!B:G,3,FALSE)</f>
        <v>L</v>
      </c>
      <c r="F630" s="12">
        <v>1</v>
      </c>
      <c r="G630" s="12">
        <v>1</v>
      </c>
      <c r="H630" s="12">
        <f>H629*18</f>
        <v>18</v>
      </c>
      <c r="I630" s="12">
        <f>VLOOKUP(C630,Resources!B:G,6,FALSE)</f>
        <v>185</v>
      </c>
      <c r="J630" s="21">
        <f t="shared" ref="J630:J632" si="1062">(H630/G630)*I630*F630</f>
        <v>3330</v>
      </c>
      <c r="K630" s="21">
        <f t="shared" ref="K630:K632" si="1063">IF(E630="M"," ",L630*F630)</f>
        <v>18</v>
      </c>
      <c r="L630" s="24">
        <f t="shared" ref="L630:L632" si="1064">IF(E630="M"," ",H630/G630)</f>
        <v>18</v>
      </c>
      <c r="M630" s="24">
        <f t="shared" ref="M630:M632" si="1065">IF($E630="L",$J630,0)</f>
        <v>3330</v>
      </c>
      <c r="N630" s="24">
        <f t="shared" ref="N630:N632" si="1066">IF($E630="M",$J630,0)</f>
        <v>0</v>
      </c>
      <c r="O630" s="24">
        <f t="shared" ref="O630:O632" si="1067">IF($E630="P",$J630,0)</f>
        <v>0</v>
      </c>
      <c r="P630" s="24">
        <f t="shared" ref="P630:P632" si="1068">IF($E630="S",$J630,0)</f>
        <v>0</v>
      </c>
      <c r="Q630" s="24">
        <f t="shared" ref="Q630:Q632" si="1069">SUM(M630:P630)</f>
        <v>3330</v>
      </c>
      <c r="R630" s="87">
        <v>11</v>
      </c>
      <c r="T630" s="235" t="str">
        <f t="shared" si="1003"/>
        <v xml:space="preserve"> </v>
      </c>
    </row>
    <row r="631" spans="1:20" x14ac:dyDescent="0.25">
      <c r="A631" s="157"/>
      <c r="B631" s="6">
        <v>2</v>
      </c>
      <c r="C631" s="9" t="s">
        <v>35</v>
      </c>
      <c r="D631" s="6" t="s">
        <v>26</v>
      </c>
      <c r="E631" s="17" t="str">
        <f>VLOOKUP(C631,Resources!B:G,3,FALSE)</f>
        <v>L</v>
      </c>
      <c r="F631" s="12">
        <v>1</v>
      </c>
      <c r="G631" s="12">
        <v>1</v>
      </c>
      <c r="H631" s="12">
        <f>H629*6</f>
        <v>6</v>
      </c>
      <c r="I631" s="12">
        <f>VLOOKUP(C631,Resources!B:G,6,FALSE)</f>
        <v>185</v>
      </c>
      <c r="J631" s="21">
        <f t="shared" si="1062"/>
        <v>1110</v>
      </c>
      <c r="K631" s="21">
        <f t="shared" si="1063"/>
        <v>6</v>
      </c>
      <c r="L631" s="24">
        <f t="shared" si="1064"/>
        <v>6</v>
      </c>
      <c r="M631" s="24">
        <f t="shared" si="1065"/>
        <v>1110</v>
      </c>
      <c r="N631" s="24">
        <f t="shared" si="1066"/>
        <v>0</v>
      </c>
      <c r="O631" s="24">
        <f t="shared" si="1067"/>
        <v>0</v>
      </c>
      <c r="P631" s="24">
        <f t="shared" si="1068"/>
        <v>0</v>
      </c>
      <c r="Q631" s="24">
        <f t="shared" si="1069"/>
        <v>1110</v>
      </c>
      <c r="R631" s="87">
        <v>11</v>
      </c>
      <c r="T631" s="235" t="str">
        <f t="shared" si="1003"/>
        <v xml:space="preserve"> </v>
      </c>
    </row>
    <row r="632" spans="1:20" x14ac:dyDescent="0.25">
      <c r="A632" s="157"/>
      <c r="B632" s="6">
        <v>3</v>
      </c>
      <c r="C632" s="9" t="s">
        <v>35</v>
      </c>
      <c r="D632" s="6" t="s">
        <v>26</v>
      </c>
      <c r="E632" s="17" t="str">
        <f>VLOOKUP(C632,Resources!B:G,3,FALSE)</f>
        <v>L</v>
      </c>
      <c r="F632" s="12">
        <v>1</v>
      </c>
      <c r="G632" s="12">
        <v>1</v>
      </c>
      <c r="H632" s="12">
        <f>H629*8</f>
        <v>8</v>
      </c>
      <c r="I632" s="12">
        <f>VLOOKUP(C632,Resources!B:G,6,FALSE)</f>
        <v>185</v>
      </c>
      <c r="J632" s="21">
        <f t="shared" si="1062"/>
        <v>1480</v>
      </c>
      <c r="K632" s="21">
        <f t="shared" si="1063"/>
        <v>8</v>
      </c>
      <c r="L632" s="24">
        <f t="shared" si="1064"/>
        <v>8</v>
      </c>
      <c r="M632" s="24">
        <f t="shared" si="1065"/>
        <v>1480</v>
      </c>
      <c r="N632" s="24">
        <f t="shared" si="1066"/>
        <v>0</v>
      </c>
      <c r="O632" s="24">
        <f t="shared" si="1067"/>
        <v>0</v>
      </c>
      <c r="P632" s="24">
        <f t="shared" si="1068"/>
        <v>0</v>
      </c>
      <c r="Q632" s="24">
        <f t="shared" si="1069"/>
        <v>1480</v>
      </c>
      <c r="R632" s="87">
        <v>11</v>
      </c>
      <c r="T632" s="235" t="str">
        <f t="shared" si="1003"/>
        <v xml:space="preserve"> </v>
      </c>
    </row>
    <row r="633" spans="1:20" x14ac:dyDescent="0.25">
      <c r="F633" s="11"/>
      <c r="G633" s="11"/>
      <c r="H633" s="11"/>
      <c r="I633" s="11"/>
      <c r="J633" s="11"/>
      <c r="K633" s="11"/>
      <c r="R633" s="88"/>
      <c r="T633" s="235" t="str">
        <f t="shared" si="1003"/>
        <v xml:space="preserve"> </v>
      </c>
    </row>
    <row r="634" spans="1:20" ht="30" x14ac:dyDescent="0.25">
      <c r="A634" s="156"/>
      <c r="B634" s="3" t="s">
        <v>272</v>
      </c>
      <c r="C634" s="3" t="s">
        <v>48</v>
      </c>
      <c r="D634" s="4"/>
      <c r="E634" s="15"/>
      <c r="F634" s="10"/>
      <c r="G634" s="10"/>
      <c r="H634" s="10"/>
      <c r="I634" s="10"/>
      <c r="J634" s="10"/>
      <c r="K634" s="10"/>
      <c r="L634" s="23"/>
      <c r="M634" s="23"/>
      <c r="N634" s="23"/>
      <c r="O634" s="23"/>
      <c r="P634" s="23"/>
      <c r="Q634" s="23"/>
      <c r="R634" s="86"/>
      <c r="T634" s="235" t="str">
        <f t="shared" si="1003"/>
        <v xml:space="preserve"> </v>
      </c>
    </row>
    <row r="635" spans="1:20" ht="30" x14ac:dyDescent="0.25">
      <c r="A635" s="156">
        <v>76</v>
      </c>
      <c r="B635" s="3" t="s">
        <v>273</v>
      </c>
      <c r="C635" s="3" t="s">
        <v>585</v>
      </c>
      <c r="D635" s="4" t="s">
        <v>50</v>
      </c>
      <c r="E635" s="15"/>
      <c r="F635" s="10"/>
      <c r="G635" s="10"/>
      <c r="H635" s="26">
        <f>VLOOKUP($A635,'Model Inputs'!$A:$C,3,FALSE)</f>
        <v>4</v>
      </c>
      <c r="I635" s="10"/>
      <c r="J635" s="10">
        <f>SUBTOTAL(9,J636:J637)</f>
        <v>846.66666666666663</v>
      </c>
      <c r="K635" s="10"/>
      <c r="L635" s="10">
        <v>0</v>
      </c>
      <c r="M635" s="10">
        <f>SUBTOTAL(9,M636:M637)</f>
        <v>0</v>
      </c>
      <c r="N635" s="10">
        <f t="shared" ref="N635" si="1070">SUBTOTAL(9,N636:N637)</f>
        <v>0</v>
      </c>
      <c r="O635" s="10">
        <f t="shared" ref="O635" si="1071">SUBTOTAL(9,O636:O637)</f>
        <v>0</v>
      </c>
      <c r="P635" s="10">
        <f t="shared" ref="P635" si="1072">SUBTOTAL(9,P636:P637)</f>
        <v>846.66666666666663</v>
      </c>
      <c r="Q635" s="10">
        <f t="shared" ref="Q635" si="1073">SUBTOTAL(9,Q636:Q637)</f>
        <v>846.66666666666663</v>
      </c>
      <c r="R635" s="86"/>
      <c r="T635" s="235" t="str">
        <f t="shared" si="1003"/>
        <v xml:space="preserve"> </v>
      </c>
    </row>
    <row r="636" spans="1:20" x14ac:dyDescent="0.25">
      <c r="A636" s="157"/>
      <c r="B636" s="6">
        <v>1</v>
      </c>
      <c r="C636" s="9" t="s">
        <v>51</v>
      </c>
      <c r="D636" s="6" t="s">
        <v>52</v>
      </c>
      <c r="E636" s="17" t="str">
        <f>VLOOKUP(C636,Resources!B:G,3,FALSE)</f>
        <v>S</v>
      </c>
      <c r="F636" s="12">
        <v>250</v>
      </c>
      <c r="G636" s="12">
        <v>1</v>
      </c>
      <c r="H636" s="12">
        <f>H635/3</f>
        <v>1.3333333333333333</v>
      </c>
      <c r="I636" s="12">
        <f>VLOOKUP(C636,Resources!B:G,6,FALSE)</f>
        <v>2</v>
      </c>
      <c r="J636" s="21">
        <f t="shared" ref="J636:J637" si="1074">(H636/G636)*I636*F636</f>
        <v>666.66666666666663</v>
      </c>
      <c r="K636" s="21">
        <f t="shared" ref="K636:K637" si="1075">IF(E636="M"," ",L636*F636)</f>
        <v>333.33333333333331</v>
      </c>
      <c r="L636" s="24">
        <f t="shared" ref="L636:L637" si="1076">IF(E636="M"," ",H636/G636)</f>
        <v>1.3333333333333333</v>
      </c>
      <c r="M636" s="24">
        <f t="shared" ref="M636:M637" si="1077">IF($E636="L",$J636,0)</f>
        <v>0</v>
      </c>
      <c r="N636" s="24">
        <f t="shared" ref="N636:N637" si="1078">IF($E636="M",$J636,0)</f>
        <v>0</v>
      </c>
      <c r="O636" s="24">
        <f t="shared" ref="O636:O637" si="1079">IF($E636="P",$J636,0)</f>
        <v>0</v>
      </c>
      <c r="P636" s="24">
        <f t="shared" ref="P636:P637" si="1080">IF($E636="S",$J636,0)</f>
        <v>666.66666666666663</v>
      </c>
      <c r="Q636" s="24">
        <f t="shared" ref="Q636:Q637" si="1081">SUM(M636:P636)</f>
        <v>666.66666666666663</v>
      </c>
      <c r="R636" s="87">
        <v>13</v>
      </c>
      <c r="T636" s="235" t="str">
        <f t="shared" si="1003"/>
        <v xml:space="preserve"> </v>
      </c>
    </row>
    <row r="637" spans="1:20" x14ac:dyDescent="0.25">
      <c r="A637" s="157"/>
      <c r="B637" s="6">
        <v>2</v>
      </c>
      <c r="C637" s="9" t="s">
        <v>56</v>
      </c>
      <c r="D637" s="6" t="s">
        <v>31</v>
      </c>
      <c r="E637" s="17" t="str">
        <f>VLOOKUP(C637,Resources!B:G,3,FALSE)</f>
        <v>S</v>
      </c>
      <c r="F637" s="12">
        <v>1</v>
      </c>
      <c r="G637" s="12">
        <v>1</v>
      </c>
      <c r="H637" s="12">
        <f>H635</f>
        <v>4</v>
      </c>
      <c r="I637" s="12">
        <f>VLOOKUP(C637,Resources!B:G,6,FALSE)</f>
        <v>45</v>
      </c>
      <c r="J637" s="21">
        <f t="shared" si="1074"/>
        <v>180</v>
      </c>
      <c r="K637" s="21">
        <f t="shared" si="1075"/>
        <v>4</v>
      </c>
      <c r="L637" s="24">
        <f t="shared" si="1076"/>
        <v>4</v>
      </c>
      <c r="M637" s="24">
        <f t="shared" si="1077"/>
        <v>0</v>
      </c>
      <c r="N637" s="24">
        <f t="shared" si="1078"/>
        <v>0</v>
      </c>
      <c r="O637" s="24">
        <f t="shared" si="1079"/>
        <v>0</v>
      </c>
      <c r="P637" s="24">
        <f t="shared" si="1080"/>
        <v>180</v>
      </c>
      <c r="Q637" s="24">
        <f t="shared" si="1081"/>
        <v>180</v>
      </c>
      <c r="R637" s="87">
        <v>13</v>
      </c>
      <c r="T637" s="235" t="str">
        <f t="shared" si="1003"/>
        <v xml:space="preserve"> </v>
      </c>
    </row>
    <row r="638" spans="1:20" x14ac:dyDescent="0.25">
      <c r="F638" s="11"/>
      <c r="G638" s="11"/>
      <c r="H638" s="11"/>
      <c r="I638" s="11"/>
      <c r="J638" s="11"/>
      <c r="K638" s="11"/>
      <c r="R638" s="88"/>
      <c r="T638" s="235" t="str">
        <f t="shared" si="1003"/>
        <v xml:space="preserve"> </v>
      </c>
    </row>
    <row r="639" spans="1:20" ht="30" x14ac:dyDescent="0.25">
      <c r="A639" s="156">
        <v>77</v>
      </c>
      <c r="B639" s="3" t="s">
        <v>274</v>
      </c>
      <c r="C639" s="3" t="s">
        <v>275</v>
      </c>
      <c r="D639" s="4" t="s">
        <v>50</v>
      </c>
      <c r="E639" s="15"/>
      <c r="F639" s="10"/>
      <c r="G639" s="10"/>
      <c r="H639" s="26">
        <f>VLOOKUP($A639,'Model Inputs'!$A:$C,3,FALSE)</f>
        <v>4</v>
      </c>
      <c r="I639" s="10"/>
      <c r="J639" s="10">
        <f>SUBTOTAL(9,J640:J641)</f>
        <v>846.66666666666663</v>
      </c>
      <c r="K639" s="10"/>
      <c r="L639" s="10">
        <v>0</v>
      </c>
      <c r="M639" s="10">
        <f>SUBTOTAL(9,M640:M641)</f>
        <v>0</v>
      </c>
      <c r="N639" s="10">
        <f t="shared" ref="N639" si="1082">SUBTOTAL(9,N640:N641)</f>
        <v>0</v>
      </c>
      <c r="O639" s="10">
        <f t="shared" ref="O639" si="1083">SUBTOTAL(9,O640:O641)</f>
        <v>0</v>
      </c>
      <c r="P639" s="10">
        <f t="shared" ref="P639" si="1084">SUBTOTAL(9,P640:P641)</f>
        <v>846.66666666666663</v>
      </c>
      <c r="Q639" s="10">
        <f t="shared" ref="Q639" si="1085">SUBTOTAL(9,Q640:Q641)</f>
        <v>846.66666666666663</v>
      </c>
      <c r="R639" s="86"/>
      <c r="T639" s="235" t="str">
        <f t="shared" si="1003"/>
        <v xml:space="preserve"> </v>
      </c>
    </row>
    <row r="640" spans="1:20" x14ac:dyDescent="0.25">
      <c r="A640" s="157"/>
      <c r="B640" s="6">
        <v>1</v>
      </c>
      <c r="C640" s="9" t="s">
        <v>51</v>
      </c>
      <c r="D640" s="6" t="s">
        <v>52</v>
      </c>
      <c r="E640" s="17" t="str">
        <f>VLOOKUP(C640,Resources!B:G,3,FALSE)</f>
        <v>S</v>
      </c>
      <c r="F640" s="12">
        <v>250</v>
      </c>
      <c r="G640" s="12">
        <v>1</v>
      </c>
      <c r="H640" s="12">
        <f>H639/3</f>
        <v>1.3333333333333333</v>
      </c>
      <c r="I640" s="12">
        <f>VLOOKUP(C640,Resources!B:G,6,FALSE)</f>
        <v>2</v>
      </c>
      <c r="J640" s="21">
        <f t="shared" ref="J640:J641" si="1086">(H640/G640)*I640*F640</f>
        <v>666.66666666666663</v>
      </c>
      <c r="K640" s="21">
        <f t="shared" ref="K640:K641" si="1087">IF(E640="M"," ",L640*F640)</f>
        <v>333.33333333333331</v>
      </c>
      <c r="L640" s="24">
        <f t="shared" ref="L640:L641" si="1088">IF(E640="M"," ",H640/G640)</f>
        <v>1.3333333333333333</v>
      </c>
      <c r="M640" s="24">
        <f t="shared" ref="M640:M641" si="1089">IF($E640="L",$J640,0)</f>
        <v>0</v>
      </c>
      <c r="N640" s="24">
        <f t="shared" ref="N640:N641" si="1090">IF($E640="M",$J640,0)</f>
        <v>0</v>
      </c>
      <c r="O640" s="24">
        <f t="shared" ref="O640:O641" si="1091">IF($E640="P",$J640,0)</f>
        <v>0</v>
      </c>
      <c r="P640" s="24">
        <f t="shared" ref="P640:P641" si="1092">IF($E640="S",$J640,0)</f>
        <v>666.66666666666663</v>
      </c>
      <c r="Q640" s="24">
        <f t="shared" ref="Q640:Q641" si="1093">SUM(M640:P640)</f>
        <v>666.66666666666663</v>
      </c>
      <c r="R640" s="87">
        <v>13</v>
      </c>
      <c r="T640" s="235" t="str">
        <f t="shared" si="1003"/>
        <v xml:space="preserve"> </v>
      </c>
    </row>
    <row r="641" spans="1:20" x14ac:dyDescent="0.25">
      <c r="A641" s="157"/>
      <c r="B641" s="6">
        <v>2</v>
      </c>
      <c r="C641" s="9" t="s">
        <v>56</v>
      </c>
      <c r="D641" s="6" t="s">
        <v>31</v>
      </c>
      <c r="E641" s="17" t="str">
        <f>VLOOKUP(C641,Resources!B:G,3,FALSE)</f>
        <v>S</v>
      </c>
      <c r="F641" s="12">
        <v>1</v>
      </c>
      <c r="G641" s="12">
        <v>1</v>
      </c>
      <c r="H641" s="12">
        <f>H639</f>
        <v>4</v>
      </c>
      <c r="I641" s="12">
        <f>VLOOKUP(C641,Resources!B:G,6,FALSE)</f>
        <v>45</v>
      </c>
      <c r="J641" s="21">
        <f t="shared" si="1086"/>
        <v>180</v>
      </c>
      <c r="K641" s="21">
        <f t="shared" si="1087"/>
        <v>4</v>
      </c>
      <c r="L641" s="24">
        <f t="shared" si="1088"/>
        <v>4</v>
      </c>
      <c r="M641" s="24">
        <f t="shared" si="1089"/>
        <v>0</v>
      </c>
      <c r="N641" s="24">
        <f t="shared" si="1090"/>
        <v>0</v>
      </c>
      <c r="O641" s="24">
        <f t="shared" si="1091"/>
        <v>0</v>
      </c>
      <c r="P641" s="24">
        <f t="shared" si="1092"/>
        <v>180</v>
      </c>
      <c r="Q641" s="24">
        <f t="shared" si="1093"/>
        <v>180</v>
      </c>
      <c r="R641" s="87">
        <v>13</v>
      </c>
      <c r="T641" s="235" t="str">
        <f t="shared" si="1003"/>
        <v xml:space="preserve"> </v>
      </c>
    </row>
    <row r="642" spans="1:20" x14ac:dyDescent="0.25">
      <c r="F642" s="11"/>
      <c r="G642" s="11"/>
      <c r="H642" s="11"/>
      <c r="I642" s="11"/>
      <c r="J642" s="11"/>
      <c r="K642" s="11"/>
      <c r="R642" s="88"/>
      <c r="T642" s="235" t="str">
        <f t="shared" si="1003"/>
        <v xml:space="preserve"> </v>
      </c>
    </row>
    <row r="643" spans="1:20" ht="30" x14ac:dyDescent="0.25">
      <c r="A643" s="156">
        <v>78</v>
      </c>
      <c r="B643" s="3" t="s">
        <v>276</v>
      </c>
      <c r="C643" s="3" t="s">
        <v>60</v>
      </c>
      <c r="D643" s="4" t="s">
        <v>50</v>
      </c>
      <c r="E643" s="15"/>
      <c r="F643" s="10"/>
      <c r="G643" s="10"/>
      <c r="H643" s="26">
        <f>VLOOKUP($A643,'Model Inputs'!$A:$C,3,FALSE)</f>
        <v>2</v>
      </c>
      <c r="I643" s="10"/>
      <c r="J643" s="10">
        <f>SUBTOTAL(9,J644:J645)</f>
        <v>423.33333333333331</v>
      </c>
      <c r="K643" s="10"/>
      <c r="L643" s="10">
        <v>0</v>
      </c>
      <c r="M643" s="10">
        <f>SUBTOTAL(9,M644:M645)</f>
        <v>0</v>
      </c>
      <c r="N643" s="10">
        <f t="shared" ref="N643" si="1094">SUBTOTAL(9,N644:N645)</f>
        <v>0</v>
      </c>
      <c r="O643" s="10">
        <f t="shared" ref="O643" si="1095">SUBTOTAL(9,O644:O645)</f>
        <v>0</v>
      </c>
      <c r="P643" s="10">
        <f t="shared" ref="P643" si="1096">SUBTOTAL(9,P644:P645)</f>
        <v>423.33333333333331</v>
      </c>
      <c r="Q643" s="10">
        <f t="shared" ref="Q643" si="1097">SUBTOTAL(9,Q644:Q645)</f>
        <v>423.33333333333331</v>
      </c>
      <c r="R643" s="86"/>
      <c r="T643" s="235" t="str">
        <f t="shared" si="1003"/>
        <v xml:space="preserve"> </v>
      </c>
    </row>
    <row r="644" spans="1:20" x14ac:dyDescent="0.25">
      <c r="A644" s="157"/>
      <c r="B644" s="6">
        <v>1</v>
      </c>
      <c r="C644" s="9" t="s">
        <v>51</v>
      </c>
      <c r="D644" s="6" t="s">
        <v>52</v>
      </c>
      <c r="E644" s="17" t="str">
        <f>VLOOKUP(C644,Resources!B:G,3,FALSE)</f>
        <v>S</v>
      </c>
      <c r="F644" s="12">
        <v>250</v>
      </c>
      <c r="G644" s="12">
        <v>1</v>
      </c>
      <c r="H644" s="12">
        <f>H643/3</f>
        <v>0.66666666666666663</v>
      </c>
      <c r="I644" s="12">
        <f>VLOOKUP(C644,Resources!B:G,6,FALSE)</f>
        <v>2</v>
      </c>
      <c r="J644" s="21">
        <f t="shared" ref="J644:J645" si="1098">(H644/G644)*I644*F644</f>
        <v>333.33333333333331</v>
      </c>
      <c r="K644" s="21">
        <f t="shared" ref="K644:K645" si="1099">IF(E644="M"," ",L644*F644)</f>
        <v>166.66666666666666</v>
      </c>
      <c r="L644" s="24">
        <f t="shared" ref="L644:L645" si="1100">IF(E644="M"," ",H644/G644)</f>
        <v>0.66666666666666663</v>
      </c>
      <c r="M644" s="24">
        <f t="shared" ref="M644:M645" si="1101">IF($E644="L",$J644,0)</f>
        <v>0</v>
      </c>
      <c r="N644" s="24">
        <f t="shared" ref="N644:N645" si="1102">IF($E644="M",$J644,0)</f>
        <v>0</v>
      </c>
      <c r="O644" s="24">
        <f t="shared" ref="O644:O645" si="1103">IF($E644="P",$J644,0)</f>
        <v>0</v>
      </c>
      <c r="P644" s="24">
        <f t="shared" ref="P644:P645" si="1104">IF($E644="S",$J644,0)</f>
        <v>333.33333333333331</v>
      </c>
      <c r="Q644" s="24">
        <f t="shared" ref="Q644:Q645" si="1105">SUM(M644:P644)</f>
        <v>333.33333333333331</v>
      </c>
      <c r="R644" s="87">
        <v>13</v>
      </c>
      <c r="T644" s="235" t="str">
        <f t="shared" si="1003"/>
        <v xml:space="preserve"> </v>
      </c>
    </row>
    <row r="645" spans="1:20" x14ac:dyDescent="0.25">
      <c r="A645" s="157"/>
      <c r="B645" s="6">
        <v>2</v>
      </c>
      <c r="C645" s="9" t="s">
        <v>56</v>
      </c>
      <c r="D645" s="6" t="s">
        <v>31</v>
      </c>
      <c r="E645" s="17" t="str">
        <f>VLOOKUP(C645,Resources!B:G,3,FALSE)</f>
        <v>S</v>
      </c>
      <c r="F645" s="12">
        <v>1</v>
      </c>
      <c r="G645" s="12">
        <v>1</v>
      </c>
      <c r="H645" s="12">
        <f>H643</f>
        <v>2</v>
      </c>
      <c r="I645" s="12">
        <f>VLOOKUP(C645,Resources!B:G,6,FALSE)</f>
        <v>45</v>
      </c>
      <c r="J645" s="21">
        <f t="shared" si="1098"/>
        <v>90</v>
      </c>
      <c r="K645" s="21">
        <f t="shared" si="1099"/>
        <v>2</v>
      </c>
      <c r="L645" s="24">
        <f t="shared" si="1100"/>
        <v>2</v>
      </c>
      <c r="M645" s="24">
        <f t="shared" si="1101"/>
        <v>0</v>
      </c>
      <c r="N645" s="24">
        <f t="shared" si="1102"/>
        <v>0</v>
      </c>
      <c r="O645" s="24">
        <f t="shared" si="1103"/>
        <v>0</v>
      </c>
      <c r="P645" s="24">
        <f t="shared" si="1104"/>
        <v>90</v>
      </c>
      <c r="Q645" s="24">
        <f t="shared" si="1105"/>
        <v>90</v>
      </c>
      <c r="R645" s="87">
        <v>13</v>
      </c>
      <c r="T645" s="235" t="str">
        <f t="shared" si="1003"/>
        <v xml:space="preserve"> </v>
      </c>
    </row>
    <row r="646" spans="1:20" x14ac:dyDescent="0.25">
      <c r="F646" s="11"/>
      <c r="G646" s="11"/>
      <c r="H646" s="11"/>
      <c r="I646" s="11"/>
      <c r="J646" s="11"/>
      <c r="K646" s="11"/>
      <c r="R646" s="88"/>
      <c r="T646" s="235" t="str">
        <f t="shared" si="1003"/>
        <v xml:space="preserve"> </v>
      </c>
    </row>
    <row r="647" spans="1:20" ht="45" x14ac:dyDescent="0.25">
      <c r="A647" s="156">
        <v>79</v>
      </c>
      <c r="B647" s="3" t="s">
        <v>277</v>
      </c>
      <c r="C647" s="3" t="s">
        <v>278</v>
      </c>
      <c r="D647" s="4" t="s">
        <v>50</v>
      </c>
      <c r="E647" s="15"/>
      <c r="F647" s="10"/>
      <c r="G647" s="10"/>
      <c r="H647" s="26">
        <f>VLOOKUP($A647,'Model Inputs'!$A:$C,3,FALSE)</f>
        <v>1</v>
      </c>
      <c r="I647" s="10"/>
      <c r="J647" s="10">
        <f>SUBTOTAL(9,J648:J650)</f>
        <v>1290</v>
      </c>
      <c r="K647" s="10"/>
      <c r="L647" s="10">
        <v>0</v>
      </c>
      <c r="M647" s="10">
        <f>SUBTOTAL(9,M648:M650)</f>
        <v>0</v>
      </c>
      <c r="N647" s="10">
        <f t="shared" ref="N647" si="1106">SUBTOTAL(9,N648:N650)</f>
        <v>0</v>
      </c>
      <c r="O647" s="10">
        <f t="shared" ref="O647" si="1107">SUBTOTAL(9,O648:O650)</f>
        <v>0</v>
      </c>
      <c r="P647" s="10">
        <f t="shared" ref="P647" si="1108">SUBTOTAL(9,P648:P650)</f>
        <v>1290</v>
      </c>
      <c r="Q647" s="10">
        <f t="shared" ref="Q647" si="1109">SUBTOTAL(9,Q648:Q650)</f>
        <v>1290</v>
      </c>
      <c r="R647" s="86"/>
      <c r="T647" s="235" t="str">
        <f t="shared" si="1003"/>
        <v xml:space="preserve"> </v>
      </c>
    </row>
    <row r="648" spans="1:20" x14ac:dyDescent="0.25">
      <c r="A648" s="157"/>
      <c r="B648" s="6">
        <v>1</v>
      </c>
      <c r="C648" s="9" t="s">
        <v>51</v>
      </c>
      <c r="D648" s="6" t="s">
        <v>52</v>
      </c>
      <c r="E648" s="17" t="str">
        <f>VLOOKUP(C648,Resources!B:G,3,FALSE)</f>
        <v>S</v>
      </c>
      <c r="F648" s="12">
        <v>250</v>
      </c>
      <c r="G648" s="12">
        <v>1</v>
      </c>
      <c r="H648" s="12">
        <f>H647</f>
        <v>1</v>
      </c>
      <c r="I648" s="12">
        <f>VLOOKUP(C648,Resources!B:G,6,FALSE)</f>
        <v>2</v>
      </c>
      <c r="J648" s="21">
        <f t="shared" ref="J648:J650" si="1110">(H648/G648)*I648*F648</f>
        <v>500</v>
      </c>
      <c r="K648" s="21">
        <f t="shared" ref="K648:K650" si="1111">IF(E648="M"," ",L648*F648)</f>
        <v>250</v>
      </c>
      <c r="L648" s="24">
        <f t="shared" ref="L648:L650" si="1112">IF(E648="M"," ",H648/G648)</f>
        <v>1</v>
      </c>
      <c r="M648" s="24">
        <f t="shared" ref="M648:M650" si="1113">IF($E648="L",$J648,0)</f>
        <v>0</v>
      </c>
      <c r="N648" s="24">
        <f t="shared" ref="N648:N650" si="1114">IF($E648="M",$J648,0)</f>
        <v>0</v>
      </c>
      <c r="O648" s="24">
        <f t="shared" ref="O648:O650" si="1115">IF($E648="P",$J648,0)</f>
        <v>0</v>
      </c>
      <c r="P648" s="24">
        <f t="shared" ref="P648:P650" si="1116">IF($E648="S",$J648,0)</f>
        <v>500</v>
      </c>
      <c r="Q648" s="24">
        <f t="shared" ref="Q648:Q650" si="1117">SUM(M648:P648)</f>
        <v>500</v>
      </c>
      <c r="R648" s="87">
        <v>13</v>
      </c>
      <c r="T648" s="235" t="str">
        <f t="shared" ref="T648:T711" si="1118">IF(R648=$U$7,"y"," ")</f>
        <v xml:space="preserve"> </v>
      </c>
    </row>
    <row r="649" spans="1:20" x14ac:dyDescent="0.25">
      <c r="A649" s="157"/>
      <c r="B649" s="6">
        <v>2</v>
      </c>
      <c r="C649" s="9" t="s">
        <v>63</v>
      </c>
      <c r="D649" s="6" t="s">
        <v>31</v>
      </c>
      <c r="E649" s="17" t="str">
        <f>VLOOKUP(C649,Resources!B:G,3,FALSE)</f>
        <v>S</v>
      </c>
      <c r="F649" s="12">
        <v>1</v>
      </c>
      <c r="G649" s="12">
        <v>1</v>
      </c>
      <c r="H649" s="12">
        <f>H647</f>
        <v>1</v>
      </c>
      <c r="I649" s="12">
        <f>VLOOKUP(C649,Resources!B:G,6,FALSE)</f>
        <v>390</v>
      </c>
      <c r="J649" s="21">
        <f t="shared" si="1110"/>
        <v>390</v>
      </c>
      <c r="K649" s="21">
        <f t="shared" si="1111"/>
        <v>1</v>
      </c>
      <c r="L649" s="24">
        <f t="shared" si="1112"/>
        <v>1</v>
      </c>
      <c r="M649" s="24">
        <f t="shared" si="1113"/>
        <v>0</v>
      </c>
      <c r="N649" s="24">
        <f t="shared" si="1114"/>
        <v>0</v>
      </c>
      <c r="O649" s="24">
        <f t="shared" si="1115"/>
        <v>0</v>
      </c>
      <c r="P649" s="24">
        <f t="shared" si="1116"/>
        <v>390</v>
      </c>
      <c r="Q649" s="24">
        <f t="shared" si="1117"/>
        <v>390</v>
      </c>
      <c r="R649" s="87">
        <v>13</v>
      </c>
      <c r="T649" s="235" t="str">
        <f t="shared" si="1118"/>
        <v xml:space="preserve"> </v>
      </c>
    </row>
    <row r="650" spans="1:20" x14ac:dyDescent="0.25">
      <c r="A650" s="157"/>
      <c r="B650" s="6">
        <v>3</v>
      </c>
      <c r="C650" s="9" t="s">
        <v>53</v>
      </c>
      <c r="D650" s="6" t="s">
        <v>31</v>
      </c>
      <c r="E650" s="17" t="str">
        <f>VLOOKUP(C650,Resources!B:G,3,FALSE)</f>
        <v>S</v>
      </c>
      <c r="F650" s="12">
        <v>1</v>
      </c>
      <c r="G650" s="12">
        <v>1</v>
      </c>
      <c r="H650" s="12">
        <f>H647</f>
        <v>1</v>
      </c>
      <c r="I650" s="12">
        <f>VLOOKUP(C650,Resources!B:G,6,FALSE)</f>
        <v>400</v>
      </c>
      <c r="J650" s="21">
        <f t="shared" si="1110"/>
        <v>400</v>
      </c>
      <c r="K650" s="21">
        <f t="shared" si="1111"/>
        <v>1</v>
      </c>
      <c r="L650" s="24">
        <f t="shared" si="1112"/>
        <v>1</v>
      </c>
      <c r="M650" s="24">
        <f t="shared" si="1113"/>
        <v>0</v>
      </c>
      <c r="N650" s="24">
        <f t="shared" si="1114"/>
        <v>0</v>
      </c>
      <c r="O650" s="24">
        <f t="shared" si="1115"/>
        <v>0</v>
      </c>
      <c r="P650" s="24">
        <f t="shared" si="1116"/>
        <v>400</v>
      </c>
      <c r="Q650" s="24">
        <f t="shared" si="1117"/>
        <v>400</v>
      </c>
      <c r="R650" s="87">
        <v>13</v>
      </c>
      <c r="T650" s="235" t="str">
        <f t="shared" si="1118"/>
        <v xml:space="preserve"> </v>
      </c>
    </row>
    <row r="651" spans="1:20" x14ac:dyDescent="0.25">
      <c r="F651" s="11"/>
      <c r="G651" s="11"/>
      <c r="H651" s="11"/>
      <c r="I651" s="11"/>
      <c r="J651" s="11"/>
      <c r="K651" s="11"/>
      <c r="R651" s="88"/>
      <c r="T651" s="235" t="str">
        <f t="shared" si="1118"/>
        <v xml:space="preserve"> </v>
      </c>
    </row>
    <row r="652" spans="1:20" ht="30" x14ac:dyDescent="0.25">
      <c r="A652" s="156">
        <v>80</v>
      </c>
      <c r="B652" s="3" t="s">
        <v>279</v>
      </c>
      <c r="C652" s="3" t="s">
        <v>280</v>
      </c>
      <c r="D652" s="4" t="s">
        <v>50</v>
      </c>
      <c r="E652" s="15"/>
      <c r="F652" s="10"/>
      <c r="G652" s="10"/>
      <c r="H652" s="26">
        <f>VLOOKUP($A652,'Model Inputs'!$A:$C,3,FALSE)</f>
        <v>1</v>
      </c>
      <c r="I652" s="10"/>
      <c r="J652" s="10">
        <f>SUBTOTAL(9,J653:J655)</f>
        <v>1290</v>
      </c>
      <c r="K652" s="10"/>
      <c r="L652" s="10">
        <v>0</v>
      </c>
      <c r="M652" s="10">
        <f>SUBTOTAL(9,M653:M655)</f>
        <v>0</v>
      </c>
      <c r="N652" s="10">
        <f t="shared" ref="N652" si="1119">SUBTOTAL(9,N653:N655)</f>
        <v>0</v>
      </c>
      <c r="O652" s="10">
        <f t="shared" ref="O652" si="1120">SUBTOTAL(9,O653:O655)</f>
        <v>0</v>
      </c>
      <c r="P652" s="10">
        <f t="shared" ref="P652" si="1121">SUBTOTAL(9,P653:P655)</f>
        <v>1290</v>
      </c>
      <c r="Q652" s="10">
        <f t="shared" ref="Q652" si="1122">SUBTOTAL(9,Q653:Q655)</f>
        <v>1290</v>
      </c>
      <c r="R652" s="86"/>
      <c r="T652" s="235" t="str">
        <f t="shared" si="1118"/>
        <v xml:space="preserve"> </v>
      </c>
    </row>
    <row r="653" spans="1:20" x14ac:dyDescent="0.25">
      <c r="A653" s="157"/>
      <c r="B653" s="6">
        <v>1</v>
      </c>
      <c r="C653" s="9" t="s">
        <v>51</v>
      </c>
      <c r="D653" s="6" t="s">
        <v>52</v>
      </c>
      <c r="E653" s="17" t="str">
        <f>VLOOKUP(C653,Resources!B:G,3,FALSE)</f>
        <v>S</v>
      </c>
      <c r="F653" s="12">
        <v>250</v>
      </c>
      <c r="G653" s="12">
        <v>1</v>
      </c>
      <c r="H653" s="12">
        <f>H652</f>
        <v>1</v>
      </c>
      <c r="I653" s="12">
        <f>VLOOKUP(C653,Resources!B:G,6,FALSE)</f>
        <v>2</v>
      </c>
      <c r="J653" s="21">
        <f t="shared" ref="J653:J655" si="1123">(H653/G653)*I653*F653</f>
        <v>500</v>
      </c>
      <c r="K653" s="21">
        <f t="shared" ref="K653:K655" si="1124">IF(E653="M"," ",L653*F653)</f>
        <v>250</v>
      </c>
      <c r="L653" s="24">
        <f t="shared" ref="L653:L655" si="1125">IF(E653="M"," ",H653/G653)</f>
        <v>1</v>
      </c>
      <c r="M653" s="24">
        <f t="shared" ref="M653:M655" si="1126">IF($E653="L",$J653,0)</f>
        <v>0</v>
      </c>
      <c r="N653" s="24">
        <f t="shared" ref="N653:N655" si="1127">IF($E653="M",$J653,0)</f>
        <v>0</v>
      </c>
      <c r="O653" s="24">
        <f t="shared" ref="O653:O655" si="1128">IF($E653="P",$J653,0)</f>
        <v>0</v>
      </c>
      <c r="P653" s="24">
        <f t="shared" ref="P653:P655" si="1129">IF($E653="S",$J653,0)</f>
        <v>500</v>
      </c>
      <c r="Q653" s="24">
        <f t="shared" ref="Q653:Q655" si="1130">SUM(M653:P653)</f>
        <v>500</v>
      </c>
      <c r="R653" s="87">
        <v>13</v>
      </c>
      <c r="T653" s="235" t="str">
        <f t="shared" si="1118"/>
        <v xml:space="preserve"> </v>
      </c>
    </row>
    <row r="654" spans="1:20" x14ac:dyDescent="0.25">
      <c r="A654" s="157"/>
      <c r="B654" s="6">
        <v>2</v>
      </c>
      <c r="C654" s="9" t="s">
        <v>63</v>
      </c>
      <c r="D654" s="6" t="s">
        <v>31</v>
      </c>
      <c r="E654" s="17" t="str">
        <f>VLOOKUP(C654,Resources!B:G,3,FALSE)</f>
        <v>S</v>
      </c>
      <c r="F654" s="12">
        <v>1</v>
      </c>
      <c r="G654" s="12">
        <v>1</v>
      </c>
      <c r="H654" s="12">
        <f>H652</f>
        <v>1</v>
      </c>
      <c r="I654" s="12">
        <f>VLOOKUP(C654,Resources!B:G,6,FALSE)</f>
        <v>390</v>
      </c>
      <c r="J654" s="21">
        <f t="shared" si="1123"/>
        <v>390</v>
      </c>
      <c r="K654" s="21">
        <f t="shared" si="1124"/>
        <v>1</v>
      </c>
      <c r="L654" s="24">
        <f t="shared" si="1125"/>
        <v>1</v>
      </c>
      <c r="M654" s="24">
        <f t="shared" si="1126"/>
        <v>0</v>
      </c>
      <c r="N654" s="24">
        <f t="shared" si="1127"/>
        <v>0</v>
      </c>
      <c r="O654" s="24">
        <f t="shared" si="1128"/>
        <v>0</v>
      </c>
      <c r="P654" s="24">
        <f t="shared" si="1129"/>
        <v>390</v>
      </c>
      <c r="Q654" s="24">
        <f t="shared" si="1130"/>
        <v>390</v>
      </c>
      <c r="R654" s="87">
        <v>13</v>
      </c>
      <c r="T654" s="235" t="str">
        <f t="shared" si="1118"/>
        <v xml:space="preserve"> </v>
      </c>
    </row>
    <row r="655" spans="1:20" x14ac:dyDescent="0.25">
      <c r="A655" s="157"/>
      <c r="B655" s="6">
        <v>3</v>
      </c>
      <c r="C655" s="9" t="s">
        <v>53</v>
      </c>
      <c r="D655" s="6" t="s">
        <v>31</v>
      </c>
      <c r="E655" s="17" t="str">
        <f>VLOOKUP(C655,Resources!B:G,3,FALSE)</f>
        <v>S</v>
      </c>
      <c r="F655" s="12">
        <v>1</v>
      </c>
      <c r="G655" s="12">
        <v>1</v>
      </c>
      <c r="H655" s="12">
        <f>H652</f>
        <v>1</v>
      </c>
      <c r="I655" s="12">
        <f>VLOOKUP(C655,Resources!B:G,6,FALSE)</f>
        <v>400</v>
      </c>
      <c r="J655" s="21">
        <f t="shared" si="1123"/>
        <v>400</v>
      </c>
      <c r="K655" s="21">
        <f t="shared" si="1124"/>
        <v>1</v>
      </c>
      <c r="L655" s="24">
        <f t="shared" si="1125"/>
        <v>1</v>
      </c>
      <c r="M655" s="24">
        <f t="shared" si="1126"/>
        <v>0</v>
      </c>
      <c r="N655" s="24">
        <f t="shared" si="1127"/>
        <v>0</v>
      </c>
      <c r="O655" s="24">
        <f t="shared" si="1128"/>
        <v>0</v>
      </c>
      <c r="P655" s="24">
        <f t="shared" si="1129"/>
        <v>400</v>
      </c>
      <c r="Q655" s="24">
        <f t="shared" si="1130"/>
        <v>400</v>
      </c>
      <c r="R655" s="87">
        <v>13</v>
      </c>
      <c r="T655" s="235" t="str">
        <f t="shared" si="1118"/>
        <v xml:space="preserve"> </v>
      </c>
    </row>
    <row r="656" spans="1:20" x14ac:dyDescent="0.25">
      <c r="F656" s="11"/>
      <c r="G656" s="11"/>
      <c r="H656" s="11"/>
      <c r="I656" s="11"/>
      <c r="J656" s="11"/>
      <c r="K656" s="11"/>
      <c r="R656" s="88"/>
      <c r="T656" s="235" t="str">
        <f t="shared" si="1118"/>
        <v xml:space="preserve"> </v>
      </c>
    </row>
    <row r="657" spans="1:21" ht="45" x14ac:dyDescent="0.25">
      <c r="A657" s="156">
        <v>81</v>
      </c>
      <c r="B657" s="3" t="s">
        <v>281</v>
      </c>
      <c r="C657" s="3" t="s">
        <v>282</v>
      </c>
      <c r="D657" s="4" t="s">
        <v>18</v>
      </c>
      <c r="E657" s="15"/>
      <c r="F657" s="10"/>
      <c r="G657" s="10"/>
      <c r="H657" s="26">
        <f>VLOOKUP($A657,'Model Inputs'!$A:$C,3,FALSE)</f>
        <v>1</v>
      </c>
      <c r="I657" s="10"/>
      <c r="J657" s="10">
        <f>SUBTOTAL(9,J658:J662)</f>
        <v>5321.3963963963961</v>
      </c>
      <c r="K657" s="10"/>
      <c r="L657" s="10">
        <f>ROUNDUP(MAX(L658:L660,L662)/Workhrs,0)</f>
        <v>2</v>
      </c>
      <c r="M657" s="10">
        <f>SUBTOTAL(9,M658:M662)</f>
        <v>1402.7027027027027</v>
      </c>
      <c r="N657" s="10">
        <f t="shared" ref="N657:Q657" si="1131">SUBTOTAL(9,N658:N662)</f>
        <v>0</v>
      </c>
      <c r="O657" s="10">
        <f t="shared" si="1131"/>
        <v>3693.6936936936936</v>
      </c>
      <c r="P657" s="10">
        <f t="shared" si="1131"/>
        <v>225</v>
      </c>
      <c r="Q657" s="10">
        <f t="shared" si="1131"/>
        <v>5321.3963963963961</v>
      </c>
      <c r="R657" s="86"/>
      <c r="T657" s="235" t="str">
        <f t="shared" si="1118"/>
        <v xml:space="preserve"> </v>
      </c>
    </row>
    <row r="658" spans="1:21" x14ac:dyDescent="0.25">
      <c r="A658" s="157"/>
      <c r="B658" s="6">
        <v>1</v>
      </c>
      <c r="C658" s="9" t="s">
        <v>70</v>
      </c>
      <c r="D658" s="6" t="s">
        <v>26</v>
      </c>
      <c r="E658" s="17" t="str">
        <f>VLOOKUP(C658,Resources!B:G,3,FALSE)</f>
        <v>P</v>
      </c>
      <c r="F658" s="12">
        <v>1</v>
      </c>
      <c r="G658" s="12">
        <v>0.111</v>
      </c>
      <c r="H658" s="12">
        <f>H657</f>
        <v>1</v>
      </c>
      <c r="I658" s="12">
        <f>VLOOKUP(C658,Resources!B:G,6,FALSE)</f>
        <v>135</v>
      </c>
      <c r="J658" s="21">
        <f t="shared" ref="J658:J662" si="1132">(H658/G658)*I658*F658</f>
        <v>1216.2162162162163</v>
      </c>
      <c r="K658" s="21">
        <f t="shared" ref="K658:K662" si="1133">IF(E658="M"," ",L658*F658)</f>
        <v>9.0090090090090094</v>
      </c>
      <c r="L658" s="24">
        <f t="shared" ref="L658:L662" si="1134">IF(E658="M"," ",H658/G658)</f>
        <v>9.0090090090090094</v>
      </c>
      <c r="M658" s="24">
        <f t="shared" ref="M658:M662" si="1135">IF($E658="L",$J658,0)</f>
        <v>0</v>
      </c>
      <c r="N658" s="24">
        <f t="shared" ref="N658:N662" si="1136">IF($E658="M",$J658,0)</f>
        <v>0</v>
      </c>
      <c r="O658" s="24">
        <f t="shared" ref="O658:O662" si="1137">IF($E658="P",$J658,0)</f>
        <v>1216.2162162162163</v>
      </c>
      <c r="P658" s="24">
        <f t="shared" ref="P658:P662" si="1138">IF($E658="S",$J658,0)</f>
        <v>0</v>
      </c>
      <c r="Q658" s="24">
        <f t="shared" ref="Q658:Q662" si="1139">SUM(M658:P658)</f>
        <v>1216.2162162162163</v>
      </c>
      <c r="R658" s="87">
        <v>21</v>
      </c>
      <c r="T658" s="235" t="str">
        <f t="shared" si="1118"/>
        <v xml:space="preserve"> </v>
      </c>
    </row>
    <row r="659" spans="1:21" x14ac:dyDescent="0.25">
      <c r="A659" s="157"/>
      <c r="B659" s="6">
        <v>2</v>
      </c>
      <c r="C659" s="9" t="s">
        <v>27</v>
      </c>
      <c r="D659" s="6" t="s">
        <v>26</v>
      </c>
      <c r="E659" s="17" t="str">
        <f>VLOOKUP(C659,Resources!B:G,3,FALSE)</f>
        <v>P</v>
      </c>
      <c r="F659" s="12">
        <v>2</v>
      </c>
      <c r="G659" s="12">
        <v>0.111</v>
      </c>
      <c r="H659" s="12">
        <f>H657</f>
        <v>1</v>
      </c>
      <c r="I659" s="12">
        <f>VLOOKUP(C659,Resources!B:G,6,FALSE)</f>
        <v>90</v>
      </c>
      <c r="J659" s="21">
        <f t="shared" si="1132"/>
        <v>1621.6216216216217</v>
      </c>
      <c r="K659" s="21">
        <f t="shared" si="1133"/>
        <v>18.018018018018019</v>
      </c>
      <c r="L659" s="24">
        <f t="shared" si="1134"/>
        <v>9.0090090090090094</v>
      </c>
      <c r="M659" s="24">
        <f t="shared" si="1135"/>
        <v>0</v>
      </c>
      <c r="N659" s="24">
        <f t="shared" si="1136"/>
        <v>0</v>
      </c>
      <c r="O659" s="24">
        <f t="shared" si="1137"/>
        <v>1621.6216216216217</v>
      </c>
      <c r="P659" s="24">
        <f t="shared" si="1138"/>
        <v>0</v>
      </c>
      <c r="Q659" s="24">
        <f t="shared" si="1139"/>
        <v>1621.6216216216217</v>
      </c>
      <c r="R659" s="87">
        <v>21</v>
      </c>
      <c r="T659" s="235" t="str">
        <f t="shared" si="1118"/>
        <v xml:space="preserve"> </v>
      </c>
    </row>
    <row r="660" spans="1:21" x14ac:dyDescent="0.25">
      <c r="A660" s="157"/>
      <c r="B660" s="6">
        <v>3</v>
      </c>
      <c r="C660" s="9" t="s">
        <v>28</v>
      </c>
      <c r="D660" s="6" t="s">
        <v>26</v>
      </c>
      <c r="E660" s="17" t="str">
        <f>VLOOKUP(C660,Resources!B:G,3,FALSE)</f>
        <v>P</v>
      </c>
      <c r="F660" s="12">
        <v>1</v>
      </c>
      <c r="G660" s="12">
        <v>0.111</v>
      </c>
      <c r="H660" s="12">
        <f>H657</f>
        <v>1</v>
      </c>
      <c r="I660" s="12">
        <f>VLOOKUP(C660,Resources!B:G,6,FALSE)</f>
        <v>95</v>
      </c>
      <c r="J660" s="21">
        <f t="shared" si="1132"/>
        <v>855.85585585585591</v>
      </c>
      <c r="K660" s="21">
        <f t="shared" si="1133"/>
        <v>9.0090090090090094</v>
      </c>
      <c r="L660" s="24">
        <f t="shared" si="1134"/>
        <v>9.0090090090090094</v>
      </c>
      <c r="M660" s="24">
        <f t="shared" si="1135"/>
        <v>0</v>
      </c>
      <c r="N660" s="24">
        <f t="shared" si="1136"/>
        <v>0</v>
      </c>
      <c r="O660" s="24">
        <f t="shared" si="1137"/>
        <v>855.85585585585591</v>
      </c>
      <c r="P660" s="24">
        <f t="shared" si="1138"/>
        <v>0</v>
      </c>
      <c r="Q660" s="24">
        <f t="shared" si="1139"/>
        <v>855.85585585585591</v>
      </c>
      <c r="R660" s="87">
        <v>21</v>
      </c>
      <c r="T660" s="235" t="str">
        <f t="shared" si="1118"/>
        <v xml:space="preserve"> </v>
      </c>
    </row>
    <row r="661" spans="1:21" x14ac:dyDescent="0.25">
      <c r="A661" s="157"/>
      <c r="B661" s="6">
        <v>4</v>
      </c>
      <c r="C661" s="9" t="s">
        <v>283</v>
      </c>
      <c r="D661" s="6" t="s">
        <v>100</v>
      </c>
      <c r="E661" s="17" t="str">
        <f>VLOOKUP(C661,Resources!B:G,3,FALSE)</f>
        <v>S</v>
      </c>
      <c r="F661" s="12">
        <v>1</v>
      </c>
      <c r="G661" s="12">
        <v>1</v>
      </c>
      <c r="H661" s="12">
        <f>H657*15</f>
        <v>15</v>
      </c>
      <c r="I661" s="12">
        <f>VLOOKUP(C661,Resources!B:G,6,FALSE)</f>
        <v>15</v>
      </c>
      <c r="J661" s="21">
        <f t="shared" si="1132"/>
        <v>225</v>
      </c>
      <c r="K661" s="21">
        <f t="shared" si="1133"/>
        <v>15</v>
      </c>
      <c r="L661" s="24">
        <f t="shared" si="1134"/>
        <v>15</v>
      </c>
      <c r="M661" s="24">
        <f t="shared" si="1135"/>
        <v>0</v>
      </c>
      <c r="N661" s="24">
        <f t="shared" si="1136"/>
        <v>0</v>
      </c>
      <c r="O661" s="24">
        <f t="shared" si="1137"/>
        <v>0</v>
      </c>
      <c r="P661" s="24">
        <f t="shared" si="1138"/>
        <v>225</v>
      </c>
      <c r="Q661" s="24">
        <f t="shared" si="1139"/>
        <v>225</v>
      </c>
      <c r="R661" s="87">
        <v>21</v>
      </c>
      <c r="T661" s="235" t="str">
        <f t="shared" si="1118"/>
        <v xml:space="preserve"> </v>
      </c>
    </row>
    <row r="662" spans="1:21" x14ac:dyDescent="0.25">
      <c r="A662" s="157"/>
      <c r="B662" s="6">
        <v>5</v>
      </c>
      <c r="C662" s="9" t="s">
        <v>8</v>
      </c>
      <c r="D662" s="6" t="s">
        <v>26</v>
      </c>
      <c r="E662" s="17" t="str">
        <f>VLOOKUP(C662,Resources!B:G,3,FALSE)</f>
        <v>L</v>
      </c>
      <c r="F662" s="12">
        <v>3</v>
      </c>
      <c r="G662" s="12">
        <v>0.111</v>
      </c>
      <c r="H662" s="12">
        <f>H657</f>
        <v>1</v>
      </c>
      <c r="I662" s="12">
        <f>VLOOKUP(C662,Resources!B:G,6,FALSE)</f>
        <v>51.9</v>
      </c>
      <c r="J662" s="21">
        <f t="shared" si="1132"/>
        <v>1402.7027027027027</v>
      </c>
      <c r="K662" s="21">
        <f t="shared" si="1133"/>
        <v>27.027027027027028</v>
      </c>
      <c r="L662" s="24">
        <f t="shared" si="1134"/>
        <v>9.0090090090090094</v>
      </c>
      <c r="M662" s="24">
        <f t="shared" si="1135"/>
        <v>1402.7027027027027</v>
      </c>
      <c r="N662" s="24">
        <f t="shared" si="1136"/>
        <v>0</v>
      </c>
      <c r="O662" s="24">
        <f t="shared" si="1137"/>
        <v>0</v>
      </c>
      <c r="P662" s="24">
        <f t="shared" si="1138"/>
        <v>0</v>
      </c>
      <c r="Q662" s="24">
        <f t="shared" si="1139"/>
        <v>1402.7027027027027</v>
      </c>
      <c r="R662" s="87">
        <v>21</v>
      </c>
      <c r="T662" s="235" t="str">
        <f t="shared" si="1118"/>
        <v xml:space="preserve"> </v>
      </c>
    </row>
    <row r="663" spans="1:21" x14ac:dyDescent="0.25">
      <c r="F663" s="11"/>
      <c r="G663" s="11"/>
      <c r="H663" s="11"/>
      <c r="I663" s="11"/>
      <c r="J663" s="11"/>
      <c r="K663" s="11"/>
      <c r="R663" s="88"/>
      <c r="T663" s="235" t="str">
        <f t="shared" si="1118"/>
        <v xml:space="preserve"> </v>
      </c>
    </row>
    <row r="664" spans="1:21" ht="30" x14ac:dyDescent="0.25">
      <c r="A664" s="156"/>
      <c r="B664" s="3" t="s">
        <v>284</v>
      </c>
      <c r="C664" s="3" t="s">
        <v>72</v>
      </c>
      <c r="D664" s="4"/>
      <c r="E664" s="15"/>
      <c r="F664" s="10"/>
      <c r="G664" s="10"/>
      <c r="H664" s="10"/>
      <c r="I664" s="10"/>
      <c r="J664" s="10"/>
      <c r="K664" s="10"/>
      <c r="L664" s="23"/>
      <c r="M664" s="23"/>
      <c r="N664" s="23"/>
      <c r="O664" s="23"/>
      <c r="P664" s="23"/>
      <c r="Q664" s="23"/>
      <c r="R664" s="86"/>
      <c r="T664" s="235" t="str">
        <f t="shared" si="1118"/>
        <v xml:space="preserve"> </v>
      </c>
    </row>
    <row r="665" spans="1:21" ht="45" x14ac:dyDescent="0.25">
      <c r="A665" s="156">
        <v>82</v>
      </c>
      <c r="B665" s="3" t="s">
        <v>285</v>
      </c>
      <c r="C665" s="3" t="s">
        <v>586</v>
      </c>
      <c r="D665" s="4" t="s">
        <v>74</v>
      </c>
      <c r="E665" s="15"/>
      <c r="F665" s="10"/>
      <c r="G665" s="10"/>
      <c r="H665" s="26">
        <f>VLOOKUP($A665,'Model Inputs'!$A:$C,3,FALSE)</f>
        <v>379</v>
      </c>
      <c r="I665" s="10"/>
      <c r="J665" s="10">
        <f>SUBTOTAL(9,J667:J670)</f>
        <v>4967.1131058393285</v>
      </c>
      <c r="K665" s="10"/>
      <c r="L665" s="10">
        <f>ROUNDUP(MAX(L667:L670)/Workhrs,0)</f>
        <v>2</v>
      </c>
      <c r="M665" s="10">
        <f>SUBTOTAL(9,M667:M670)</f>
        <v>467.10123245707769</v>
      </c>
      <c r="N665" s="10">
        <f t="shared" ref="N665:Q665" si="1140">SUBTOTAL(9,N667:N670)</f>
        <v>0</v>
      </c>
      <c r="O665" s="10">
        <f t="shared" si="1140"/>
        <v>4500.011873382251</v>
      </c>
      <c r="P665" s="10">
        <f t="shared" si="1140"/>
        <v>0</v>
      </c>
      <c r="Q665" s="10">
        <f t="shared" si="1140"/>
        <v>4967.1131058393285</v>
      </c>
      <c r="R665" s="86"/>
      <c r="T665" s="235" t="str">
        <f t="shared" si="1118"/>
        <v xml:space="preserve"> </v>
      </c>
    </row>
    <row r="666" spans="1:21" s="18" customFormat="1" x14ac:dyDescent="0.25">
      <c r="A666" s="157"/>
      <c r="B666" s="6">
        <v>1</v>
      </c>
      <c r="C666" s="9" t="s">
        <v>75</v>
      </c>
      <c r="D666" s="6"/>
      <c r="E666" s="17"/>
      <c r="F666" s="12"/>
      <c r="G666" s="12"/>
      <c r="H666" s="12"/>
      <c r="I666" s="12"/>
      <c r="J666" s="21"/>
      <c r="K666" s="21"/>
      <c r="L666" s="24"/>
      <c r="M666" s="24"/>
      <c r="N666" s="24"/>
      <c r="O666" s="24"/>
      <c r="P666" s="24"/>
      <c r="Q666" s="24"/>
      <c r="R666" s="87"/>
      <c r="T666" s="235" t="str">
        <f t="shared" si="1118"/>
        <v xml:space="preserve"> </v>
      </c>
      <c r="U666" s="232"/>
    </row>
    <row r="667" spans="1:21" x14ac:dyDescent="0.25">
      <c r="A667" s="157">
        <v>82.1</v>
      </c>
      <c r="B667" s="6">
        <v>2</v>
      </c>
      <c r="C667" s="9" t="s">
        <v>70</v>
      </c>
      <c r="D667" s="6" t="s">
        <v>26</v>
      </c>
      <c r="E667" s="17" t="str">
        <f>VLOOKUP(C667,Resources!B:G,3,FALSE)</f>
        <v>P</v>
      </c>
      <c r="F667" s="12">
        <v>1</v>
      </c>
      <c r="G667" s="26">
        <f>VLOOKUP($A667,'Model Inputs'!$A:$C,3,FALSE)</f>
        <v>42.110999999999997</v>
      </c>
      <c r="H667" s="12">
        <f>H665</f>
        <v>379</v>
      </c>
      <c r="I667" s="12">
        <f>VLOOKUP(C667,Resources!B:G,6,FALSE)</f>
        <v>135</v>
      </c>
      <c r="J667" s="21">
        <f t="shared" ref="J667:J670" si="1141">(H667/G667)*I667*F667</f>
        <v>1215.0032058132078</v>
      </c>
      <c r="K667" s="21">
        <f t="shared" ref="K667:K670" si="1142">IF(E667="M"," ",L667*F667)</f>
        <v>9.0000237467645032</v>
      </c>
      <c r="L667" s="24">
        <f t="shared" ref="L667:L670" si="1143">IF(E667="M"," ",H667/G667)</f>
        <v>9.0000237467645032</v>
      </c>
      <c r="M667" s="24">
        <f t="shared" ref="M667:M670" si="1144">IF($E667="L",$J667,0)</f>
        <v>0</v>
      </c>
      <c r="N667" s="24">
        <f t="shared" ref="N667:N670" si="1145">IF($E667="M",$J667,0)</f>
        <v>0</v>
      </c>
      <c r="O667" s="24">
        <f t="shared" ref="O667:O670" si="1146">IF($E667="P",$J667,0)</f>
        <v>1215.0032058132078</v>
      </c>
      <c r="P667" s="24">
        <f t="shared" ref="P667:P670" si="1147">IF($E667="S",$J667,0)</f>
        <v>0</v>
      </c>
      <c r="Q667" s="24">
        <f t="shared" ref="Q667:Q670" si="1148">SUM(M667:P667)</f>
        <v>1215.0032058132078</v>
      </c>
      <c r="R667" s="87">
        <v>53</v>
      </c>
      <c r="T667" s="235" t="str">
        <f t="shared" si="1118"/>
        <v xml:space="preserve"> </v>
      </c>
    </row>
    <row r="668" spans="1:21" x14ac:dyDescent="0.25">
      <c r="A668" s="157"/>
      <c r="B668" s="6">
        <v>3</v>
      </c>
      <c r="C668" s="9" t="s">
        <v>27</v>
      </c>
      <c r="D668" s="6" t="s">
        <v>26</v>
      </c>
      <c r="E668" s="17" t="str">
        <f>VLOOKUP(C668,Resources!B:G,3,FALSE)</f>
        <v>P</v>
      </c>
      <c r="F668" s="12">
        <v>3</v>
      </c>
      <c r="G668" s="12">
        <f>G667</f>
        <v>42.110999999999997</v>
      </c>
      <c r="H668" s="12">
        <f>H665</f>
        <v>379</v>
      </c>
      <c r="I668" s="12">
        <f>VLOOKUP(C668,Resources!B:G,6,FALSE)</f>
        <v>90</v>
      </c>
      <c r="J668" s="21">
        <f t="shared" si="1141"/>
        <v>2430.0064116264157</v>
      </c>
      <c r="K668" s="21">
        <f t="shared" si="1142"/>
        <v>27.000071240293508</v>
      </c>
      <c r="L668" s="24">
        <f t="shared" si="1143"/>
        <v>9.0000237467645032</v>
      </c>
      <c r="M668" s="24">
        <f t="shared" si="1144"/>
        <v>0</v>
      </c>
      <c r="N668" s="24">
        <f t="shared" si="1145"/>
        <v>0</v>
      </c>
      <c r="O668" s="24">
        <f t="shared" si="1146"/>
        <v>2430.0064116264157</v>
      </c>
      <c r="P668" s="24">
        <f t="shared" si="1147"/>
        <v>0</v>
      </c>
      <c r="Q668" s="24">
        <f t="shared" si="1148"/>
        <v>2430.0064116264157</v>
      </c>
      <c r="R668" s="87">
        <v>53</v>
      </c>
      <c r="T668" s="235" t="str">
        <f t="shared" si="1118"/>
        <v xml:space="preserve"> </v>
      </c>
    </row>
    <row r="669" spans="1:21" x14ac:dyDescent="0.25">
      <c r="A669" s="157"/>
      <c r="B669" s="6">
        <v>4</v>
      </c>
      <c r="C669" s="9" t="s">
        <v>28</v>
      </c>
      <c r="D669" s="6" t="s">
        <v>26</v>
      </c>
      <c r="E669" s="17" t="str">
        <f>VLOOKUP(C669,Resources!B:G,3,FALSE)</f>
        <v>P</v>
      </c>
      <c r="F669" s="12">
        <v>1</v>
      </c>
      <c r="G669" s="12">
        <f>G667</f>
        <v>42.110999999999997</v>
      </c>
      <c r="H669" s="12">
        <f>H665</f>
        <v>379</v>
      </c>
      <c r="I669" s="12">
        <f>VLOOKUP(C669,Resources!B:G,6,FALSE)</f>
        <v>95</v>
      </c>
      <c r="J669" s="21">
        <f t="shared" si="1141"/>
        <v>855.00225594262781</v>
      </c>
      <c r="K669" s="21">
        <f t="shared" si="1142"/>
        <v>9.0000237467645032</v>
      </c>
      <c r="L669" s="24">
        <f t="shared" si="1143"/>
        <v>9.0000237467645032</v>
      </c>
      <c r="M669" s="24">
        <f t="shared" si="1144"/>
        <v>0</v>
      </c>
      <c r="N669" s="24">
        <f t="shared" si="1145"/>
        <v>0</v>
      </c>
      <c r="O669" s="24">
        <f t="shared" si="1146"/>
        <v>855.00225594262781</v>
      </c>
      <c r="P669" s="24">
        <f t="shared" si="1147"/>
        <v>0</v>
      </c>
      <c r="Q669" s="24">
        <f t="shared" si="1148"/>
        <v>855.00225594262781</v>
      </c>
      <c r="R669" s="87">
        <v>53</v>
      </c>
      <c r="T669" s="235" t="str">
        <f t="shared" si="1118"/>
        <v xml:space="preserve"> </v>
      </c>
    </row>
    <row r="670" spans="1:21" x14ac:dyDescent="0.25">
      <c r="A670" s="157"/>
      <c r="B670" s="6">
        <v>5</v>
      </c>
      <c r="C670" s="9" t="s">
        <v>8</v>
      </c>
      <c r="D670" s="6" t="s">
        <v>26</v>
      </c>
      <c r="E670" s="17" t="str">
        <f>VLOOKUP(C670,Resources!B:G,3,FALSE)</f>
        <v>L</v>
      </c>
      <c r="F670" s="12">
        <v>1</v>
      </c>
      <c r="G670" s="12">
        <f>G667</f>
        <v>42.110999999999997</v>
      </c>
      <c r="H670" s="12">
        <f>H665</f>
        <v>379</v>
      </c>
      <c r="I670" s="12">
        <f>VLOOKUP(C670,Resources!B:G,6,FALSE)</f>
        <v>51.9</v>
      </c>
      <c r="J670" s="21">
        <f t="shared" si="1141"/>
        <v>467.10123245707769</v>
      </c>
      <c r="K670" s="21">
        <f t="shared" si="1142"/>
        <v>9.0000237467645032</v>
      </c>
      <c r="L670" s="24">
        <f t="shared" si="1143"/>
        <v>9.0000237467645032</v>
      </c>
      <c r="M670" s="24">
        <f t="shared" si="1144"/>
        <v>467.10123245707769</v>
      </c>
      <c r="N670" s="24">
        <f t="shared" si="1145"/>
        <v>0</v>
      </c>
      <c r="O670" s="24">
        <f t="shared" si="1146"/>
        <v>0</v>
      </c>
      <c r="P670" s="24">
        <f t="shared" si="1147"/>
        <v>0</v>
      </c>
      <c r="Q670" s="24">
        <f t="shared" si="1148"/>
        <v>467.10123245707769</v>
      </c>
      <c r="R670" s="87">
        <v>53</v>
      </c>
      <c r="T670" s="235" t="str">
        <f t="shared" si="1118"/>
        <v xml:space="preserve"> </v>
      </c>
    </row>
    <row r="671" spans="1:21" x14ac:dyDescent="0.25">
      <c r="F671" s="11"/>
      <c r="G671" s="11"/>
      <c r="H671" s="11"/>
      <c r="I671" s="11"/>
      <c r="J671" s="11"/>
      <c r="K671" s="11"/>
      <c r="R671" s="88"/>
      <c r="T671" s="235" t="str">
        <f t="shared" si="1118"/>
        <v xml:space="preserve"> </v>
      </c>
    </row>
    <row r="672" spans="1:21" ht="30" x14ac:dyDescent="0.25">
      <c r="A672" s="156">
        <v>83</v>
      </c>
      <c r="B672" s="3" t="s">
        <v>286</v>
      </c>
      <c r="C672" s="3" t="s">
        <v>80</v>
      </c>
      <c r="D672" s="4" t="s">
        <v>74</v>
      </c>
      <c r="E672" s="15"/>
      <c r="F672" s="10"/>
      <c r="G672" s="10"/>
      <c r="H672" s="26">
        <f>VLOOKUP($A672,'Model Inputs'!$A:$C,3,FALSE)</f>
        <v>50</v>
      </c>
      <c r="I672" s="10"/>
      <c r="J672" s="10">
        <f>SUBTOTAL(9,J673:J678)</f>
        <v>3143.5</v>
      </c>
      <c r="K672" s="10"/>
      <c r="L672" s="10">
        <f>ROUNDUP(MAX(L673:L678)/Workhrs,0)</f>
        <v>1</v>
      </c>
      <c r="M672" s="10">
        <f>SUBTOTAL(9,M673:M678)</f>
        <v>778.5</v>
      </c>
      <c r="N672" s="10">
        <f t="shared" ref="N672:Q672" si="1149">SUBTOTAL(9,N673:N678)</f>
        <v>0</v>
      </c>
      <c r="O672" s="10">
        <f t="shared" si="1149"/>
        <v>2365</v>
      </c>
      <c r="P672" s="10">
        <f t="shared" si="1149"/>
        <v>0</v>
      </c>
      <c r="Q672" s="10">
        <f t="shared" si="1149"/>
        <v>3143.5</v>
      </c>
      <c r="R672" s="86"/>
      <c r="T672" s="235" t="str">
        <f t="shared" si="1118"/>
        <v xml:space="preserve"> </v>
      </c>
    </row>
    <row r="673" spans="1:20" x14ac:dyDescent="0.25">
      <c r="A673" s="157">
        <v>83.1</v>
      </c>
      <c r="B673" s="6">
        <v>1</v>
      </c>
      <c r="C673" s="9" t="s">
        <v>70</v>
      </c>
      <c r="D673" s="6" t="s">
        <v>26</v>
      </c>
      <c r="E673" s="17" t="str">
        <f>VLOOKUP(C673,Resources!B:G,3,FALSE)</f>
        <v>P</v>
      </c>
      <c r="F673" s="12">
        <v>1</v>
      </c>
      <c r="G673" s="26">
        <f>VLOOKUP($A673,'Model Inputs'!$A:$C,3,FALSE)</f>
        <v>10</v>
      </c>
      <c r="H673" s="12">
        <f>H672</f>
        <v>50</v>
      </c>
      <c r="I673" s="12">
        <f>VLOOKUP(C673,Resources!B:G,6,FALSE)</f>
        <v>135</v>
      </c>
      <c r="J673" s="21">
        <f t="shared" ref="J673:J678" si="1150">(H673/G673)*I673*F673</f>
        <v>675</v>
      </c>
      <c r="K673" s="21">
        <f t="shared" ref="K673:K678" si="1151">IF(E673="M"," ",L673*F673)</f>
        <v>5</v>
      </c>
      <c r="L673" s="24">
        <f t="shared" ref="L673:L678" si="1152">IF(E673="M"," ",H673/G673)</f>
        <v>5</v>
      </c>
      <c r="M673" s="24">
        <f t="shared" ref="M673:M678" si="1153">IF($E673="L",$J673,0)</f>
        <v>0</v>
      </c>
      <c r="N673" s="24">
        <f t="shared" ref="N673:N678" si="1154">IF($E673="M",$J673,0)</f>
        <v>0</v>
      </c>
      <c r="O673" s="24">
        <f t="shared" ref="O673:O678" si="1155">IF($E673="P",$J673,0)</f>
        <v>675</v>
      </c>
      <c r="P673" s="24">
        <f t="shared" ref="P673:P678" si="1156">IF($E673="S",$J673,0)</f>
        <v>0</v>
      </c>
      <c r="Q673" s="24">
        <f t="shared" ref="Q673:Q678" si="1157">SUM(M673:P673)</f>
        <v>675</v>
      </c>
      <c r="R673" s="87">
        <v>57</v>
      </c>
      <c r="T673" s="235" t="str">
        <f t="shared" si="1118"/>
        <v xml:space="preserve"> </v>
      </c>
    </row>
    <row r="674" spans="1:20" x14ac:dyDescent="0.25">
      <c r="A674" s="157"/>
      <c r="B674" s="6">
        <v>2</v>
      </c>
      <c r="C674" s="9" t="s">
        <v>27</v>
      </c>
      <c r="D674" s="6" t="s">
        <v>26</v>
      </c>
      <c r="E674" s="17" t="str">
        <f>VLOOKUP(C674,Resources!B:G,3,FALSE)</f>
        <v>P</v>
      </c>
      <c r="F674" s="12">
        <v>1</v>
      </c>
      <c r="G674" s="12">
        <f>G673</f>
        <v>10</v>
      </c>
      <c r="H674" s="12">
        <f>H672</f>
        <v>50</v>
      </c>
      <c r="I674" s="12">
        <f>VLOOKUP(C674,Resources!B:G,6,FALSE)</f>
        <v>90</v>
      </c>
      <c r="J674" s="21">
        <f t="shared" si="1150"/>
        <v>450</v>
      </c>
      <c r="K674" s="21">
        <f t="shared" si="1151"/>
        <v>5</v>
      </c>
      <c r="L674" s="24">
        <f t="shared" si="1152"/>
        <v>5</v>
      </c>
      <c r="M674" s="24">
        <f t="shared" si="1153"/>
        <v>0</v>
      </c>
      <c r="N674" s="24">
        <f t="shared" si="1154"/>
        <v>0</v>
      </c>
      <c r="O674" s="24">
        <f t="shared" si="1155"/>
        <v>450</v>
      </c>
      <c r="P674" s="24">
        <f t="shared" si="1156"/>
        <v>0</v>
      </c>
      <c r="Q674" s="24">
        <f t="shared" si="1157"/>
        <v>450</v>
      </c>
      <c r="R674" s="87">
        <v>57</v>
      </c>
      <c r="T674" s="235" t="str">
        <f t="shared" si="1118"/>
        <v xml:space="preserve"> </v>
      </c>
    </row>
    <row r="675" spans="1:20" x14ac:dyDescent="0.25">
      <c r="A675" s="157"/>
      <c r="B675" s="6">
        <v>3</v>
      </c>
      <c r="C675" s="9" t="s">
        <v>81</v>
      </c>
      <c r="D675" s="6" t="s">
        <v>26</v>
      </c>
      <c r="E675" s="17" t="str">
        <f>VLOOKUP(C675,Resources!B:G,3,FALSE)</f>
        <v>P</v>
      </c>
      <c r="F675" s="12">
        <v>1</v>
      </c>
      <c r="G675" s="12">
        <f>G673</f>
        <v>10</v>
      </c>
      <c r="H675" s="12">
        <f>H672</f>
        <v>50</v>
      </c>
      <c r="I675" s="12">
        <f>VLOOKUP(C675,Resources!B:G,6,FALSE)</f>
        <v>58</v>
      </c>
      <c r="J675" s="21">
        <f t="shared" si="1150"/>
        <v>290</v>
      </c>
      <c r="K675" s="21">
        <f t="shared" si="1151"/>
        <v>5</v>
      </c>
      <c r="L675" s="24">
        <f t="shared" si="1152"/>
        <v>5</v>
      </c>
      <c r="M675" s="24">
        <f t="shared" si="1153"/>
        <v>0</v>
      </c>
      <c r="N675" s="24">
        <f t="shared" si="1154"/>
        <v>0</v>
      </c>
      <c r="O675" s="24">
        <f t="shared" si="1155"/>
        <v>290</v>
      </c>
      <c r="P675" s="24">
        <f t="shared" si="1156"/>
        <v>0</v>
      </c>
      <c r="Q675" s="24">
        <f t="shared" si="1157"/>
        <v>290</v>
      </c>
      <c r="R675" s="87">
        <v>57</v>
      </c>
      <c r="T675" s="235" t="str">
        <f t="shared" si="1118"/>
        <v xml:space="preserve"> </v>
      </c>
    </row>
    <row r="676" spans="1:20" x14ac:dyDescent="0.25">
      <c r="A676" s="157"/>
      <c r="B676" s="6">
        <v>4</v>
      </c>
      <c r="C676" s="9" t="s">
        <v>28</v>
      </c>
      <c r="D676" s="6" t="s">
        <v>26</v>
      </c>
      <c r="E676" s="17" t="str">
        <f>VLOOKUP(C676,Resources!B:G,3,FALSE)</f>
        <v>P</v>
      </c>
      <c r="F676" s="12">
        <v>1</v>
      </c>
      <c r="G676" s="12">
        <f>G673</f>
        <v>10</v>
      </c>
      <c r="H676" s="12">
        <f>H672</f>
        <v>50</v>
      </c>
      <c r="I676" s="12">
        <f>VLOOKUP(C676,Resources!B:G,6,FALSE)</f>
        <v>95</v>
      </c>
      <c r="J676" s="21">
        <f t="shared" si="1150"/>
        <v>475</v>
      </c>
      <c r="K676" s="21">
        <f t="shared" si="1151"/>
        <v>5</v>
      </c>
      <c r="L676" s="24">
        <f t="shared" si="1152"/>
        <v>5</v>
      </c>
      <c r="M676" s="24">
        <f t="shared" si="1153"/>
        <v>0</v>
      </c>
      <c r="N676" s="24">
        <f t="shared" si="1154"/>
        <v>0</v>
      </c>
      <c r="O676" s="24">
        <f t="shared" si="1155"/>
        <v>475</v>
      </c>
      <c r="P676" s="24">
        <f t="shared" si="1156"/>
        <v>0</v>
      </c>
      <c r="Q676" s="24">
        <f t="shared" si="1157"/>
        <v>475</v>
      </c>
      <c r="R676" s="87">
        <v>57</v>
      </c>
      <c r="T676" s="235" t="str">
        <f t="shared" si="1118"/>
        <v xml:space="preserve"> </v>
      </c>
    </row>
    <row r="677" spans="1:20" x14ac:dyDescent="0.25">
      <c r="A677" s="157"/>
      <c r="B677" s="6">
        <v>5</v>
      </c>
      <c r="C677" s="9" t="s">
        <v>8</v>
      </c>
      <c r="D677" s="6" t="s">
        <v>26</v>
      </c>
      <c r="E677" s="17" t="str">
        <f>VLOOKUP(C677,Resources!B:G,3,FALSE)</f>
        <v>L</v>
      </c>
      <c r="F677" s="12">
        <v>3</v>
      </c>
      <c r="G677" s="12">
        <f>G673</f>
        <v>10</v>
      </c>
      <c r="H677" s="12">
        <f>H672</f>
        <v>50</v>
      </c>
      <c r="I677" s="12">
        <f>VLOOKUP(C677,Resources!B:G,6,FALSE)</f>
        <v>51.9</v>
      </c>
      <c r="J677" s="21">
        <f t="shared" si="1150"/>
        <v>778.5</v>
      </c>
      <c r="K677" s="21">
        <f t="shared" si="1151"/>
        <v>15</v>
      </c>
      <c r="L677" s="24">
        <f t="shared" si="1152"/>
        <v>5</v>
      </c>
      <c r="M677" s="24">
        <f t="shared" si="1153"/>
        <v>778.5</v>
      </c>
      <c r="N677" s="24">
        <f t="shared" si="1154"/>
        <v>0</v>
      </c>
      <c r="O677" s="24">
        <f t="shared" si="1155"/>
        <v>0</v>
      </c>
      <c r="P677" s="24">
        <f t="shared" si="1156"/>
        <v>0</v>
      </c>
      <c r="Q677" s="24">
        <f t="shared" si="1157"/>
        <v>778.5</v>
      </c>
      <c r="R677" s="87">
        <v>57</v>
      </c>
      <c r="T677" s="235" t="str">
        <f t="shared" si="1118"/>
        <v xml:space="preserve"> </v>
      </c>
    </row>
    <row r="678" spans="1:20" x14ac:dyDescent="0.25">
      <c r="A678" s="157"/>
      <c r="B678" s="6">
        <v>6</v>
      </c>
      <c r="C678" s="9" t="s">
        <v>82</v>
      </c>
      <c r="D678" s="6" t="s">
        <v>26</v>
      </c>
      <c r="E678" s="17" t="str">
        <f>VLOOKUP(C678,Resources!B:G,3,FALSE)</f>
        <v>P</v>
      </c>
      <c r="F678" s="12">
        <v>1</v>
      </c>
      <c r="G678" s="12">
        <f>G673</f>
        <v>10</v>
      </c>
      <c r="H678" s="12">
        <f>H672</f>
        <v>50</v>
      </c>
      <c r="I678" s="12">
        <f>VLOOKUP(C678,Resources!B:G,6,FALSE)</f>
        <v>95</v>
      </c>
      <c r="J678" s="21">
        <f t="shared" si="1150"/>
        <v>475</v>
      </c>
      <c r="K678" s="21">
        <f t="shared" si="1151"/>
        <v>5</v>
      </c>
      <c r="L678" s="24">
        <f t="shared" si="1152"/>
        <v>5</v>
      </c>
      <c r="M678" s="24">
        <f t="shared" si="1153"/>
        <v>0</v>
      </c>
      <c r="N678" s="24">
        <f t="shared" si="1154"/>
        <v>0</v>
      </c>
      <c r="O678" s="24">
        <f t="shared" si="1155"/>
        <v>475</v>
      </c>
      <c r="P678" s="24">
        <f t="shared" si="1156"/>
        <v>0</v>
      </c>
      <c r="Q678" s="24">
        <f t="shared" si="1157"/>
        <v>475</v>
      </c>
      <c r="R678" s="87">
        <v>57</v>
      </c>
      <c r="T678" s="235" t="str">
        <f t="shared" si="1118"/>
        <v xml:space="preserve"> </v>
      </c>
    </row>
    <row r="679" spans="1:20" x14ac:dyDescent="0.25">
      <c r="F679" s="11"/>
      <c r="G679" s="11"/>
      <c r="H679" s="11"/>
      <c r="I679" s="11"/>
      <c r="J679" s="11"/>
      <c r="K679" s="11"/>
      <c r="R679" s="88"/>
      <c r="T679" s="235" t="str">
        <f t="shared" si="1118"/>
        <v xml:space="preserve"> </v>
      </c>
    </row>
    <row r="680" spans="1:20" ht="75" x14ac:dyDescent="0.25">
      <c r="A680" s="156"/>
      <c r="B680" s="3" t="s">
        <v>287</v>
      </c>
      <c r="C680" s="3" t="s">
        <v>288</v>
      </c>
      <c r="D680" s="4"/>
      <c r="E680" s="15"/>
      <c r="F680" s="10"/>
      <c r="G680" s="10"/>
      <c r="H680" s="10"/>
      <c r="I680" s="10"/>
      <c r="J680" s="10"/>
      <c r="K680" s="10"/>
      <c r="L680" s="23"/>
      <c r="M680" s="23"/>
      <c r="N680" s="23"/>
      <c r="O680" s="23"/>
      <c r="P680" s="23"/>
      <c r="Q680" s="23"/>
      <c r="R680" s="86"/>
      <c r="T680" s="235" t="str">
        <f t="shared" si="1118"/>
        <v xml:space="preserve"> </v>
      </c>
    </row>
    <row r="681" spans="1:20" ht="90" x14ac:dyDescent="0.25">
      <c r="A681" s="156">
        <v>84</v>
      </c>
      <c r="B681" s="3" t="s">
        <v>289</v>
      </c>
      <c r="C681" s="3" t="s">
        <v>587</v>
      </c>
      <c r="D681" s="4" t="s">
        <v>88</v>
      </c>
      <c r="E681" s="15"/>
      <c r="F681" s="10"/>
      <c r="G681" s="10"/>
      <c r="H681" s="26">
        <f>VLOOKUP($A681,'Model Inputs'!$A:$C,3,FALSE)</f>
        <v>630</v>
      </c>
      <c r="I681" s="10"/>
      <c r="J681" s="10">
        <f>SUBTOTAL(9,J682:J688)</f>
        <v>1843.905</v>
      </c>
      <c r="K681" s="10"/>
      <c r="L681" s="10">
        <f>ROUNDUP(MAX(L682:L688)/Workhrs,0)</f>
        <v>1</v>
      </c>
      <c r="M681" s="10">
        <f>SUBTOTAL(9,M682:M688)</f>
        <v>490.45499999999993</v>
      </c>
      <c r="N681" s="10">
        <f t="shared" ref="N681:Q681" si="1158">SUBTOTAL(9,N682:N688)</f>
        <v>0</v>
      </c>
      <c r="O681" s="10">
        <f t="shared" si="1158"/>
        <v>1353.45</v>
      </c>
      <c r="P681" s="10">
        <f t="shared" si="1158"/>
        <v>0</v>
      </c>
      <c r="Q681" s="10">
        <f t="shared" si="1158"/>
        <v>1843.905</v>
      </c>
      <c r="R681" s="86"/>
      <c r="T681" s="235" t="str">
        <f t="shared" si="1118"/>
        <v xml:space="preserve"> </v>
      </c>
    </row>
    <row r="682" spans="1:20" x14ac:dyDescent="0.25">
      <c r="A682" s="157">
        <v>84.1</v>
      </c>
      <c r="B682" s="6">
        <v>1</v>
      </c>
      <c r="C682" s="9" t="s">
        <v>78</v>
      </c>
      <c r="D682" s="6" t="s">
        <v>26</v>
      </c>
      <c r="E682" s="17" t="str">
        <f>VLOOKUP(C682,Resources!B:G,3,FALSE)</f>
        <v>P</v>
      </c>
      <c r="F682" s="12">
        <v>1</v>
      </c>
      <c r="G682" s="26">
        <f>VLOOKUP($A682,'Model Inputs'!$A:$C,3,FALSE)</f>
        <v>200</v>
      </c>
      <c r="H682" s="12">
        <f>H681</f>
        <v>630</v>
      </c>
      <c r="I682" s="12">
        <f>VLOOKUP(C682,Resources!B:G,6,FALSE)</f>
        <v>160</v>
      </c>
      <c r="J682" s="21">
        <f t="shared" ref="J682:J688" si="1159">(H682/G682)*I682*F682</f>
        <v>504</v>
      </c>
      <c r="K682" s="21">
        <f t="shared" ref="K682:K688" si="1160">IF(E682="M"," ",L682*F682)</f>
        <v>3.15</v>
      </c>
      <c r="L682" s="24">
        <f t="shared" ref="L682:L688" si="1161">IF(E682="M"," ",H682/G682)</f>
        <v>3.15</v>
      </c>
      <c r="M682" s="24">
        <f t="shared" ref="M682:M688" si="1162">IF($E682="L",$J682,0)</f>
        <v>0</v>
      </c>
      <c r="N682" s="24">
        <f t="shared" ref="N682:N688" si="1163">IF($E682="M",$J682,0)</f>
        <v>0</v>
      </c>
      <c r="O682" s="24">
        <f t="shared" ref="O682:O688" si="1164">IF($E682="P",$J682,0)</f>
        <v>504</v>
      </c>
      <c r="P682" s="24">
        <f t="shared" ref="P682:P688" si="1165">IF($E682="S",$J682,0)</f>
        <v>0</v>
      </c>
      <c r="Q682" s="24">
        <f t="shared" ref="Q682:Q688" si="1166">SUM(M682:P682)</f>
        <v>504</v>
      </c>
      <c r="R682" s="87">
        <v>62</v>
      </c>
      <c r="T682" s="235" t="str">
        <f t="shared" si="1118"/>
        <v xml:space="preserve"> </v>
      </c>
    </row>
    <row r="683" spans="1:20" x14ac:dyDescent="0.25">
      <c r="A683" s="157"/>
      <c r="B683" s="6">
        <v>2</v>
      </c>
      <c r="C683" s="9" t="s">
        <v>89</v>
      </c>
      <c r="D683" s="6" t="s">
        <v>26</v>
      </c>
      <c r="E683" s="17" t="str">
        <f>VLOOKUP(C683,Resources!B:G,3,FALSE)</f>
        <v>P</v>
      </c>
      <c r="F683" s="12">
        <v>1</v>
      </c>
      <c r="G683" s="12">
        <f>G682</f>
        <v>200</v>
      </c>
      <c r="H683" s="12">
        <f>H681</f>
        <v>630</v>
      </c>
      <c r="I683" s="12">
        <f>VLOOKUP(C683,Resources!B:G,6,FALSE)</f>
        <v>55</v>
      </c>
      <c r="J683" s="21">
        <f t="shared" si="1159"/>
        <v>173.25</v>
      </c>
      <c r="K683" s="21">
        <f t="shared" si="1160"/>
        <v>3.15</v>
      </c>
      <c r="L683" s="24">
        <f t="shared" si="1161"/>
        <v>3.15</v>
      </c>
      <c r="M683" s="24">
        <f t="shared" si="1162"/>
        <v>0</v>
      </c>
      <c r="N683" s="24">
        <f t="shared" si="1163"/>
        <v>0</v>
      </c>
      <c r="O683" s="24">
        <f t="shared" si="1164"/>
        <v>173.25</v>
      </c>
      <c r="P683" s="24">
        <f t="shared" si="1165"/>
        <v>0</v>
      </c>
      <c r="Q683" s="24">
        <f t="shared" si="1166"/>
        <v>173.25</v>
      </c>
      <c r="R683" s="87">
        <v>62</v>
      </c>
      <c r="T683" s="235" t="str">
        <f t="shared" si="1118"/>
        <v xml:space="preserve"> </v>
      </c>
    </row>
    <row r="684" spans="1:20" x14ac:dyDescent="0.25">
      <c r="A684" s="157"/>
      <c r="B684" s="6">
        <v>3</v>
      </c>
      <c r="C684" s="9" t="s">
        <v>81</v>
      </c>
      <c r="D684" s="6" t="s">
        <v>26</v>
      </c>
      <c r="E684" s="17" t="str">
        <f>VLOOKUP(C684,Resources!B:G,3,FALSE)</f>
        <v>P</v>
      </c>
      <c r="F684" s="12">
        <v>1</v>
      </c>
      <c r="G684" s="12">
        <f>G682</f>
        <v>200</v>
      </c>
      <c r="H684" s="12">
        <f>H681</f>
        <v>630</v>
      </c>
      <c r="I684" s="12">
        <f>VLOOKUP(C684,Resources!B:G,6,FALSE)</f>
        <v>58</v>
      </c>
      <c r="J684" s="21">
        <f t="shared" si="1159"/>
        <v>182.7</v>
      </c>
      <c r="K684" s="21">
        <f t="shared" si="1160"/>
        <v>3.15</v>
      </c>
      <c r="L684" s="24">
        <f t="shared" si="1161"/>
        <v>3.15</v>
      </c>
      <c r="M684" s="24">
        <f t="shared" si="1162"/>
        <v>0</v>
      </c>
      <c r="N684" s="24">
        <f t="shared" si="1163"/>
        <v>0</v>
      </c>
      <c r="O684" s="24">
        <f t="shared" si="1164"/>
        <v>182.7</v>
      </c>
      <c r="P684" s="24">
        <f t="shared" si="1165"/>
        <v>0</v>
      </c>
      <c r="Q684" s="24">
        <f t="shared" si="1166"/>
        <v>182.7</v>
      </c>
      <c r="R684" s="87">
        <v>62</v>
      </c>
      <c r="T684" s="235" t="str">
        <f t="shared" si="1118"/>
        <v xml:space="preserve"> </v>
      </c>
    </row>
    <row r="685" spans="1:20" x14ac:dyDescent="0.25">
      <c r="A685" s="157"/>
      <c r="B685" s="6">
        <v>4</v>
      </c>
      <c r="C685" s="9" t="s">
        <v>28</v>
      </c>
      <c r="D685" s="6" t="s">
        <v>26</v>
      </c>
      <c r="E685" s="17" t="str">
        <f>VLOOKUP(C685,Resources!B:G,3,FALSE)</f>
        <v>P</v>
      </c>
      <c r="F685" s="12">
        <v>1</v>
      </c>
      <c r="G685" s="12">
        <f>G682</f>
        <v>200</v>
      </c>
      <c r="H685" s="12">
        <f>H681</f>
        <v>630</v>
      </c>
      <c r="I685" s="12">
        <f>VLOOKUP(C685,Resources!B:G,6,FALSE)</f>
        <v>95</v>
      </c>
      <c r="J685" s="21">
        <f t="shared" si="1159"/>
        <v>299.25</v>
      </c>
      <c r="K685" s="21">
        <f t="shared" si="1160"/>
        <v>3.15</v>
      </c>
      <c r="L685" s="24">
        <f t="shared" si="1161"/>
        <v>3.15</v>
      </c>
      <c r="M685" s="24">
        <f t="shared" si="1162"/>
        <v>0</v>
      </c>
      <c r="N685" s="24">
        <f t="shared" si="1163"/>
        <v>0</v>
      </c>
      <c r="O685" s="24">
        <f t="shared" si="1164"/>
        <v>299.25</v>
      </c>
      <c r="P685" s="24">
        <f t="shared" si="1165"/>
        <v>0</v>
      </c>
      <c r="Q685" s="24">
        <f t="shared" si="1166"/>
        <v>299.25</v>
      </c>
      <c r="R685" s="87">
        <v>62</v>
      </c>
      <c r="T685" s="235" t="str">
        <f t="shared" si="1118"/>
        <v xml:space="preserve"> </v>
      </c>
    </row>
    <row r="686" spans="1:20" x14ac:dyDescent="0.25">
      <c r="A686" s="157"/>
      <c r="B686" s="6">
        <v>5</v>
      </c>
      <c r="C686" s="9" t="s">
        <v>8</v>
      </c>
      <c r="D686" s="6" t="s">
        <v>26</v>
      </c>
      <c r="E686" s="17" t="str">
        <f>VLOOKUP(C686,Resources!B:G,3,FALSE)</f>
        <v>L</v>
      </c>
      <c r="F686" s="12">
        <v>3</v>
      </c>
      <c r="G686" s="12">
        <f>G682</f>
        <v>200</v>
      </c>
      <c r="H686" s="12">
        <f>H681</f>
        <v>630</v>
      </c>
      <c r="I686" s="12">
        <f>VLOOKUP(C686,Resources!B:G,6,FALSE)</f>
        <v>51.9</v>
      </c>
      <c r="J686" s="21">
        <f t="shared" si="1159"/>
        <v>490.45499999999993</v>
      </c>
      <c r="K686" s="21">
        <f t="shared" si="1160"/>
        <v>9.4499999999999993</v>
      </c>
      <c r="L686" s="24">
        <f t="shared" si="1161"/>
        <v>3.15</v>
      </c>
      <c r="M686" s="24">
        <f t="shared" si="1162"/>
        <v>490.45499999999993</v>
      </c>
      <c r="N686" s="24">
        <f t="shared" si="1163"/>
        <v>0</v>
      </c>
      <c r="O686" s="24">
        <f t="shared" si="1164"/>
        <v>0</v>
      </c>
      <c r="P686" s="24">
        <f t="shared" si="1165"/>
        <v>0</v>
      </c>
      <c r="Q686" s="24">
        <f t="shared" si="1166"/>
        <v>490.45499999999993</v>
      </c>
      <c r="R686" s="87">
        <v>62</v>
      </c>
      <c r="T686" s="235" t="str">
        <f t="shared" si="1118"/>
        <v xml:space="preserve"> </v>
      </c>
    </row>
    <row r="687" spans="1:20" x14ac:dyDescent="0.25">
      <c r="A687" s="157"/>
      <c r="B687" s="6">
        <v>6</v>
      </c>
      <c r="C687" s="9" t="s">
        <v>82</v>
      </c>
      <c r="D687" s="6" t="s">
        <v>26</v>
      </c>
      <c r="E687" s="17" t="str">
        <f>VLOOKUP(C687,Resources!B:G,3,FALSE)</f>
        <v>P</v>
      </c>
      <c r="F687" s="12">
        <v>1</v>
      </c>
      <c r="G687" s="12">
        <f>G682*3</f>
        <v>600</v>
      </c>
      <c r="H687" s="12">
        <f>H681</f>
        <v>630</v>
      </c>
      <c r="I687" s="12">
        <f>VLOOKUP(C687,Resources!B:G,6,FALSE)</f>
        <v>95</v>
      </c>
      <c r="J687" s="21">
        <f t="shared" si="1159"/>
        <v>99.75</v>
      </c>
      <c r="K687" s="21">
        <f t="shared" si="1160"/>
        <v>1.05</v>
      </c>
      <c r="L687" s="24">
        <f t="shared" si="1161"/>
        <v>1.05</v>
      </c>
      <c r="M687" s="24">
        <f t="shared" si="1162"/>
        <v>0</v>
      </c>
      <c r="N687" s="24">
        <f t="shared" si="1163"/>
        <v>0</v>
      </c>
      <c r="O687" s="24">
        <f t="shared" si="1164"/>
        <v>99.75</v>
      </c>
      <c r="P687" s="24">
        <f t="shared" si="1165"/>
        <v>0</v>
      </c>
      <c r="Q687" s="24">
        <f t="shared" si="1166"/>
        <v>99.75</v>
      </c>
      <c r="R687" s="87">
        <v>62</v>
      </c>
      <c r="T687" s="235" t="str">
        <f t="shared" si="1118"/>
        <v xml:space="preserve"> </v>
      </c>
    </row>
    <row r="688" spans="1:20" x14ac:dyDescent="0.25">
      <c r="A688" s="157"/>
      <c r="B688" s="6">
        <v>7</v>
      </c>
      <c r="C688" s="9" t="s">
        <v>27</v>
      </c>
      <c r="D688" s="6" t="s">
        <v>26</v>
      </c>
      <c r="E688" s="17" t="str">
        <f>VLOOKUP(C688,Resources!B:G,3,FALSE)</f>
        <v>P</v>
      </c>
      <c r="F688" s="12">
        <v>1</v>
      </c>
      <c r="G688" s="12">
        <f>G682*3</f>
        <v>600</v>
      </c>
      <c r="H688" s="12">
        <f>H681</f>
        <v>630</v>
      </c>
      <c r="I688" s="12">
        <f>VLOOKUP(C688,Resources!B:G,6,FALSE)</f>
        <v>90</v>
      </c>
      <c r="J688" s="21">
        <f t="shared" si="1159"/>
        <v>94.5</v>
      </c>
      <c r="K688" s="21">
        <f t="shared" si="1160"/>
        <v>1.05</v>
      </c>
      <c r="L688" s="24">
        <f t="shared" si="1161"/>
        <v>1.05</v>
      </c>
      <c r="M688" s="24">
        <f t="shared" si="1162"/>
        <v>0</v>
      </c>
      <c r="N688" s="24">
        <f t="shared" si="1163"/>
        <v>0</v>
      </c>
      <c r="O688" s="24">
        <f t="shared" si="1164"/>
        <v>94.5</v>
      </c>
      <c r="P688" s="24">
        <f t="shared" si="1165"/>
        <v>0</v>
      </c>
      <c r="Q688" s="24">
        <f t="shared" si="1166"/>
        <v>94.5</v>
      </c>
      <c r="R688" s="87">
        <v>62</v>
      </c>
      <c r="T688" s="235" t="str">
        <f t="shared" si="1118"/>
        <v xml:space="preserve"> </v>
      </c>
    </row>
    <row r="689" spans="1:20" x14ac:dyDescent="0.25">
      <c r="F689" s="11"/>
      <c r="G689" s="11"/>
      <c r="H689" s="11"/>
      <c r="I689" s="11"/>
      <c r="J689" s="11"/>
      <c r="K689" s="11"/>
      <c r="R689" s="88"/>
      <c r="T689" s="235" t="str">
        <f t="shared" si="1118"/>
        <v xml:space="preserve"> </v>
      </c>
    </row>
    <row r="690" spans="1:20" ht="90" x14ac:dyDescent="0.25">
      <c r="A690" s="156">
        <v>85</v>
      </c>
      <c r="B690" s="3" t="s">
        <v>290</v>
      </c>
      <c r="C690" s="3" t="s">
        <v>619</v>
      </c>
      <c r="D690" s="4" t="s">
        <v>88</v>
      </c>
      <c r="E690" s="15"/>
      <c r="F690" s="10"/>
      <c r="G690" s="10"/>
      <c r="H690" s="26">
        <f>VLOOKUP($A690,'Model Inputs'!$A:$C,3,FALSE)</f>
        <v>574</v>
      </c>
      <c r="I690" s="10"/>
      <c r="J690" s="10">
        <f>SUBTOTAL(9,J691:J697)</f>
        <v>1680.0023333333336</v>
      </c>
      <c r="K690" s="10"/>
      <c r="L690" s="10">
        <f>ROUNDUP(MAX(L691:L697)/Workhrs,0)</f>
        <v>1</v>
      </c>
      <c r="M690" s="10">
        <f>SUBTOTAL(9,M691:M697)</f>
        <v>446.85900000000004</v>
      </c>
      <c r="N690" s="10">
        <f t="shared" ref="N690:Q690" si="1167">SUBTOTAL(9,N691:N697)</f>
        <v>0</v>
      </c>
      <c r="O690" s="10">
        <f t="shared" si="1167"/>
        <v>1233.1433333333334</v>
      </c>
      <c r="P690" s="10">
        <f t="shared" si="1167"/>
        <v>0</v>
      </c>
      <c r="Q690" s="10">
        <f t="shared" si="1167"/>
        <v>1680.0023333333336</v>
      </c>
      <c r="R690" s="86"/>
      <c r="T690" s="235" t="str">
        <f t="shared" si="1118"/>
        <v xml:space="preserve"> </v>
      </c>
    </row>
    <row r="691" spans="1:20" x14ac:dyDescent="0.25">
      <c r="A691" s="157">
        <v>85.1</v>
      </c>
      <c r="B691" s="6">
        <v>1</v>
      </c>
      <c r="C691" s="9" t="s">
        <v>78</v>
      </c>
      <c r="D691" s="6" t="s">
        <v>26</v>
      </c>
      <c r="E691" s="17" t="str">
        <f>VLOOKUP(C691,Resources!B:G,3,FALSE)</f>
        <v>P</v>
      </c>
      <c r="F691" s="12">
        <v>1</v>
      </c>
      <c r="G691" s="26">
        <f>VLOOKUP($A691,'Model Inputs'!$A:$C,3,FALSE)</f>
        <v>200</v>
      </c>
      <c r="H691" s="12">
        <f>H690</f>
        <v>574</v>
      </c>
      <c r="I691" s="12">
        <f>VLOOKUP(C691,Resources!B:G,6,FALSE)</f>
        <v>160</v>
      </c>
      <c r="J691" s="21">
        <f t="shared" ref="J691:J697" si="1168">(H691/G691)*I691*F691</f>
        <v>459.20000000000005</v>
      </c>
      <c r="K691" s="21">
        <f t="shared" ref="K691:K697" si="1169">IF(E691="M"," ",L691*F691)</f>
        <v>2.87</v>
      </c>
      <c r="L691" s="24">
        <f t="shared" ref="L691:L697" si="1170">IF(E691="M"," ",H691/G691)</f>
        <v>2.87</v>
      </c>
      <c r="M691" s="24">
        <f t="shared" ref="M691:M697" si="1171">IF($E691="L",$J691,0)</f>
        <v>0</v>
      </c>
      <c r="N691" s="24">
        <f t="shared" ref="N691:N697" si="1172">IF($E691="M",$J691,0)</f>
        <v>0</v>
      </c>
      <c r="O691" s="24">
        <f t="shared" ref="O691:O697" si="1173">IF($E691="P",$J691,0)</f>
        <v>459.20000000000005</v>
      </c>
      <c r="P691" s="24">
        <f t="shared" ref="P691:P697" si="1174">IF($E691="S",$J691,0)</f>
        <v>0</v>
      </c>
      <c r="Q691" s="24">
        <f t="shared" ref="Q691:Q697" si="1175">SUM(M691:P691)</f>
        <v>459.20000000000005</v>
      </c>
      <c r="R691" s="87">
        <v>62</v>
      </c>
      <c r="T691" s="235" t="str">
        <f t="shared" si="1118"/>
        <v xml:space="preserve"> </v>
      </c>
    </row>
    <row r="692" spans="1:20" x14ac:dyDescent="0.25">
      <c r="A692" s="157"/>
      <c r="B692" s="6">
        <v>2</v>
      </c>
      <c r="C692" s="9" t="s">
        <v>89</v>
      </c>
      <c r="D692" s="6" t="s">
        <v>26</v>
      </c>
      <c r="E692" s="17" t="str">
        <f>VLOOKUP(C692,Resources!B:G,3,FALSE)</f>
        <v>P</v>
      </c>
      <c r="F692" s="12">
        <v>1</v>
      </c>
      <c r="G692" s="12">
        <f>G691</f>
        <v>200</v>
      </c>
      <c r="H692" s="12">
        <f>H690</f>
        <v>574</v>
      </c>
      <c r="I692" s="12">
        <f>VLOOKUP(C692,Resources!B:G,6,FALSE)</f>
        <v>55</v>
      </c>
      <c r="J692" s="21">
        <f t="shared" si="1168"/>
        <v>157.85</v>
      </c>
      <c r="K692" s="21">
        <f t="shared" si="1169"/>
        <v>2.87</v>
      </c>
      <c r="L692" s="24">
        <f t="shared" si="1170"/>
        <v>2.87</v>
      </c>
      <c r="M692" s="24">
        <f t="shared" si="1171"/>
        <v>0</v>
      </c>
      <c r="N692" s="24">
        <f t="shared" si="1172"/>
        <v>0</v>
      </c>
      <c r="O692" s="24">
        <f t="shared" si="1173"/>
        <v>157.85</v>
      </c>
      <c r="P692" s="24">
        <f t="shared" si="1174"/>
        <v>0</v>
      </c>
      <c r="Q692" s="24">
        <f t="shared" si="1175"/>
        <v>157.85</v>
      </c>
      <c r="R692" s="87">
        <v>62</v>
      </c>
      <c r="T692" s="235" t="str">
        <f t="shared" si="1118"/>
        <v xml:space="preserve"> </v>
      </c>
    </row>
    <row r="693" spans="1:20" x14ac:dyDescent="0.25">
      <c r="A693" s="157"/>
      <c r="B693" s="6">
        <v>3</v>
      </c>
      <c r="C693" s="9" t="s">
        <v>81</v>
      </c>
      <c r="D693" s="6" t="s">
        <v>26</v>
      </c>
      <c r="E693" s="17" t="str">
        <f>VLOOKUP(C693,Resources!B:G,3,FALSE)</f>
        <v>P</v>
      </c>
      <c r="F693" s="12">
        <v>1</v>
      </c>
      <c r="G693" s="12">
        <f>G691</f>
        <v>200</v>
      </c>
      <c r="H693" s="12">
        <f>H690</f>
        <v>574</v>
      </c>
      <c r="I693" s="12">
        <f>VLOOKUP(C693,Resources!B:G,6,FALSE)</f>
        <v>58</v>
      </c>
      <c r="J693" s="21">
        <f t="shared" si="1168"/>
        <v>166.46</v>
      </c>
      <c r="K693" s="21">
        <f t="shared" si="1169"/>
        <v>2.87</v>
      </c>
      <c r="L693" s="24">
        <f t="shared" si="1170"/>
        <v>2.87</v>
      </c>
      <c r="M693" s="24">
        <f t="shared" si="1171"/>
        <v>0</v>
      </c>
      <c r="N693" s="24">
        <f t="shared" si="1172"/>
        <v>0</v>
      </c>
      <c r="O693" s="24">
        <f t="shared" si="1173"/>
        <v>166.46</v>
      </c>
      <c r="P693" s="24">
        <f t="shared" si="1174"/>
        <v>0</v>
      </c>
      <c r="Q693" s="24">
        <f t="shared" si="1175"/>
        <v>166.46</v>
      </c>
      <c r="R693" s="87">
        <v>62</v>
      </c>
      <c r="T693" s="235" t="str">
        <f t="shared" si="1118"/>
        <v xml:space="preserve"> </v>
      </c>
    </row>
    <row r="694" spans="1:20" x14ac:dyDescent="0.25">
      <c r="A694" s="157"/>
      <c r="B694" s="6">
        <v>4</v>
      </c>
      <c r="C694" s="9" t="s">
        <v>28</v>
      </c>
      <c r="D694" s="6" t="s">
        <v>26</v>
      </c>
      <c r="E694" s="17" t="str">
        <f>VLOOKUP(C694,Resources!B:G,3,FALSE)</f>
        <v>P</v>
      </c>
      <c r="F694" s="12">
        <v>1</v>
      </c>
      <c r="G694" s="12">
        <f>G691</f>
        <v>200</v>
      </c>
      <c r="H694" s="12">
        <f>H690</f>
        <v>574</v>
      </c>
      <c r="I694" s="12">
        <f>VLOOKUP(C694,Resources!B:G,6,FALSE)</f>
        <v>95</v>
      </c>
      <c r="J694" s="21">
        <f t="shared" si="1168"/>
        <v>272.65000000000003</v>
      </c>
      <c r="K694" s="21">
        <f t="shared" si="1169"/>
        <v>2.87</v>
      </c>
      <c r="L694" s="24">
        <f t="shared" si="1170"/>
        <v>2.87</v>
      </c>
      <c r="M694" s="24">
        <f t="shared" si="1171"/>
        <v>0</v>
      </c>
      <c r="N694" s="24">
        <f t="shared" si="1172"/>
        <v>0</v>
      </c>
      <c r="O694" s="24">
        <f t="shared" si="1173"/>
        <v>272.65000000000003</v>
      </c>
      <c r="P694" s="24">
        <f t="shared" si="1174"/>
        <v>0</v>
      </c>
      <c r="Q694" s="24">
        <f t="shared" si="1175"/>
        <v>272.65000000000003</v>
      </c>
      <c r="R694" s="87">
        <v>62</v>
      </c>
      <c r="T694" s="235" t="str">
        <f t="shared" si="1118"/>
        <v xml:space="preserve"> </v>
      </c>
    </row>
    <row r="695" spans="1:20" x14ac:dyDescent="0.25">
      <c r="A695" s="157"/>
      <c r="B695" s="6">
        <v>5</v>
      </c>
      <c r="C695" s="9" t="s">
        <v>8</v>
      </c>
      <c r="D695" s="6" t="s">
        <v>26</v>
      </c>
      <c r="E695" s="17" t="str">
        <f>VLOOKUP(C695,Resources!B:G,3,FALSE)</f>
        <v>L</v>
      </c>
      <c r="F695" s="12">
        <v>3</v>
      </c>
      <c r="G695" s="12">
        <f>G691</f>
        <v>200</v>
      </c>
      <c r="H695" s="12">
        <f>H690</f>
        <v>574</v>
      </c>
      <c r="I695" s="12">
        <f>VLOOKUP(C695,Resources!B:G,6,FALSE)</f>
        <v>51.9</v>
      </c>
      <c r="J695" s="21">
        <f t="shared" si="1168"/>
        <v>446.85900000000004</v>
      </c>
      <c r="K695" s="21">
        <f t="shared" si="1169"/>
        <v>8.61</v>
      </c>
      <c r="L695" s="24">
        <f t="shared" si="1170"/>
        <v>2.87</v>
      </c>
      <c r="M695" s="24">
        <f t="shared" si="1171"/>
        <v>446.85900000000004</v>
      </c>
      <c r="N695" s="24">
        <f t="shared" si="1172"/>
        <v>0</v>
      </c>
      <c r="O695" s="24">
        <f t="shared" si="1173"/>
        <v>0</v>
      </c>
      <c r="P695" s="24">
        <f t="shared" si="1174"/>
        <v>0</v>
      </c>
      <c r="Q695" s="24">
        <f t="shared" si="1175"/>
        <v>446.85900000000004</v>
      </c>
      <c r="R695" s="87">
        <v>62</v>
      </c>
      <c r="T695" s="235" t="str">
        <f t="shared" si="1118"/>
        <v xml:space="preserve"> </v>
      </c>
    </row>
    <row r="696" spans="1:20" x14ac:dyDescent="0.25">
      <c r="A696" s="157"/>
      <c r="B696" s="6">
        <v>6</v>
      </c>
      <c r="C696" s="9" t="s">
        <v>82</v>
      </c>
      <c r="D696" s="6" t="s">
        <v>26</v>
      </c>
      <c r="E696" s="17" t="str">
        <f>VLOOKUP(C696,Resources!B:G,3,FALSE)</f>
        <v>P</v>
      </c>
      <c r="F696" s="12">
        <v>1</v>
      </c>
      <c r="G696" s="12">
        <f>G691*3</f>
        <v>600</v>
      </c>
      <c r="H696" s="12">
        <f>H690</f>
        <v>574</v>
      </c>
      <c r="I696" s="12">
        <f>VLOOKUP(C696,Resources!B:G,6,FALSE)</f>
        <v>95</v>
      </c>
      <c r="J696" s="21">
        <f t="shared" si="1168"/>
        <v>90.88333333333334</v>
      </c>
      <c r="K696" s="21">
        <f t="shared" si="1169"/>
        <v>0.95666666666666667</v>
      </c>
      <c r="L696" s="24">
        <f t="shared" si="1170"/>
        <v>0.95666666666666667</v>
      </c>
      <c r="M696" s="24">
        <f t="shared" si="1171"/>
        <v>0</v>
      </c>
      <c r="N696" s="24">
        <f t="shared" si="1172"/>
        <v>0</v>
      </c>
      <c r="O696" s="24">
        <f t="shared" si="1173"/>
        <v>90.88333333333334</v>
      </c>
      <c r="P696" s="24">
        <f t="shared" si="1174"/>
        <v>0</v>
      </c>
      <c r="Q696" s="24">
        <f t="shared" si="1175"/>
        <v>90.88333333333334</v>
      </c>
      <c r="R696" s="87">
        <v>62</v>
      </c>
      <c r="T696" s="235" t="str">
        <f t="shared" si="1118"/>
        <v xml:space="preserve"> </v>
      </c>
    </row>
    <row r="697" spans="1:20" x14ac:dyDescent="0.25">
      <c r="A697" s="157"/>
      <c r="B697" s="6">
        <v>7</v>
      </c>
      <c r="C697" s="9" t="s">
        <v>27</v>
      </c>
      <c r="D697" s="6" t="s">
        <v>26</v>
      </c>
      <c r="E697" s="17" t="str">
        <f>VLOOKUP(C697,Resources!B:G,3,FALSE)</f>
        <v>P</v>
      </c>
      <c r="F697" s="12">
        <v>1</v>
      </c>
      <c r="G697" s="12">
        <f>G691*3</f>
        <v>600</v>
      </c>
      <c r="H697" s="12">
        <f>H690</f>
        <v>574</v>
      </c>
      <c r="I697" s="12">
        <f>VLOOKUP(C697,Resources!B:G,6,FALSE)</f>
        <v>90</v>
      </c>
      <c r="J697" s="21">
        <f t="shared" si="1168"/>
        <v>86.1</v>
      </c>
      <c r="K697" s="21">
        <f t="shared" si="1169"/>
        <v>0.95666666666666667</v>
      </c>
      <c r="L697" s="24">
        <f t="shared" si="1170"/>
        <v>0.95666666666666667</v>
      </c>
      <c r="M697" s="24">
        <f t="shared" si="1171"/>
        <v>0</v>
      </c>
      <c r="N697" s="24">
        <f t="shared" si="1172"/>
        <v>0</v>
      </c>
      <c r="O697" s="24">
        <f t="shared" si="1173"/>
        <v>86.1</v>
      </c>
      <c r="P697" s="24">
        <f t="shared" si="1174"/>
        <v>0</v>
      </c>
      <c r="Q697" s="24">
        <f t="shared" si="1175"/>
        <v>86.1</v>
      </c>
      <c r="R697" s="87">
        <v>62</v>
      </c>
      <c r="T697" s="235" t="str">
        <f t="shared" si="1118"/>
        <v xml:space="preserve"> </v>
      </c>
    </row>
    <row r="698" spans="1:20" x14ac:dyDescent="0.25">
      <c r="F698" s="11"/>
      <c r="G698" s="11"/>
      <c r="H698" s="11"/>
      <c r="I698" s="11"/>
      <c r="J698" s="11"/>
      <c r="K698" s="11"/>
      <c r="R698" s="88"/>
      <c r="T698" s="235" t="str">
        <f t="shared" si="1118"/>
        <v xml:space="preserve"> </v>
      </c>
    </row>
    <row r="699" spans="1:20" ht="45" x14ac:dyDescent="0.25">
      <c r="A699" s="156"/>
      <c r="B699" s="3" t="s">
        <v>291</v>
      </c>
      <c r="C699" s="3" t="s">
        <v>292</v>
      </c>
      <c r="D699" s="4"/>
      <c r="E699" s="15"/>
      <c r="F699" s="10"/>
      <c r="G699" s="10"/>
      <c r="H699" s="10"/>
      <c r="I699" s="10"/>
      <c r="J699" s="10"/>
      <c r="K699" s="10"/>
      <c r="L699" s="23"/>
      <c r="M699" s="23"/>
      <c r="N699" s="23"/>
      <c r="O699" s="23"/>
      <c r="P699" s="23"/>
      <c r="Q699" s="23"/>
      <c r="R699" s="86"/>
      <c r="T699" s="235" t="str">
        <f t="shared" si="1118"/>
        <v xml:space="preserve"> </v>
      </c>
    </row>
    <row r="700" spans="1:20" ht="77.25" customHeight="1" x14ac:dyDescent="0.25">
      <c r="A700" s="156">
        <v>86</v>
      </c>
      <c r="B700" s="3" t="s">
        <v>293</v>
      </c>
      <c r="C700" s="3" t="s">
        <v>588</v>
      </c>
      <c r="D700" s="4" t="s">
        <v>88</v>
      </c>
      <c r="E700" s="15"/>
      <c r="F700" s="10"/>
      <c r="G700" s="10"/>
      <c r="H700" s="26">
        <f>VLOOKUP($A700,'Model Inputs'!$A:$C,3,FALSE)</f>
        <v>437</v>
      </c>
      <c r="I700" s="10"/>
      <c r="J700" s="10">
        <f>SUBTOTAL(9,J701:J707)</f>
        <v>925.43357575757568</v>
      </c>
      <c r="K700" s="10"/>
      <c r="L700" s="10">
        <f>ROUNDUP(MAX(L701:L707)/Workhrs,0)</f>
        <v>1</v>
      </c>
      <c r="M700" s="10">
        <f>SUBTOTAL(9,M701:M707)</f>
        <v>247.42145454545454</v>
      </c>
      <c r="N700" s="10">
        <f t="shared" ref="N700:Q700" si="1176">SUBTOTAL(9,N701:N707)</f>
        <v>0</v>
      </c>
      <c r="O700" s="10">
        <f t="shared" si="1176"/>
        <v>678.0121212121212</v>
      </c>
      <c r="P700" s="10">
        <f t="shared" si="1176"/>
        <v>0</v>
      </c>
      <c r="Q700" s="10">
        <f t="shared" si="1176"/>
        <v>925.43357575757568</v>
      </c>
      <c r="R700" s="86"/>
      <c r="T700" s="235" t="str">
        <f t="shared" si="1118"/>
        <v xml:space="preserve"> </v>
      </c>
    </row>
    <row r="701" spans="1:20" x14ac:dyDescent="0.25">
      <c r="A701" s="157">
        <v>86.1</v>
      </c>
      <c r="B701" s="6">
        <v>1</v>
      </c>
      <c r="C701" s="9" t="s">
        <v>78</v>
      </c>
      <c r="D701" s="6" t="s">
        <v>26</v>
      </c>
      <c r="E701" s="17" t="str">
        <f>VLOOKUP(C701,Resources!B:G,3,FALSE)</f>
        <v>P</v>
      </c>
      <c r="F701" s="12">
        <v>1</v>
      </c>
      <c r="G701" s="26">
        <f>VLOOKUP($A701,'Model Inputs'!$A:$C,3,FALSE)</f>
        <v>275</v>
      </c>
      <c r="H701" s="12">
        <f>H700</f>
        <v>437</v>
      </c>
      <c r="I701" s="12">
        <f>VLOOKUP(C701,Resources!B:G,6,FALSE)</f>
        <v>160</v>
      </c>
      <c r="J701" s="21">
        <f t="shared" ref="J701:J707" si="1177">(H701/G701)*I701*F701</f>
        <v>254.25454545454545</v>
      </c>
      <c r="K701" s="21">
        <f t="shared" ref="K701:K707" si="1178">IF(E701="M"," ",L701*F701)</f>
        <v>1.5890909090909091</v>
      </c>
      <c r="L701" s="24">
        <f t="shared" ref="L701:L707" si="1179">IF(E701="M"," ",H701/G701)</f>
        <v>1.5890909090909091</v>
      </c>
      <c r="M701" s="24">
        <f t="shared" ref="M701:M707" si="1180">IF($E701="L",$J701,0)</f>
        <v>0</v>
      </c>
      <c r="N701" s="24">
        <f t="shared" ref="N701:N707" si="1181">IF($E701="M",$J701,0)</f>
        <v>0</v>
      </c>
      <c r="O701" s="24">
        <f t="shared" ref="O701:O707" si="1182">IF($E701="P",$J701,0)</f>
        <v>254.25454545454545</v>
      </c>
      <c r="P701" s="24">
        <f t="shared" ref="P701:P707" si="1183">IF($E701="S",$J701,0)</f>
        <v>0</v>
      </c>
      <c r="Q701" s="24">
        <f t="shared" ref="Q701:Q707" si="1184">SUM(M701:P701)</f>
        <v>254.25454545454545</v>
      </c>
      <c r="R701" s="87">
        <v>63</v>
      </c>
      <c r="T701" s="235" t="str">
        <f t="shared" si="1118"/>
        <v xml:space="preserve"> </v>
      </c>
    </row>
    <row r="702" spans="1:20" x14ac:dyDescent="0.25">
      <c r="A702" s="157"/>
      <c r="B702" s="6">
        <v>2</v>
      </c>
      <c r="C702" s="9" t="s">
        <v>89</v>
      </c>
      <c r="D702" s="6" t="s">
        <v>26</v>
      </c>
      <c r="E702" s="17" t="str">
        <f>VLOOKUP(C702,Resources!B:G,3,FALSE)</f>
        <v>P</v>
      </c>
      <c r="F702" s="12">
        <v>1</v>
      </c>
      <c r="G702" s="12">
        <f>G701</f>
        <v>275</v>
      </c>
      <c r="H702" s="12">
        <f>H700</f>
        <v>437</v>
      </c>
      <c r="I702" s="12">
        <f>VLOOKUP(C702,Resources!B:G,6,FALSE)</f>
        <v>55</v>
      </c>
      <c r="J702" s="21">
        <f t="shared" si="1177"/>
        <v>87.4</v>
      </c>
      <c r="K702" s="21">
        <f t="shared" si="1178"/>
        <v>1.5890909090909091</v>
      </c>
      <c r="L702" s="24">
        <f t="shared" si="1179"/>
        <v>1.5890909090909091</v>
      </c>
      <c r="M702" s="24">
        <f t="shared" si="1180"/>
        <v>0</v>
      </c>
      <c r="N702" s="24">
        <f t="shared" si="1181"/>
        <v>0</v>
      </c>
      <c r="O702" s="24">
        <f t="shared" si="1182"/>
        <v>87.4</v>
      </c>
      <c r="P702" s="24">
        <f t="shared" si="1183"/>
        <v>0</v>
      </c>
      <c r="Q702" s="24">
        <f t="shared" si="1184"/>
        <v>87.4</v>
      </c>
      <c r="R702" s="87">
        <v>63</v>
      </c>
      <c r="T702" s="235" t="str">
        <f t="shared" si="1118"/>
        <v xml:space="preserve"> </v>
      </c>
    </row>
    <row r="703" spans="1:20" x14ac:dyDescent="0.25">
      <c r="A703" s="157"/>
      <c r="B703" s="6">
        <v>3</v>
      </c>
      <c r="C703" s="9" t="s">
        <v>490</v>
      </c>
      <c r="D703" s="6" t="s">
        <v>26</v>
      </c>
      <c r="E703" s="17" t="str">
        <f>VLOOKUP(C703,Resources!B:G,3,FALSE)</f>
        <v>P</v>
      </c>
      <c r="F703" s="12">
        <v>1</v>
      </c>
      <c r="G703" s="12">
        <f>G701</f>
        <v>275</v>
      </c>
      <c r="H703" s="12">
        <f>H700</f>
        <v>437</v>
      </c>
      <c r="I703" s="12">
        <f>VLOOKUP(C703,Resources!B:G,6,FALSE)</f>
        <v>55</v>
      </c>
      <c r="J703" s="21">
        <f t="shared" si="1177"/>
        <v>87.4</v>
      </c>
      <c r="K703" s="21">
        <f t="shared" si="1178"/>
        <v>1.5890909090909091</v>
      </c>
      <c r="L703" s="24">
        <f t="shared" si="1179"/>
        <v>1.5890909090909091</v>
      </c>
      <c r="M703" s="24">
        <f t="shared" si="1180"/>
        <v>0</v>
      </c>
      <c r="N703" s="24">
        <f t="shared" si="1181"/>
        <v>0</v>
      </c>
      <c r="O703" s="24">
        <f t="shared" si="1182"/>
        <v>87.4</v>
      </c>
      <c r="P703" s="24">
        <f t="shared" si="1183"/>
        <v>0</v>
      </c>
      <c r="Q703" s="24">
        <f t="shared" si="1184"/>
        <v>87.4</v>
      </c>
      <c r="R703" s="87">
        <v>63</v>
      </c>
      <c r="T703" s="235" t="str">
        <f t="shared" si="1118"/>
        <v xml:space="preserve"> </v>
      </c>
    </row>
    <row r="704" spans="1:20" x14ac:dyDescent="0.25">
      <c r="A704" s="157"/>
      <c r="B704" s="6">
        <v>4</v>
      </c>
      <c r="C704" s="9" t="s">
        <v>28</v>
      </c>
      <c r="D704" s="6" t="s">
        <v>26</v>
      </c>
      <c r="E704" s="17" t="str">
        <f>VLOOKUP(C704,Resources!B:G,3,FALSE)</f>
        <v>P</v>
      </c>
      <c r="F704" s="12">
        <v>1</v>
      </c>
      <c r="G704" s="12">
        <f>G701</f>
        <v>275</v>
      </c>
      <c r="H704" s="12">
        <f>H700</f>
        <v>437</v>
      </c>
      <c r="I704" s="12">
        <f>VLOOKUP(C704,Resources!B:G,6,FALSE)</f>
        <v>95</v>
      </c>
      <c r="J704" s="21">
        <f t="shared" si="1177"/>
        <v>150.96363636363637</v>
      </c>
      <c r="K704" s="21">
        <f t="shared" si="1178"/>
        <v>1.5890909090909091</v>
      </c>
      <c r="L704" s="24">
        <f t="shared" si="1179"/>
        <v>1.5890909090909091</v>
      </c>
      <c r="M704" s="24">
        <f t="shared" si="1180"/>
        <v>0</v>
      </c>
      <c r="N704" s="24">
        <f t="shared" si="1181"/>
        <v>0</v>
      </c>
      <c r="O704" s="24">
        <f t="shared" si="1182"/>
        <v>150.96363636363637</v>
      </c>
      <c r="P704" s="24">
        <f t="shared" si="1183"/>
        <v>0</v>
      </c>
      <c r="Q704" s="24">
        <f t="shared" si="1184"/>
        <v>150.96363636363637</v>
      </c>
      <c r="R704" s="87">
        <v>63</v>
      </c>
      <c r="T704" s="235" t="str">
        <f t="shared" si="1118"/>
        <v xml:space="preserve"> </v>
      </c>
    </row>
    <row r="705" spans="1:20" x14ac:dyDescent="0.25">
      <c r="A705" s="157"/>
      <c r="B705" s="6">
        <v>5</v>
      </c>
      <c r="C705" s="9" t="s">
        <v>8</v>
      </c>
      <c r="D705" s="6" t="s">
        <v>26</v>
      </c>
      <c r="E705" s="17" t="str">
        <f>VLOOKUP(C705,Resources!B:G,3,FALSE)</f>
        <v>L</v>
      </c>
      <c r="F705" s="12">
        <v>3</v>
      </c>
      <c r="G705" s="12">
        <f>G701</f>
        <v>275</v>
      </c>
      <c r="H705" s="12">
        <f>H700</f>
        <v>437</v>
      </c>
      <c r="I705" s="12">
        <f>VLOOKUP(C705,Resources!B:G,6,FALSE)</f>
        <v>51.9</v>
      </c>
      <c r="J705" s="21">
        <f t="shared" si="1177"/>
        <v>247.42145454545454</v>
      </c>
      <c r="K705" s="21">
        <f t="shared" si="1178"/>
        <v>4.7672727272727276</v>
      </c>
      <c r="L705" s="24">
        <f t="shared" si="1179"/>
        <v>1.5890909090909091</v>
      </c>
      <c r="M705" s="24">
        <f t="shared" si="1180"/>
        <v>247.42145454545454</v>
      </c>
      <c r="N705" s="24">
        <f t="shared" si="1181"/>
        <v>0</v>
      </c>
      <c r="O705" s="24">
        <f t="shared" si="1182"/>
        <v>0</v>
      </c>
      <c r="P705" s="24">
        <f t="shared" si="1183"/>
        <v>0</v>
      </c>
      <c r="Q705" s="24">
        <f t="shared" si="1184"/>
        <v>247.42145454545454</v>
      </c>
      <c r="R705" s="87">
        <v>63</v>
      </c>
      <c r="T705" s="235" t="str">
        <f t="shared" si="1118"/>
        <v xml:space="preserve"> </v>
      </c>
    </row>
    <row r="706" spans="1:20" x14ac:dyDescent="0.25">
      <c r="A706" s="157"/>
      <c r="B706" s="6">
        <v>6</v>
      </c>
      <c r="C706" s="9" t="s">
        <v>82</v>
      </c>
      <c r="D706" s="6" t="s">
        <v>26</v>
      </c>
      <c r="E706" s="17" t="str">
        <f>VLOOKUP(C706,Resources!B:G,3,FALSE)</f>
        <v>P</v>
      </c>
      <c r="F706" s="12">
        <v>1</v>
      </c>
      <c r="G706" s="12">
        <f>G701*3</f>
        <v>825</v>
      </c>
      <c r="H706" s="12">
        <f>H700</f>
        <v>437</v>
      </c>
      <c r="I706" s="12">
        <f>VLOOKUP(C706,Resources!B:G,6,FALSE)</f>
        <v>95</v>
      </c>
      <c r="J706" s="21">
        <f t="shared" si="1177"/>
        <v>50.32121212121212</v>
      </c>
      <c r="K706" s="21">
        <f t="shared" si="1178"/>
        <v>0.52969696969696967</v>
      </c>
      <c r="L706" s="24">
        <f t="shared" si="1179"/>
        <v>0.52969696969696967</v>
      </c>
      <c r="M706" s="24">
        <f t="shared" si="1180"/>
        <v>0</v>
      </c>
      <c r="N706" s="24">
        <f t="shared" si="1181"/>
        <v>0</v>
      </c>
      <c r="O706" s="24">
        <f t="shared" si="1182"/>
        <v>50.32121212121212</v>
      </c>
      <c r="P706" s="24">
        <f t="shared" si="1183"/>
        <v>0</v>
      </c>
      <c r="Q706" s="24">
        <f t="shared" si="1184"/>
        <v>50.32121212121212</v>
      </c>
      <c r="R706" s="87">
        <v>63</v>
      </c>
      <c r="T706" s="235" t="str">
        <f t="shared" si="1118"/>
        <v xml:space="preserve"> </v>
      </c>
    </row>
    <row r="707" spans="1:20" x14ac:dyDescent="0.25">
      <c r="A707" s="157"/>
      <c r="B707" s="6">
        <v>7</v>
      </c>
      <c r="C707" s="9" t="s">
        <v>27</v>
      </c>
      <c r="D707" s="6" t="s">
        <v>26</v>
      </c>
      <c r="E707" s="17" t="str">
        <f>VLOOKUP(C707,Resources!B:G,3,FALSE)</f>
        <v>P</v>
      </c>
      <c r="F707" s="12">
        <v>1</v>
      </c>
      <c r="G707" s="12">
        <f>G701*3</f>
        <v>825</v>
      </c>
      <c r="H707" s="12">
        <f>H700</f>
        <v>437</v>
      </c>
      <c r="I707" s="12">
        <f>VLOOKUP(C707,Resources!B:G,6,FALSE)</f>
        <v>90</v>
      </c>
      <c r="J707" s="21">
        <f t="shared" si="1177"/>
        <v>47.672727272727272</v>
      </c>
      <c r="K707" s="21">
        <f t="shared" si="1178"/>
        <v>0.52969696969696967</v>
      </c>
      <c r="L707" s="24">
        <f t="shared" si="1179"/>
        <v>0.52969696969696967</v>
      </c>
      <c r="M707" s="24">
        <f t="shared" si="1180"/>
        <v>0</v>
      </c>
      <c r="N707" s="24">
        <f t="shared" si="1181"/>
        <v>0</v>
      </c>
      <c r="O707" s="24">
        <f t="shared" si="1182"/>
        <v>47.672727272727272</v>
      </c>
      <c r="P707" s="24">
        <f t="shared" si="1183"/>
        <v>0</v>
      </c>
      <c r="Q707" s="24">
        <f t="shared" si="1184"/>
        <v>47.672727272727272</v>
      </c>
      <c r="R707" s="87">
        <v>63</v>
      </c>
      <c r="T707" s="235" t="str">
        <f t="shared" si="1118"/>
        <v xml:space="preserve"> </v>
      </c>
    </row>
    <row r="708" spans="1:20" x14ac:dyDescent="0.25">
      <c r="F708" s="11"/>
      <c r="G708" s="11"/>
      <c r="H708" s="11"/>
      <c r="I708" s="11"/>
      <c r="J708" s="11"/>
      <c r="K708" s="11"/>
      <c r="R708" s="88"/>
      <c r="T708" s="235" t="str">
        <f t="shared" si="1118"/>
        <v xml:space="preserve"> </v>
      </c>
    </row>
    <row r="709" spans="1:20" ht="77.25" customHeight="1" x14ac:dyDescent="0.25">
      <c r="A709" s="156">
        <v>87</v>
      </c>
      <c r="B709" s="3" t="s">
        <v>294</v>
      </c>
      <c r="C709" s="3" t="s">
        <v>617</v>
      </c>
      <c r="D709" s="4" t="s">
        <v>88</v>
      </c>
      <c r="E709" s="15"/>
      <c r="F709" s="10"/>
      <c r="G709" s="10"/>
      <c r="H709" s="26">
        <f>VLOOKUP($A709,'Model Inputs'!$A:$C,3,FALSE)</f>
        <v>415</v>
      </c>
      <c r="I709" s="10"/>
      <c r="J709" s="10">
        <f>SUBTOTAL(9,J710:J716)</f>
        <v>878.84424242424234</v>
      </c>
      <c r="K709" s="10"/>
      <c r="L709" s="10">
        <f>ROUNDUP(MAX(L710:L716)/Workhrs,0)</f>
        <v>1</v>
      </c>
      <c r="M709" s="10">
        <f>SUBTOTAL(9,M710:M716)</f>
        <v>234.96545454545452</v>
      </c>
      <c r="N709" s="10">
        <f t="shared" ref="N709:Q709" si="1185">SUBTOTAL(9,N710:N716)</f>
        <v>0</v>
      </c>
      <c r="O709" s="10">
        <f t="shared" si="1185"/>
        <v>643.87878787878776</v>
      </c>
      <c r="P709" s="10">
        <f t="shared" si="1185"/>
        <v>0</v>
      </c>
      <c r="Q709" s="10">
        <f t="shared" si="1185"/>
        <v>878.84424242424234</v>
      </c>
      <c r="R709" s="86"/>
      <c r="T709" s="235" t="str">
        <f t="shared" si="1118"/>
        <v xml:space="preserve"> </v>
      </c>
    </row>
    <row r="710" spans="1:20" x14ac:dyDescent="0.25">
      <c r="A710" s="157">
        <v>87.1</v>
      </c>
      <c r="B710" s="6">
        <v>1</v>
      </c>
      <c r="C710" s="9" t="s">
        <v>78</v>
      </c>
      <c r="D710" s="6" t="s">
        <v>26</v>
      </c>
      <c r="E710" s="17" t="str">
        <f>VLOOKUP(C710,Resources!B:G,3,FALSE)</f>
        <v>P</v>
      </c>
      <c r="F710" s="12">
        <v>1</v>
      </c>
      <c r="G710" s="26">
        <f>VLOOKUP($A710,'Model Inputs'!$A:$C,3,FALSE)</f>
        <v>275</v>
      </c>
      <c r="H710" s="12">
        <f>H709</f>
        <v>415</v>
      </c>
      <c r="I710" s="12">
        <f>VLOOKUP(C710,Resources!B:G,6,FALSE)</f>
        <v>160</v>
      </c>
      <c r="J710" s="21">
        <f t="shared" ref="J710:J716" si="1186">(H710/G710)*I710*F710</f>
        <v>241.45454545454544</v>
      </c>
      <c r="K710" s="21">
        <f t="shared" ref="K710:K716" si="1187">IF(E710="M"," ",L710*F710)</f>
        <v>1.509090909090909</v>
      </c>
      <c r="L710" s="24">
        <f t="shared" ref="L710:L716" si="1188">IF(E710="M"," ",H710/G710)</f>
        <v>1.509090909090909</v>
      </c>
      <c r="M710" s="24">
        <f t="shared" ref="M710:M716" si="1189">IF($E710="L",$J710,0)</f>
        <v>0</v>
      </c>
      <c r="N710" s="24">
        <f t="shared" ref="N710:N716" si="1190">IF($E710="M",$J710,0)</f>
        <v>0</v>
      </c>
      <c r="O710" s="24">
        <f t="shared" ref="O710:O716" si="1191">IF($E710="P",$J710,0)</f>
        <v>241.45454545454544</v>
      </c>
      <c r="P710" s="24">
        <f t="shared" ref="P710:P716" si="1192">IF($E710="S",$J710,0)</f>
        <v>0</v>
      </c>
      <c r="Q710" s="24">
        <f t="shared" ref="Q710:Q716" si="1193">SUM(M710:P710)</f>
        <v>241.45454545454544</v>
      </c>
      <c r="R710" s="87">
        <v>63</v>
      </c>
      <c r="T710" s="235" t="str">
        <f t="shared" si="1118"/>
        <v xml:space="preserve"> </v>
      </c>
    </row>
    <row r="711" spans="1:20" x14ac:dyDescent="0.25">
      <c r="A711" s="157"/>
      <c r="B711" s="6">
        <v>2</v>
      </c>
      <c r="C711" s="9" t="s">
        <v>89</v>
      </c>
      <c r="D711" s="6" t="s">
        <v>26</v>
      </c>
      <c r="E711" s="17" t="str">
        <f>VLOOKUP(C711,Resources!B:G,3,FALSE)</f>
        <v>P</v>
      </c>
      <c r="F711" s="12">
        <v>1</v>
      </c>
      <c r="G711" s="12">
        <f>G710</f>
        <v>275</v>
      </c>
      <c r="H711" s="12">
        <f>H709</f>
        <v>415</v>
      </c>
      <c r="I711" s="12">
        <f>VLOOKUP(C711,Resources!B:G,6,FALSE)</f>
        <v>55</v>
      </c>
      <c r="J711" s="21">
        <f t="shared" si="1186"/>
        <v>83</v>
      </c>
      <c r="K711" s="21">
        <f t="shared" si="1187"/>
        <v>1.509090909090909</v>
      </c>
      <c r="L711" s="24">
        <f t="shared" si="1188"/>
        <v>1.509090909090909</v>
      </c>
      <c r="M711" s="24">
        <f t="shared" si="1189"/>
        <v>0</v>
      </c>
      <c r="N711" s="24">
        <f t="shared" si="1190"/>
        <v>0</v>
      </c>
      <c r="O711" s="24">
        <f t="shared" si="1191"/>
        <v>83</v>
      </c>
      <c r="P711" s="24">
        <f t="shared" si="1192"/>
        <v>0</v>
      </c>
      <c r="Q711" s="24">
        <f t="shared" si="1193"/>
        <v>83</v>
      </c>
      <c r="R711" s="87">
        <v>63</v>
      </c>
      <c r="T711" s="235" t="str">
        <f t="shared" si="1118"/>
        <v xml:space="preserve"> </v>
      </c>
    </row>
    <row r="712" spans="1:20" x14ac:dyDescent="0.25">
      <c r="A712" s="157"/>
      <c r="B712" s="6">
        <v>3</v>
      </c>
      <c r="C712" s="9" t="s">
        <v>490</v>
      </c>
      <c r="D712" s="6" t="s">
        <v>26</v>
      </c>
      <c r="E712" s="17" t="str">
        <f>VLOOKUP(C712,Resources!B:G,3,FALSE)</f>
        <v>P</v>
      </c>
      <c r="F712" s="12">
        <v>1</v>
      </c>
      <c r="G712" s="12">
        <f>G710</f>
        <v>275</v>
      </c>
      <c r="H712" s="12">
        <f>H709</f>
        <v>415</v>
      </c>
      <c r="I712" s="12">
        <f>VLOOKUP(C712,Resources!B:G,6,FALSE)</f>
        <v>55</v>
      </c>
      <c r="J712" s="21">
        <f t="shared" si="1186"/>
        <v>83</v>
      </c>
      <c r="K712" s="21">
        <f t="shared" si="1187"/>
        <v>1.509090909090909</v>
      </c>
      <c r="L712" s="24">
        <f t="shared" si="1188"/>
        <v>1.509090909090909</v>
      </c>
      <c r="M712" s="24">
        <f t="shared" si="1189"/>
        <v>0</v>
      </c>
      <c r="N712" s="24">
        <f t="shared" si="1190"/>
        <v>0</v>
      </c>
      <c r="O712" s="24">
        <f t="shared" si="1191"/>
        <v>83</v>
      </c>
      <c r="P712" s="24">
        <f t="shared" si="1192"/>
        <v>0</v>
      </c>
      <c r="Q712" s="24">
        <f t="shared" si="1193"/>
        <v>83</v>
      </c>
      <c r="R712" s="87">
        <v>63</v>
      </c>
      <c r="T712" s="235" t="str">
        <f t="shared" ref="T712:T775" si="1194">IF(R712=$U$7,"y"," ")</f>
        <v xml:space="preserve"> </v>
      </c>
    </row>
    <row r="713" spans="1:20" x14ac:dyDescent="0.25">
      <c r="A713" s="157"/>
      <c r="B713" s="6">
        <v>4</v>
      </c>
      <c r="C713" s="9" t="s">
        <v>28</v>
      </c>
      <c r="D713" s="6" t="s">
        <v>26</v>
      </c>
      <c r="E713" s="17" t="str">
        <f>VLOOKUP(C713,Resources!B:G,3,FALSE)</f>
        <v>P</v>
      </c>
      <c r="F713" s="12">
        <v>1</v>
      </c>
      <c r="G713" s="12">
        <f>G710</f>
        <v>275</v>
      </c>
      <c r="H713" s="12">
        <f>H709</f>
        <v>415</v>
      </c>
      <c r="I713" s="12">
        <f>VLOOKUP(C713,Resources!B:G,6,FALSE)</f>
        <v>95</v>
      </c>
      <c r="J713" s="21">
        <f t="shared" si="1186"/>
        <v>143.36363636363635</v>
      </c>
      <c r="K713" s="21">
        <f t="shared" si="1187"/>
        <v>1.509090909090909</v>
      </c>
      <c r="L713" s="24">
        <f t="shared" si="1188"/>
        <v>1.509090909090909</v>
      </c>
      <c r="M713" s="24">
        <f t="shared" si="1189"/>
        <v>0</v>
      </c>
      <c r="N713" s="24">
        <f t="shared" si="1190"/>
        <v>0</v>
      </c>
      <c r="O713" s="24">
        <f t="shared" si="1191"/>
        <v>143.36363636363635</v>
      </c>
      <c r="P713" s="24">
        <f t="shared" si="1192"/>
        <v>0</v>
      </c>
      <c r="Q713" s="24">
        <f t="shared" si="1193"/>
        <v>143.36363636363635</v>
      </c>
      <c r="R713" s="87">
        <v>63</v>
      </c>
      <c r="T713" s="235" t="str">
        <f t="shared" si="1194"/>
        <v xml:space="preserve"> </v>
      </c>
    </row>
    <row r="714" spans="1:20" x14ac:dyDescent="0.25">
      <c r="A714" s="157"/>
      <c r="B714" s="6">
        <v>5</v>
      </c>
      <c r="C714" s="9" t="s">
        <v>8</v>
      </c>
      <c r="D714" s="6" t="s">
        <v>26</v>
      </c>
      <c r="E714" s="17" t="str">
        <f>VLOOKUP(C714,Resources!B:G,3,FALSE)</f>
        <v>L</v>
      </c>
      <c r="F714" s="12">
        <v>3</v>
      </c>
      <c r="G714" s="12">
        <f>G710</f>
        <v>275</v>
      </c>
      <c r="H714" s="12">
        <f>H709</f>
        <v>415</v>
      </c>
      <c r="I714" s="12">
        <f>VLOOKUP(C714,Resources!B:G,6,FALSE)</f>
        <v>51.9</v>
      </c>
      <c r="J714" s="21">
        <f t="shared" si="1186"/>
        <v>234.96545454545452</v>
      </c>
      <c r="K714" s="21">
        <f t="shared" si="1187"/>
        <v>4.5272727272727273</v>
      </c>
      <c r="L714" s="24">
        <f t="shared" si="1188"/>
        <v>1.509090909090909</v>
      </c>
      <c r="M714" s="24">
        <f t="shared" si="1189"/>
        <v>234.96545454545452</v>
      </c>
      <c r="N714" s="24">
        <f t="shared" si="1190"/>
        <v>0</v>
      </c>
      <c r="O714" s="24">
        <f t="shared" si="1191"/>
        <v>0</v>
      </c>
      <c r="P714" s="24">
        <f t="shared" si="1192"/>
        <v>0</v>
      </c>
      <c r="Q714" s="24">
        <f t="shared" si="1193"/>
        <v>234.96545454545452</v>
      </c>
      <c r="R714" s="87">
        <v>63</v>
      </c>
      <c r="T714" s="235" t="str">
        <f t="shared" si="1194"/>
        <v xml:space="preserve"> </v>
      </c>
    </row>
    <row r="715" spans="1:20" x14ac:dyDescent="0.25">
      <c r="A715" s="157"/>
      <c r="B715" s="6">
        <v>6</v>
      </c>
      <c r="C715" s="9" t="s">
        <v>82</v>
      </c>
      <c r="D715" s="6" t="s">
        <v>26</v>
      </c>
      <c r="E715" s="17" t="str">
        <f>VLOOKUP(C715,Resources!B:G,3,FALSE)</f>
        <v>P</v>
      </c>
      <c r="F715" s="12">
        <v>1</v>
      </c>
      <c r="G715" s="12">
        <f>G710*3</f>
        <v>825</v>
      </c>
      <c r="H715" s="12">
        <f>H709</f>
        <v>415</v>
      </c>
      <c r="I715" s="12">
        <f>VLOOKUP(C715,Resources!B:G,6,FALSE)</f>
        <v>95</v>
      </c>
      <c r="J715" s="21">
        <f t="shared" si="1186"/>
        <v>47.787878787878789</v>
      </c>
      <c r="K715" s="21">
        <f t="shared" si="1187"/>
        <v>0.50303030303030305</v>
      </c>
      <c r="L715" s="24">
        <f t="shared" si="1188"/>
        <v>0.50303030303030305</v>
      </c>
      <c r="M715" s="24">
        <f t="shared" si="1189"/>
        <v>0</v>
      </c>
      <c r="N715" s="24">
        <f t="shared" si="1190"/>
        <v>0</v>
      </c>
      <c r="O715" s="24">
        <f t="shared" si="1191"/>
        <v>47.787878787878789</v>
      </c>
      <c r="P715" s="24">
        <f t="shared" si="1192"/>
        <v>0</v>
      </c>
      <c r="Q715" s="24">
        <f t="shared" si="1193"/>
        <v>47.787878787878789</v>
      </c>
      <c r="R715" s="87">
        <v>63</v>
      </c>
      <c r="T715" s="235" t="str">
        <f t="shared" si="1194"/>
        <v xml:space="preserve"> </v>
      </c>
    </row>
    <row r="716" spans="1:20" x14ac:dyDescent="0.25">
      <c r="A716" s="157"/>
      <c r="B716" s="6">
        <v>7</v>
      </c>
      <c r="C716" s="9" t="s">
        <v>27</v>
      </c>
      <c r="D716" s="6" t="s">
        <v>26</v>
      </c>
      <c r="E716" s="17" t="str">
        <f>VLOOKUP(C716,Resources!B:G,3,FALSE)</f>
        <v>P</v>
      </c>
      <c r="F716" s="12">
        <v>1</v>
      </c>
      <c r="G716" s="12">
        <f>G710*3</f>
        <v>825</v>
      </c>
      <c r="H716" s="12">
        <f>H709</f>
        <v>415</v>
      </c>
      <c r="I716" s="12">
        <f>VLOOKUP(C716,Resources!B:G,6,FALSE)</f>
        <v>90</v>
      </c>
      <c r="J716" s="21">
        <f t="shared" si="1186"/>
        <v>45.272727272727273</v>
      </c>
      <c r="K716" s="21">
        <f t="shared" si="1187"/>
        <v>0.50303030303030305</v>
      </c>
      <c r="L716" s="24">
        <f t="shared" si="1188"/>
        <v>0.50303030303030305</v>
      </c>
      <c r="M716" s="24">
        <f t="shared" si="1189"/>
        <v>0</v>
      </c>
      <c r="N716" s="24">
        <f t="shared" si="1190"/>
        <v>0</v>
      </c>
      <c r="O716" s="24">
        <f t="shared" si="1191"/>
        <v>45.272727272727273</v>
      </c>
      <c r="P716" s="24">
        <f t="shared" si="1192"/>
        <v>0</v>
      </c>
      <c r="Q716" s="24">
        <f t="shared" si="1193"/>
        <v>45.272727272727273</v>
      </c>
      <c r="R716" s="87">
        <v>63</v>
      </c>
      <c r="T716" s="235" t="str">
        <f t="shared" si="1194"/>
        <v xml:space="preserve"> </v>
      </c>
    </row>
    <row r="717" spans="1:20" x14ac:dyDescent="0.25">
      <c r="F717" s="11"/>
      <c r="G717" s="11"/>
      <c r="H717" s="11"/>
      <c r="I717" s="11"/>
      <c r="J717" s="11"/>
      <c r="K717" s="11"/>
      <c r="R717" s="88"/>
      <c r="T717" s="235" t="str">
        <f t="shared" si="1194"/>
        <v xml:space="preserve"> </v>
      </c>
    </row>
    <row r="718" spans="1:20" ht="30" x14ac:dyDescent="0.25">
      <c r="A718" s="156"/>
      <c r="B718" s="3" t="s">
        <v>295</v>
      </c>
      <c r="C718" s="3" t="s">
        <v>94</v>
      </c>
      <c r="D718" s="4"/>
      <c r="E718" s="15"/>
      <c r="F718" s="10"/>
      <c r="G718" s="10"/>
      <c r="H718" s="10"/>
      <c r="I718" s="10"/>
      <c r="J718" s="10"/>
      <c r="K718" s="10"/>
      <c r="L718" s="23"/>
      <c r="M718" s="23"/>
      <c r="N718" s="23"/>
      <c r="O718" s="23"/>
      <c r="P718" s="23"/>
      <c r="Q718" s="23"/>
      <c r="R718" s="86"/>
      <c r="T718" s="235" t="str">
        <f t="shared" si="1194"/>
        <v xml:space="preserve"> </v>
      </c>
    </row>
    <row r="719" spans="1:20" ht="30" x14ac:dyDescent="0.25">
      <c r="A719" s="156"/>
      <c r="B719" s="3" t="s">
        <v>296</v>
      </c>
      <c r="C719" s="3" t="s">
        <v>96</v>
      </c>
      <c r="D719" s="4"/>
      <c r="E719" s="15"/>
      <c r="F719" s="10"/>
      <c r="G719" s="10"/>
      <c r="H719" s="10"/>
      <c r="I719" s="10"/>
      <c r="J719" s="10"/>
      <c r="K719" s="10"/>
      <c r="L719" s="23"/>
      <c r="M719" s="23"/>
      <c r="N719" s="23"/>
      <c r="O719" s="23"/>
      <c r="P719" s="23"/>
      <c r="Q719" s="23"/>
      <c r="R719" s="86"/>
      <c r="T719" s="235" t="str">
        <f t="shared" si="1194"/>
        <v xml:space="preserve"> </v>
      </c>
    </row>
    <row r="720" spans="1:20" ht="30" x14ac:dyDescent="0.25">
      <c r="A720" s="156"/>
      <c r="B720" s="3" t="s">
        <v>297</v>
      </c>
      <c r="C720" s="3" t="s">
        <v>298</v>
      </c>
      <c r="D720" s="4"/>
      <c r="E720" s="15"/>
      <c r="F720" s="10"/>
      <c r="G720" s="10"/>
      <c r="H720" s="10"/>
      <c r="I720" s="10"/>
      <c r="J720" s="10"/>
      <c r="K720" s="10"/>
      <c r="L720" s="23"/>
      <c r="M720" s="23"/>
      <c r="N720" s="23"/>
      <c r="O720" s="23"/>
      <c r="P720" s="23"/>
      <c r="Q720" s="23"/>
      <c r="R720" s="86"/>
      <c r="T720" s="235" t="str">
        <f t="shared" si="1194"/>
        <v xml:space="preserve"> </v>
      </c>
    </row>
    <row r="721" spans="1:21" ht="60" x14ac:dyDescent="0.25">
      <c r="A721" s="156">
        <v>88</v>
      </c>
      <c r="B721" s="3" t="s">
        <v>299</v>
      </c>
      <c r="C721" s="3" t="s">
        <v>589</v>
      </c>
      <c r="D721" s="4" t="s">
        <v>74</v>
      </c>
      <c r="E721" s="15"/>
      <c r="F721" s="10"/>
      <c r="G721" s="10"/>
      <c r="H721" s="26">
        <f>VLOOKUP($A721,'Model Inputs'!$A:$C,3,FALSE)</f>
        <v>70</v>
      </c>
      <c r="I721" s="10"/>
      <c r="J721" s="10">
        <f>SUBTOTAL(9,J722:J726,J728:J729)</f>
        <v>7478.2426181619103</v>
      </c>
      <c r="K721" s="10"/>
      <c r="L721" s="10">
        <f>ROUNDUP(MAX(L722:L726,L728:L729)/Workhrs,0)</f>
        <v>1</v>
      </c>
      <c r="M721" s="10">
        <f>SUBTOTAL(9,M722:M726,M728:M729)</f>
        <v>384.18782906085471</v>
      </c>
      <c r="N721" s="10">
        <f t="shared" ref="N721:Q721" si="1195">SUBTOTAL(9,N722:N726,N728:N729)</f>
        <v>5551.875</v>
      </c>
      <c r="O721" s="10">
        <f t="shared" si="1195"/>
        <v>1542.1797891010542</v>
      </c>
      <c r="P721" s="10">
        <f t="shared" si="1195"/>
        <v>0</v>
      </c>
      <c r="Q721" s="10">
        <f t="shared" si="1195"/>
        <v>7478.2426181619103</v>
      </c>
      <c r="R721" s="86"/>
      <c r="T721" s="235" t="str">
        <f t="shared" si="1194"/>
        <v xml:space="preserve"> </v>
      </c>
    </row>
    <row r="722" spans="1:21" x14ac:dyDescent="0.25">
      <c r="A722" s="157">
        <v>88.1</v>
      </c>
      <c r="B722" s="6">
        <v>1</v>
      </c>
      <c r="C722" s="9" t="s">
        <v>198</v>
      </c>
      <c r="D722" s="6" t="s">
        <v>100</v>
      </c>
      <c r="E722" s="17" t="str">
        <f>VLOOKUP(C722,Resources!B:G,3,FALSE)</f>
        <v>M</v>
      </c>
      <c r="F722" s="12">
        <v>1</v>
      </c>
      <c r="G722" s="12">
        <v>1</v>
      </c>
      <c r="H722" s="12">
        <f>H721*2.35</f>
        <v>164.5</v>
      </c>
      <c r="I722" s="12">
        <f>VLOOKUP(C722,Resources!B:G,6,FALSE)</f>
        <v>33.75</v>
      </c>
      <c r="J722" s="21">
        <f t="shared" ref="J722:J726" si="1196">(H722/G722)*I722*F722</f>
        <v>5551.875</v>
      </c>
      <c r="K722" s="21" t="str">
        <f t="shared" ref="K722:K726" si="1197">IF(E722="M"," ",L722*F722)</f>
        <v xml:space="preserve"> </v>
      </c>
      <c r="L722" s="24" t="str">
        <f t="shared" ref="L722:L726" si="1198">IF(E722="M"," ",H722/G722)</f>
        <v xml:space="preserve"> </v>
      </c>
      <c r="M722" s="24">
        <f t="shared" ref="M722:M726" si="1199">IF($E722="L",$J722,0)</f>
        <v>0</v>
      </c>
      <c r="N722" s="24">
        <f t="shared" ref="N722:N726" si="1200">IF($E722="M",$J722,0)</f>
        <v>5551.875</v>
      </c>
      <c r="O722" s="24">
        <f t="shared" ref="O722:O726" si="1201">IF($E722="P",$J722,0)</f>
        <v>0</v>
      </c>
      <c r="P722" s="24">
        <f t="shared" ref="P722:P726" si="1202">IF($E722="S",$J722,0)</f>
        <v>0</v>
      </c>
      <c r="Q722" s="24">
        <f t="shared" ref="Q722:Q726" si="1203">SUM(M722:P722)</f>
        <v>5551.875</v>
      </c>
      <c r="R722" s="87" t="s">
        <v>539</v>
      </c>
      <c r="T722" s="235" t="str">
        <f t="shared" si="1194"/>
        <v xml:space="preserve"> </v>
      </c>
    </row>
    <row r="723" spans="1:21" x14ac:dyDescent="0.25">
      <c r="A723" s="157"/>
      <c r="B723" s="6">
        <v>2</v>
      </c>
      <c r="C723" s="9" t="s">
        <v>78</v>
      </c>
      <c r="D723" s="6" t="s">
        <v>26</v>
      </c>
      <c r="E723" s="17" t="str">
        <f>VLOOKUP(C723,Resources!B:G,3,FALSE)</f>
        <v>P</v>
      </c>
      <c r="F723" s="12">
        <v>1</v>
      </c>
      <c r="G723" s="26">
        <f>VLOOKUP($A723,'Model Inputs'!$A:$C,3,FALSE)</f>
        <v>66.667000000000002</v>
      </c>
      <c r="H723" s="12">
        <f>H722</f>
        <v>164.5</v>
      </c>
      <c r="I723" s="12">
        <f>VLOOKUP(C723,Resources!B:G,6,FALSE)</f>
        <v>160</v>
      </c>
      <c r="J723" s="21">
        <f t="shared" si="1196"/>
        <v>394.79802600986994</v>
      </c>
      <c r="K723" s="21">
        <f t="shared" si="1197"/>
        <v>2.4674876625616871</v>
      </c>
      <c r="L723" s="24">
        <f t="shared" si="1198"/>
        <v>2.4674876625616871</v>
      </c>
      <c r="M723" s="24">
        <f t="shared" si="1199"/>
        <v>0</v>
      </c>
      <c r="N723" s="24">
        <f t="shared" si="1200"/>
        <v>0</v>
      </c>
      <c r="O723" s="24">
        <f t="shared" si="1201"/>
        <v>394.79802600986994</v>
      </c>
      <c r="P723" s="24">
        <f t="shared" si="1202"/>
        <v>0</v>
      </c>
      <c r="Q723" s="24">
        <f t="shared" si="1203"/>
        <v>394.79802600986994</v>
      </c>
      <c r="R723" s="87">
        <v>62</v>
      </c>
      <c r="T723" s="235" t="str">
        <f t="shared" si="1194"/>
        <v xml:space="preserve"> </v>
      </c>
    </row>
    <row r="724" spans="1:21" x14ac:dyDescent="0.25">
      <c r="A724" s="157"/>
      <c r="B724" s="6">
        <v>3</v>
      </c>
      <c r="C724" s="9" t="s">
        <v>89</v>
      </c>
      <c r="D724" s="6" t="s">
        <v>26</v>
      </c>
      <c r="E724" s="17" t="str">
        <f>VLOOKUP(C724,Resources!B:G,3,FALSE)</f>
        <v>P</v>
      </c>
      <c r="F724" s="12">
        <v>1</v>
      </c>
      <c r="G724" s="12">
        <f>G723</f>
        <v>66.667000000000002</v>
      </c>
      <c r="H724" s="12">
        <f>H722</f>
        <v>164.5</v>
      </c>
      <c r="I724" s="12">
        <f>VLOOKUP(C724,Resources!B:G,6,FALSE)</f>
        <v>55</v>
      </c>
      <c r="J724" s="21">
        <f t="shared" si="1196"/>
        <v>135.71182144089278</v>
      </c>
      <c r="K724" s="21">
        <f t="shared" si="1197"/>
        <v>2.4674876625616871</v>
      </c>
      <c r="L724" s="24">
        <f t="shared" si="1198"/>
        <v>2.4674876625616871</v>
      </c>
      <c r="M724" s="24">
        <f t="shared" si="1199"/>
        <v>0</v>
      </c>
      <c r="N724" s="24">
        <f t="shared" si="1200"/>
        <v>0</v>
      </c>
      <c r="O724" s="24">
        <f t="shared" si="1201"/>
        <v>135.71182144089278</v>
      </c>
      <c r="P724" s="24">
        <f t="shared" si="1202"/>
        <v>0</v>
      </c>
      <c r="Q724" s="24">
        <f t="shared" si="1203"/>
        <v>135.71182144089278</v>
      </c>
      <c r="R724" s="87">
        <v>62</v>
      </c>
      <c r="T724" s="235" t="str">
        <f t="shared" si="1194"/>
        <v xml:space="preserve"> </v>
      </c>
    </row>
    <row r="725" spans="1:21" x14ac:dyDescent="0.25">
      <c r="A725" s="157"/>
      <c r="B725" s="6">
        <v>4</v>
      </c>
      <c r="C725" s="9" t="s">
        <v>28</v>
      </c>
      <c r="D725" s="6" t="s">
        <v>26</v>
      </c>
      <c r="E725" s="17" t="str">
        <f>VLOOKUP(C725,Resources!B:G,3,FALSE)</f>
        <v>P</v>
      </c>
      <c r="F725" s="12">
        <v>1</v>
      </c>
      <c r="G725" s="12">
        <f>G723</f>
        <v>66.667000000000002</v>
      </c>
      <c r="H725" s="12">
        <f>H722</f>
        <v>164.5</v>
      </c>
      <c r="I725" s="12">
        <f>VLOOKUP(C725,Resources!B:G,6,FALSE)</f>
        <v>95</v>
      </c>
      <c r="J725" s="21">
        <f t="shared" si="1196"/>
        <v>234.41132794336028</v>
      </c>
      <c r="K725" s="21">
        <f t="shared" si="1197"/>
        <v>2.4674876625616871</v>
      </c>
      <c r="L725" s="24">
        <f t="shared" si="1198"/>
        <v>2.4674876625616871</v>
      </c>
      <c r="M725" s="24">
        <f t="shared" si="1199"/>
        <v>0</v>
      </c>
      <c r="N725" s="24">
        <f t="shared" si="1200"/>
        <v>0</v>
      </c>
      <c r="O725" s="24">
        <f t="shared" si="1201"/>
        <v>234.41132794336028</v>
      </c>
      <c r="P725" s="24">
        <f t="shared" si="1202"/>
        <v>0</v>
      </c>
      <c r="Q725" s="24">
        <f t="shared" si="1203"/>
        <v>234.41132794336028</v>
      </c>
      <c r="R725" s="87">
        <v>62</v>
      </c>
      <c r="T725" s="235" t="str">
        <f t="shared" si="1194"/>
        <v xml:space="preserve"> </v>
      </c>
    </row>
    <row r="726" spans="1:21" x14ac:dyDescent="0.25">
      <c r="A726" s="157"/>
      <c r="B726" s="6">
        <v>5</v>
      </c>
      <c r="C726" s="9" t="s">
        <v>8</v>
      </c>
      <c r="D726" s="6" t="s">
        <v>26</v>
      </c>
      <c r="E726" s="17" t="str">
        <f>VLOOKUP(C726,Resources!B:G,3,FALSE)</f>
        <v>L</v>
      </c>
      <c r="F726" s="12">
        <v>3</v>
      </c>
      <c r="G726" s="12">
        <f>G723</f>
        <v>66.667000000000002</v>
      </c>
      <c r="H726" s="12">
        <f>H722</f>
        <v>164.5</v>
      </c>
      <c r="I726" s="12">
        <f>VLOOKUP(C726,Resources!B:G,6,FALSE)</f>
        <v>51.9</v>
      </c>
      <c r="J726" s="21">
        <f t="shared" si="1196"/>
        <v>384.18782906085471</v>
      </c>
      <c r="K726" s="21">
        <f t="shared" si="1197"/>
        <v>7.4024629876850607</v>
      </c>
      <c r="L726" s="24">
        <f t="shared" si="1198"/>
        <v>2.4674876625616871</v>
      </c>
      <c r="M726" s="24">
        <f t="shared" si="1199"/>
        <v>384.18782906085471</v>
      </c>
      <c r="N726" s="24">
        <f t="shared" si="1200"/>
        <v>0</v>
      </c>
      <c r="O726" s="24">
        <f t="shared" si="1201"/>
        <v>0</v>
      </c>
      <c r="P726" s="24">
        <f t="shared" si="1202"/>
        <v>0</v>
      </c>
      <c r="Q726" s="24">
        <f t="shared" si="1203"/>
        <v>384.18782906085471</v>
      </c>
      <c r="R726" s="87">
        <v>62</v>
      </c>
      <c r="T726" s="235" t="str">
        <f t="shared" si="1194"/>
        <v xml:space="preserve"> </v>
      </c>
    </row>
    <row r="727" spans="1:21" s="18" customFormat="1" ht="30" x14ac:dyDescent="0.25">
      <c r="A727" s="157"/>
      <c r="B727" s="6">
        <v>6</v>
      </c>
      <c r="C727" s="9" t="s">
        <v>101</v>
      </c>
      <c r="D727" s="6"/>
      <c r="E727" s="17"/>
      <c r="F727" s="12"/>
      <c r="G727" s="12"/>
      <c r="H727" s="12"/>
      <c r="I727" s="12"/>
      <c r="J727" s="21"/>
      <c r="K727" s="21"/>
      <c r="L727" s="24"/>
      <c r="M727" s="24"/>
      <c r="N727" s="24"/>
      <c r="O727" s="24"/>
      <c r="P727" s="24"/>
      <c r="Q727" s="24"/>
      <c r="R727" s="87"/>
      <c r="T727" s="235" t="str">
        <f t="shared" si="1194"/>
        <v xml:space="preserve"> </v>
      </c>
      <c r="U727" s="232"/>
    </row>
    <row r="728" spans="1:21" x14ac:dyDescent="0.25">
      <c r="A728" s="157"/>
      <c r="B728" s="6">
        <v>7</v>
      </c>
      <c r="C728" s="9" t="s">
        <v>70</v>
      </c>
      <c r="D728" s="6" t="s">
        <v>26</v>
      </c>
      <c r="E728" s="17" t="str">
        <f>VLOOKUP(C728,Resources!B:G,3,FALSE)</f>
        <v>P</v>
      </c>
      <c r="F728" s="12">
        <v>1</v>
      </c>
      <c r="G728" s="12">
        <f>G723</f>
        <v>66.667000000000002</v>
      </c>
      <c r="H728" s="12">
        <f>H722</f>
        <v>164.5</v>
      </c>
      <c r="I728" s="12">
        <f>VLOOKUP(C728,Resources!B:G,6,FALSE)</f>
        <v>135</v>
      </c>
      <c r="J728" s="21">
        <f t="shared" ref="J728:J729" si="1204">(H728/G728)*I728*F728</f>
        <v>333.11083444582778</v>
      </c>
      <c r="K728" s="21">
        <f t="shared" ref="K728:K729" si="1205">IF(E728="M"," ",L728*F728)</f>
        <v>2.4674876625616871</v>
      </c>
      <c r="L728" s="24">
        <f t="shared" ref="L728:L729" si="1206">IF(E728="M"," ",H728/G728)</f>
        <v>2.4674876625616871</v>
      </c>
      <c r="M728" s="24">
        <f t="shared" ref="M728:M729" si="1207">IF($E728="L",$J728,0)</f>
        <v>0</v>
      </c>
      <c r="N728" s="24">
        <f t="shared" ref="N728:N729" si="1208">IF($E728="M",$J728,0)</f>
        <v>0</v>
      </c>
      <c r="O728" s="24">
        <f t="shared" ref="O728:O729" si="1209">IF($E728="P",$J728,0)</f>
        <v>333.11083444582778</v>
      </c>
      <c r="P728" s="24">
        <f t="shared" ref="P728:P729" si="1210">IF($E728="S",$J728,0)</f>
        <v>0</v>
      </c>
      <c r="Q728" s="24">
        <f t="shared" ref="Q728:Q729" si="1211">SUM(M728:P728)</f>
        <v>333.11083444582778</v>
      </c>
      <c r="R728" s="87">
        <v>62</v>
      </c>
      <c r="T728" s="235" t="str">
        <f t="shared" si="1194"/>
        <v xml:space="preserve"> </v>
      </c>
    </row>
    <row r="729" spans="1:21" x14ac:dyDescent="0.25">
      <c r="A729" s="157"/>
      <c r="B729" s="6">
        <v>8</v>
      </c>
      <c r="C729" s="9" t="s">
        <v>27</v>
      </c>
      <c r="D729" s="6" t="s">
        <v>26</v>
      </c>
      <c r="E729" s="17" t="str">
        <f>VLOOKUP(C729,Resources!B:G,3,FALSE)</f>
        <v>P</v>
      </c>
      <c r="F729" s="12">
        <v>2</v>
      </c>
      <c r="G729" s="12">
        <f>G723</f>
        <v>66.667000000000002</v>
      </c>
      <c r="H729" s="12">
        <f>H722</f>
        <v>164.5</v>
      </c>
      <c r="I729" s="12">
        <f>VLOOKUP(C729,Resources!B:G,6,FALSE)</f>
        <v>90</v>
      </c>
      <c r="J729" s="21">
        <f t="shared" si="1204"/>
        <v>444.14777926110366</v>
      </c>
      <c r="K729" s="21">
        <f t="shared" si="1205"/>
        <v>4.9349753251233741</v>
      </c>
      <c r="L729" s="24">
        <f t="shared" si="1206"/>
        <v>2.4674876625616871</v>
      </c>
      <c r="M729" s="24">
        <f t="shared" si="1207"/>
        <v>0</v>
      </c>
      <c r="N729" s="24">
        <f t="shared" si="1208"/>
        <v>0</v>
      </c>
      <c r="O729" s="24">
        <f t="shared" si="1209"/>
        <v>444.14777926110366</v>
      </c>
      <c r="P729" s="24">
        <f t="shared" si="1210"/>
        <v>0</v>
      </c>
      <c r="Q729" s="24">
        <f t="shared" si="1211"/>
        <v>444.14777926110366</v>
      </c>
      <c r="R729" s="87">
        <v>62</v>
      </c>
      <c r="T729" s="235" t="str">
        <f t="shared" si="1194"/>
        <v xml:space="preserve"> </v>
      </c>
    </row>
    <row r="730" spans="1:21" x14ac:dyDescent="0.25">
      <c r="F730" s="11"/>
      <c r="G730" s="11"/>
      <c r="H730" s="11"/>
      <c r="I730" s="11"/>
      <c r="J730" s="11"/>
      <c r="K730" s="11"/>
      <c r="R730" s="88"/>
      <c r="T730" s="235" t="str">
        <f t="shared" si="1194"/>
        <v xml:space="preserve"> </v>
      </c>
    </row>
    <row r="731" spans="1:21" ht="60" x14ac:dyDescent="0.25">
      <c r="A731" s="156">
        <v>89</v>
      </c>
      <c r="B731" s="3" t="s">
        <v>300</v>
      </c>
      <c r="C731" s="3" t="s">
        <v>590</v>
      </c>
      <c r="D731" s="4" t="s">
        <v>74</v>
      </c>
      <c r="E731" s="15"/>
      <c r="F731" s="10"/>
      <c r="G731" s="10"/>
      <c r="H731" s="26">
        <f>VLOOKUP($A731,'Model Inputs'!$A:$C,3,FALSE)</f>
        <v>107</v>
      </c>
      <c r="I731" s="10"/>
      <c r="J731" s="10">
        <f>SUBTOTAL(9,J732:J736,J738:J739)</f>
        <v>11116.715502047493</v>
      </c>
      <c r="K731" s="10"/>
      <c r="L731" s="10">
        <f>ROUNDUP(MAX(L732:L736,L738:L739)/Workhrs,0)</f>
        <v>1</v>
      </c>
      <c r="M731" s="10">
        <f>SUBTOTAL(9,M732:M736,M738:M739)</f>
        <v>587.25853870730646</v>
      </c>
      <c r="N731" s="10">
        <f t="shared" ref="N731" si="1212">SUBTOTAL(9,N732:N736,N738:N739)</f>
        <v>8172.1250000000009</v>
      </c>
      <c r="O731" s="10">
        <f t="shared" ref="O731" si="1213">SUBTOTAL(9,O732:O736,O738:O739)</f>
        <v>2357.3319633401834</v>
      </c>
      <c r="P731" s="10">
        <f t="shared" ref="P731" si="1214">SUBTOTAL(9,P732:P736,P738:P739)</f>
        <v>0</v>
      </c>
      <c r="Q731" s="10">
        <f t="shared" ref="Q731" si="1215">SUBTOTAL(9,Q732:Q736,Q738:Q739)</f>
        <v>11116.715502047493</v>
      </c>
      <c r="R731" s="86"/>
      <c r="T731" s="235" t="str">
        <f t="shared" si="1194"/>
        <v xml:space="preserve"> </v>
      </c>
    </row>
    <row r="732" spans="1:21" x14ac:dyDescent="0.25">
      <c r="A732" s="157"/>
      <c r="B732" s="6">
        <v>1</v>
      </c>
      <c r="C732" s="9" t="s">
        <v>103</v>
      </c>
      <c r="D732" s="6" t="s">
        <v>100</v>
      </c>
      <c r="E732" s="17" t="str">
        <f>VLOOKUP(C732,Resources!B:G,3,FALSE)</f>
        <v>M</v>
      </c>
      <c r="F732" s="12">
        <v>1</v>
      </c>
      <c r="G732" s="12">
        <v>1</v>
      </c>
      <c r="H732" s="12">
        <f>H731*2.35</f>
        <v>251.45000000000002</v>
      </c>
      <c r="I732" s="12">
        <f>VLOOKUP(C732,Resources!B:G,6,FALSE)</f>
        <v>32.5</v>
      </c>
      <c r="J732" s="21">
        <f t="shared" ref="J732:J736" si="1216">(H732/G732)*I732*F732</f>
        <v>8172.1250000000009</v>
      </c>
      <c r="K732" s="21" t="str">
        <f t="shared" ref="K732:K736" si="1217">IF(E732="M"," ",L732*F732)</f>
        <v xml:space="preserve"> </v>
      </c>
      <c r="L732" s="24" t="str">
        <f t="shared" ref="L732:L736" si="1218">IF(E732="M"," ",H732/G732)</f>
        <v xml:space="preserve"> </v>
      </c>
      <c r="M732" s="24">
        <f t="shared" ref="M732:M736" si="1219">IF($E732="L",$J732,0)</f>
        <v>0</v>
      </c>
      <c r="N732" s="24">
        <f t="shared" ref="N732:N736" si="1220">IF($E732="M",$J732,0)</f>
        <v>8172.1250000000009</v>
      </c>
      <c r="O732" s="24">
        <f t="shared" ref="O732:O736" si="1221">IF($E732="P",$J732,0)</f>
        <v>0</v>
      </c>
      <c r="P732" s="24">
        <f t="shared" ref="P732:P736" si="1222">IF($E732="S",$J732,0)</f>
        <v>0</v>
      </c>
      <c r="Q732" s="24">
        <f t="shared" ref="Q732:Q736" si="1223">SUM(M732:P732)</f>
        <v>8172.1250000000009</v>
      </c>
      <c r="R732" s="87" t="s">
        <v>539</v>
      </c>
      <c r="T732" s="235" t="str">
        <f t="shared" si="1194"/>
        <v xml:space="preserve"> </v>
      </c>
    </row>
    <row r="733" spans="1:21" x14ac:dyDescent="0.25">
      <c r="A733" s="157">
        <v>89.1</v>
      </c>
      <c r="B733" s="6">
        <v>2</v>
      </c>
      <c r="C733" s="9" t="s">
        <v>78</v>
      </c>
      <c r="D733" s="6" t="s">
        <v>26</v>
      </c>
      <c r="E733" s="17" t="str">
        <f>VLOOKUP(C733,Resources!B:G,3,FALSE)</f>
        <v>P</v>
      </c>
      <c r="F733" s="12">
        <v>1</v>
      </c>
      <c r="G733" s="26">
        <f>VLOOKUP($A733,'Model Inputs'!$A:$C,3,FALSE)</f>
        <v>66.667000000000002</v>
      </c>
      <c r="H733" s="12">
        <f>H732</f>
        <v>251.45000000000002</v>
      </c>
      <c r="I733" s="12">
        <f>VLOOKUP(C733,Resources!B:G,6,FALSE)</f>
        <v>160</v>
      </c>
      <c r="J733" s="21">
        <f t="shared" si="1216"/>
        <v>603.47698261508697</v>
      </c>
      <c r="K733" s="21">
        <f t="shared" si="1217"/>
        <v>3.7717311413442935</v>
      </c>
      <c r="L733" s="24">
        <f t="shared" si="1218"/>
        <v>3.7717311413442935</v>
      </c>
      <c r="M733" s="24">
        <f t="shared" si="1219"/>
        <v>0</v>
      </c>
      <c r="N733" s="24">
        <f t="shared" si="1220"/>
        <v>0</v>
      </c>
      <c r="O733" s="24">
        <f t="shared" si="1221"/>
        <v>603.47698261508697</v>
      </c>
      <c r="P733" s="24">
        <f t="shared" si="1222"/>
        <v>0</v>
      </c>
      <c r="Q733" s="24">
        <f t="shared" si="1223"/>
        <v>603.47698261508697</v>
      </c>
      <c r="R733" s="87">
        <v>62</v>
      </c>
      <c r="T733" s="235" t="str">
        <f t="shared" si="1194"/>
        <v xml:space="preserve"> </v>
      </c>
    </row>
    <row r="734" spans="1:21" x14ac:dyDescent="0.25">
      <c r="A734" s="157"/>
      <c r="B734" s="6">
        <v>3</v>
      </c>
      <c r="C734" s="9" t="s">
        <v>89</v>
      </c>
      <c r="D734" s="6" t="s">
        <v>26</v>
      </c>
      <c r="E734" s="17" t="str">
        <f>VLOOKUP(C734,Resources!B:G,3,FALSE)</f>
        <v>P</v>
      </c>
      <c r="F734" s="12">
        <v>1</v>
      </c>
      <c r="G734" s="12">
        <f>G733</f>
        <v>66.667000000000002</v>
      </c>
      <c r="H734" s="12">
        <f>H732</f>
        <v>251.45000000000002</v>
      </c>
      <c r="I734" s="12">
        <f>VLOOKUP(C734,Resources!B:G,6,FALSE)</f>
        <v>55</v>
      </c>
      <c r="J734" s="21">
        <f t="shared" si="1216"/>
        <v>207.44521277393613</v>
      </c>
      <c r="K734" s="21">
        <f t="shared" si="1217"/>
        <v>3.7717311413442935</v>
      </c>
      <c r="L734" s="24">
        <f t="shared" si="1218"/>
        <v>3.7717311413442935</v>
      </c>
      <c r="M734" s="24">
        <f t="shared" si="1219"/>
        <v>0</v>
      </c>
      <c r="N734" s="24">
        <f t="shared" si="1220"/>
        <v>0</v>
      </c>
      <c r="O734" s="24">
        <f t="shared" si="1221"/>
        <v>207.44521277393613</v>
      </c>
      <c r="P734" s="24">
        <f t="shared" si="1222"/>
        <v>0</v>
      </c>
      <c r="Q734" s="24">
        <f t="shared" si="1223"/>
        <v>207.44521277393613</v>
      </c>
      <c r="R734" s="87">
        <v>62</v>
      </c>
      <c r="T734" s="235" t="str">
        <f t="shared" si="1194"/>
        <v xml:space="preserve"> </v>
      </c>
    </row>
    <row r="735" spans="1:21" x14ac:dyDescent="0.25">
      <c r="A735" s="157"/>
      <c r="B735" s="6">
        <v>4</v>
      </c>
      <c r="C735" s="9" t="s">
        <v>28</v>
      </c>
      <c r="D735" s="6" t="s">
        <v>26</v>
      </c>
      <c r="E735" s="17" t="str">
        <f>VLOOKUP(C735,Resources!B:G,3,FALSE)</f>
        <v>P</v>
      </c>
      <c r="F735" s="12">
        <v>1</v>
      </c>
      <c r="G735" s="12">
        <f>G733</f>
        <v>66.667000000000002</v>
      </c>
      <c r="H735" s="12">
        <f>H732</f>
        <v>251.45000000000002</v>
      </c>
      <c r="I735" s="12">
        <f>VLOOKUP(C735,Resources!B:G,6,FALSE)</f>
        <v>95</v>
      </c>
      <c r="J735" s="21">
        <f t="shared" si="1216"/>
        <v>358.3144584277079</v>
      </c>
      <c r="K735" s="21">
        <f t="shared" si="1217"/>
        <v>3.7717311413442935</v>
      </c>
      <c r="L735" s="24">
        <f t="shared" si="1218"/>
        <v>3.7717311413442935</v>
      </c>
      <c r="M735" s="24">
        <f t="shared" si="1219"/>
        <v>0</v>
      </c>
      <c r="N735" s="24">
        <f t="shared" si="1220"/>
        <v>0</v>
      </c>
      <c r="O735" s="24">
        <f t="shared" si="1221"/>
        <v>358.3144584277079</v>
      </c>
      <c r="P735" s="24">
        <f t="shared" si="1222"/>
        <v>0</v>
      </c>
      <c r="Q735" s="24">
        <f t="shared" si="1223"/>
        <v>358.3144584277079</v>
      </c>
      <c r="R735" s="87">
        <v>62</v>
      </c>
      <c r="T735" s="235" t="str">
        <f t="shared" si="1194"/>
        <v xml:space="preserve"> </v>
      </c>
    </row>
    <row r="736" spans="1:21" x14ac:dyDescent="0.25">
      <c r="A736" s="157"/>
      <c r="B736" s="6">
        <v>5</v>
      </c>
      <c r="C736" s="9" t="s">
        <v>8</v>
      </c>
      <c r="D736" s="6" t="s">
        <v>26</v>
      </c>
      <c r="E736" s="17" t="str">
        <f>VLOOKUP(C736,Resources!B:G,3,FALSE)</f>
        <v>L</v>
      </c>
      <c r="F736" s="12">
        <v>3</v>
      </c>
      <c r="G736" s="12">
        <f>G733</f>
        <v>66.667000000000002</v>
      </c>
      <c r="H736" s="12">
        <f>H732</f>
        <v>251.45000000000002</v>
      </c>
      <c r="I736" s="12">
        <f>VLOOKUP(C736,Resources!B:G,6,FALSE)</f>
        <v>51.9</v>
      </c>
      <c r="J736" s="21">
        <f t="shared" si="1216"/>
        <v>587.25853870730646</v>
      </c>
      <c r="K736" s="21">
        <f t="shared" si="1217"/>
        <v>11.315193424032881</v>
      </c>
      <c r="L736" s="24">
        <f t="shared" si="1218"/>
        <v>3.7717311413442935</v>
      </c>
      <c r="M736" s="24">
        <f t="shared" si="1219"/>
        <v>587.25853870730646</v>
      </c>
      <c r="N736" s="24">
        <f t="shared" si="1220"/>
        <v>0</v>
      </c>
      <c r="O736" s="24">
        <f t="shared" si="1221"/>
        <v>0</v>
      </c>
      <c r="P736" s="24">
        <f t="shared" si="1222"/>
        <v>0</v>
      </c>
      <c r="Q736" s="24">
        <f t="shared" si="1223"/>
        <v>587.25853870730646</v>
      </c>
      <c r="R736" s="87">
        <v>62</v>
      </c>
      <c r="T736" s="235" t="str">
        <f t="shared" si="1194"/>
        <v xml:space="preserve"> </v>
      </c>
    </row>
    <row r="737" spans="1:21" s="18" customFormat="1" ht="30" x14ac:dyDescent="0.25">
      <c r="A737" s="157"/>
      <c r="B737" s="6">
        <v>6</v>
      </c>
      <c r="C737" s="9" t="s">
        <v>101</v>
      </c>
      <c r="D737" s="6"/>
      <c r="E737" s="17"/>
      <c r="F737" s="12"/>
      <c r="G737" s="12"/>
      <c r="H737" s="12"/>
      <c r="I737" s="12"/>
      <c r="J737" s="21"/>
      <c r="K737" s="21"/>
      <c r="L737" s="24"/>
      <c r="M737" s="24"/>
      <c r="N737" s="24"/>
      <c r="O737" s="24"/>
      <c r="P737" s="24"/>
      <c r="Q737" s="24"/>
      <c r="R737" s="87"/>
      <c r="T737" s="235" t="str">
        <f t="shared" si="1194"/>
        <v xml:space="preserve"> </v>
      </c>
      <c r="U737" s="232"/>
    </row>
    <row r="738" spans="1:21" x14ac:dyDescent="0.25">
      <c r="A738" s="157"/>
      <c r="B738" s="6">
        <v>7</v>
      </c>
      <c r="C738" s="9" t="s">
        <v>70</v>
      </c>
      <c r="D738" s="6" t="s">
        <v>26</v>
      </c>
      <c r="E738" s="17" t="str">
        <f>VLOOKUP(C738,Resources!B:G,3,FALSE)</f>
        <v>P</v>
      </c>
      <c r="F738" s="12">
        <v>1</v>
      </c>
      <c r="G738" s="12">
        <f>G733</f>
        <v>66.667000000000002</v>
      </c>
      <c r="H738" s="12">
        <f>H732</f>
        <v>251.45000000000002</v>
      </c>
      <c r="I738" s="12">
        <f>VLOOKUP(C738,Resources!B:G,6,FALSE)</f>
        <v>135</v>
      </c>
      <c r="J738" s="21">
        <f t="shared" ref="J738:J739" si="1224">(H738/G738)*I738*F738</f>
        <v>509.18370408147962</v>
      </c>
      <c r="K738" s="21">
        <f t="shared" ref="K738:K739" si="1225">IF(E738="M"," ",L738*F738)</f>
        <v>3.7717311413442935</v>
      </c>
      <c r="L738" s="24">
        <f t="shared" ref="L738:L739" si="1226">IF(E738="M"," ",H738/G738)</f>
        <v>3.7717311413442935</v>
      </c>
      <c r="M738" s="24">
        <f t="shared" ref="M738:M739" si="1227">IF($E738="L",$J738,0)</f>
        <v>0</v>
      </c>
      <c r="N738" s="24">
        <f t="shared" ref="N738:N739" si="1228">IF($E738="M",$J738,0)</f>
        <v>0</v>
      </c>
      <c r="O738" s="24">
        <f t="shared" ref="O738:O739" si="1229">IF($E738="P",$J738,0)</f>
        <v>509.18370408147962</v>
      </c>
      <c r="P738" s="24">
        <f t="shared" ref="P738:P739" si="1230">IF($E738="S",$J738,0)</f>
        <v>0</v>
      </c>
      <c r="Q738" s="24">
        <f t="shared" ref="Q738:Q739" si="1231">SUM(M738:P738)</f>
        <v>509.18370408147962</v>
      </c>
      <c r="R738" s="87">
        <v>62</v>
      </c>
      <c r="T738" s="235" t="str">
        <f t="shared" si="1194"/>
        <v xml:space="preserve"> </v>
      </c>
    </row>
    <row r="739" spans="1:21" x14ac:dyDescent="0.25">
      <c r="A739" s="157"/>
      <c r="B739" s="6">
        <v>8</v>
      </c>
      <c r="C739" s="9" t="s">
        <v>27</v>
      </c>
      <c r="D739" s="6" t="s">
        <v>26</v>
      </c>
      <c r="E739" s="17" t="str">
        <f>VLOOKUP(C739,Resources!B:G,3,FALSE)</f>
        <v>P</v>
      </c>
      <c r="F739" s="12">
        <v>2</v>
      </c>
      <c r="G739" s="12">
        <f>G733</f>
        <v>66.667000000000002</v>
      </c>
      <c r="H739" s="12">
        <f>H732</f>
        <v>251.45000000000002</v>
      </c>
      <c r="I739" s="12">
        <f>VLOOKUP(C739,Resources!B:G,6,FALSE)</f>
        <v>90</v>
      </c>
      <c r="J739" s="21">
        <f t="shared" si="1224"/>
        <v>678.91160544197282</v>
      </c>
      <c r="K739" s="21">
        <f t="shared" si="1225"/>
        <v>7.5434622826885871</v>
      </c>
      <c r="L739" s="24">
        <f t="shared" si="1226"/>
        <v>3.7717311413442935</v>
      </c>
      <c r="M739" s="24">
        <f t="shared" si="1227"/>
        <v>0</v>
      </c>
      <c r="N739" s="24">
        <f t="shared" si="1228"/>
        <v>0</v>
      </c>
      <c r="O739" s="24">
        <f t="shared" si="1229"/>
        <v>678.91160544197282</v>
      </c>
      <c r="P739" s="24">
        <f t="shared" si="1230"/>
        <v>0</v>
      </c>
      <c r="Q739" s="24">
        <f t="shared" si="1231"/>
        <v>678.91160544197282</v>
      </c>
      <c r="R739" s="87">
        <v>62</v>
      </c>
      <c r="T739" s="235" t="str">
        <f t="shared" si="1194"/>
        <v xml:space="preserve"> </v>
      </c>
    </row>
    <row r="740" spans="1:21" x14ac:dyDescent="0.25">
      <c r="F740" s="11"/>
      <c r="G740" s="11"/>
      <c r="H740" s="11"/>
      <c r="I740" s="11"/>
      <c r="J740" s="11"/>
      <c r="K740" s="11"/>
      <c r="R740" s="88"/>
      <c r="T740" s="235" t="str">
        <f t="shared" si="1194"/>
        <v xml:space="preserve"> </v>
      </c>
    </row>
    <row r="741" spans="1:21" ht="60" x14ac:dyDescent="0.25">
      <c r="A741" s="156">
        <v>90</v>
      </c>
      <c r="B741" s="3" t="s">
        <v>301</v>
      </c>
      <c r="C741" s="3" t="s">
        <v>591</v>
      </c>
      <c r="D741" s="4" t="s">
        <v>74</v>
      </c>
      <c r="E741" s="15"/>
      <c r="F741" s="10"/>
      <c r="G741" s="10"/>
      <c r="H741" s="26">
        <f>VLOOKUP($A741,'Model Inputs'!$A:$C,3,FALSE)</f>
        <v>90</v>
      </c>
      <c r="I741" s="10"/>
      <c r="J741" s="10">
        <f>SUBTOTAL(9,J742:J746,J748:J749)</f>
        <v>9160.1583662081684</v>
      </c>
      <c r="K741" s="10"/>
      <c r="L741" s="10">
        <f>ROUNDUP(MAX(L742:L746,L748:L749)/Workhrs,0)</f>
        <v>1</v>
      </c>
      <c r="M741" s="10">
        <f>SUBTOTAL(9,M742:M746,M748:M749)</f>
        <v>493.95578022109885</v>
      </c>
      <c r="N741" s="10">
        <f t="shared" ref="N741" si="1232">SUBTOTAL(9,N742:N746,N748:N749)</f>
        <v>6683.4000000000005</v>
      </c>
      <c r="O741" s="10">
        <f t="shared" ref="O741" si="1233">SUBTOTAL(9,O742:O746,O748:O749)</f>
        <v>1982.8025859870702</v>
      </c>
      <c r="P741" s="10">
        <f t="shared" ref="P741" si="1234">SUBTOTAL(9,P742:P746,P748:P749)</f>
        <v>0</v>
      </c>
      <c r="Q741" s="10">
        <f t="shared" ref="Q741" si="1235">SUBTOTAL(9,Q742:Q746,Q748:Q749)</f>
        <v>9160.1583662081684</v>
      </c>
      <c r="R741" s="86"/>
      <c r="T741" s="235" t="str">
        <f t="shared" si="1194"/>
        <v xml:space="preserve"> </v>
      </c>
    </row>
    <row r="742" spans="1:21" x14ac:dyDescent="0.25">
      <c r="A742" s="157"/>
      <c r="B742" s="6">
        <v>1</v>
      </c>
      <c r="C742" s="9" t="s">
        <v>480</v>
      </c>
      <c r="D742" s="6" t="s">
        <v>100</v>
      </c>
      <c r="E742" s="17" t="str">
        <f>VLOOKUP(C742,Resources!B:G,3,FALSE)</f>
        <v>M</v>
      </c>
      <c r="F742" s="12">
        <v>1</v>
      </c>
      <c r="G742" s="12">
        <v>1</v>
      </c>
      <c r="H742" s="12">
        <f>H741*2.35</f>
        <v>211.5</v>
      </c>
      <c r="I742" s="12">
        <f>VLOOKUP(C742,Resources!B:G,6,FALSE)</f>
        <v>31.6</v>
      </c>
      <c r="J742" s="21">
        <f t="shared" ref="J742:J746" si="1236">(H742/G742)*I742*F742</f>
        <v>6683.4000000000005</v>
      </c>
      <c r="K742" s="21" t="str">
        <f t="shared" ref="K742:K746" si="1237">IF(E742="M"," ",L742*F742)</f>
        <v xml:space="preserve"> </v>
      </c>
      <c r="L742" s="24" t="str">
        <f t="shared" ref="L742:L746" si="1238">IF(E742="M"," ",H742/G742)</f>
        <v xml:space="preserve"> </v>
      </c>
      <c r="M742" s="24">
        <f t="shared" ref="M742:M746" si="1239">IF($E742="L",$J742,0)</f>
        <v>0</v>
      </c>
      <c r="N742" s="24">
        <f t="shared" ref="N742:N746" si="1240">IF($E742="M",$J742,0)</f>
        <v>6683.4000000000005</v>
      </c>
      <c r="O742" s="24">
        <f t="shared" ref="O742:O746" si="1241">IF($E742="P",$J742,0)</f>
        <v>0</v>
      </c>
      <c r="P742" s="24">
        <f t="shared" ref="P742:P746" si="1242">IF($E742="S",$J742,0)</f>
        <v>0</v>
      </c>
      <c r="Q742" s="24">
        <f t="shared" ref="Q742:Q746" si="1243">SUM(M742:P742)</f>
        <v>6683.4000000000005</v>
      </c>
      <c r="R742" s="87" t="s">
        <v>539</v>
      </c>
      <c r="T742" s="235" t="str">
        <f t="shared" si="1194"/>
        <v xml:space="preserve"> </v>
      </c>
    </row>
    <row r="743" spans="1:21" x14ac:dyDescent="0.25">
      <c r="A743" s="157">
        <v>90.1</v>
      </c>
      <c r="B743" s="6">
        <v>2</v>
      </c>
      <c r="C743" s="9" t="s">
        <v>78</v>
      </c>
      <c r="D743" s="6" t="s">
        <v>26</v>
      </c>
      <c r="E743" s="17" t="str">
        <f>VLOOKUP(C743,Resources!B:G,3,FALSE)</f>
        <v>P</v>
      </c>
      <c r="F743" s="12">
        <v>1</v>
      </c>
      <c r="G743" s="26">
        <f>VLOOKUP($A743,'Model Inputs'!$A:$C,3,FALSE)</f>
        <v>66.667000000000002</v>
      </c>
      <c r="H743" s="12">
        <f>H742</f>
        <v>211.5</v>
      </c>
      <c r="I743" s="12">
        <f>VLOOKUP(C743,Resources!B:G,6,FALSE)</f>
        <v>160</v>
      </c>
      <c r="J743" s="21">
        <f t="shared" si="1236"/>
        <v>507.59746201268996</v>
      </c>
      <c r="K743" s="21">
        <f t="shared" si="1237"/>
        <v>3.1724841375793122</v>
      </c>
      <c r="L743" s="24">
        <f t="shared" si="1238"/>
        <v>3.1724841375793122</v>
      </c>
      <c r="M743" s="24">
        <f t="shared" si="1239"/>
        <v>0</v>
      </c>
      <c r="N743" s="24">
        <f t="shared" si="1240"/>
        <v>0</v>
      </c>
      <c r="O743" s="24">
        <f t="shared" si="1241"/>
        <v>507.59746201268996</v>
      </c>
      <c r="P743" s="24">
        <f t="shared" si="1242"/>
        <v>0</v>
      </c>
      <c r="Q743" s="24">
        <f t="shared" si="1243"/>
        <v>507.59746201268996</v>
      </c>
      <c r="R743" s="87">
        <v>62</v>
      </c>
      <c r="T743" s="235" t="str">
        <f t="shared" si="1194"/>
        <v xml:space="preserve"> </v>
      </c>
    </row>
    <row r="744" spans="1:21" x14ac:dyDescent="0.25">
      <c r="A744" s="157"/>
      <c r="B744" s="6">
        <v>3</v>
      </c>
      <c r="C744" s="9" t="s">
        <v>89</v>
      </c>
      <c r="D744" s="6" t="s">
        <v>26</v>
      </c>
      <c r="E744" s="17" t="str">
        <f>VLOOKUP(C744,Resources!B:G,3,FALSE)</f>
        <v>P</v>
      </c>
      <c r="F744" s="12">
        <v>1</v>
      </c>
      <c r="G744" s="12">
        <f>G743</f>
        <v>66.667000000000002</v>
      </c>
      <c r="H744" s="12">
        <f>H742</f>
        <v>211.5</v>
      </c>
      <c r="I744" s="12">
        <f>VLOOKUP(C744,Resources!B:G,6,FALSE)</f>
        <v>55</v>
      </c>
      <c r="J744" s="21">
        <f t="shared" si="1236"/>
        <v>174.48662756686218</v>
      </c>
      <c r="K744" s="21">
        <f t="shared" si="1237"/>
        <v>3.1724841375793122</v>
      </c>
      <c r="L744" s="24">
        <f t="shared" si="1238"/>
        <v>3.1724841375793122</v>
      </c>
      <c r="M744" s="24">
        <f t="shared" si="1239"/>
        <v>0</v>
      </c>
      <c r="N744" s="24">
        <f t="shared" si="1240"/>
        <v>0</v>
      </c>
      <c r="O744" s="24">
        <f t="shared" si="1241"/>
        <v>174.48662756686218</v>
      </c>
      <c r="P744" s="24">
        <f t="shared" si="1242"/>
        <v>0</v>
      </c>
      <c r="Q744" s="24">
        <f t="shared" si="1243"/>
        <v>174.48662756686218</v>
      </c>
      <c r="R744" s="87">
        <v>62</v>
      </c>
      <c r="T744" s="235" t="str">
        <f t="shared" si="1194"/>
        <v xml:space="preserve"> </v>
      </c>
    </row>
    <row r="745" spans="1:21" x14ac:dyDescent="0.25">
      <c r="A745" s="157"/>
      <c r="B745" s="6">
        <v>4</v>
      </c>
      <c r="C745" s="9" t="s">
        <v>28</v>
      </c>
      <c r="D745" s="6" t="s">
        <v>26</v>
      </c>
      <c r="E745" s="17" t="str">
        <f>VLOOKUP(C745,Resources!B:G,3,FALSE)</f>
        <v>P</v>
      </c>
      <c r="F745" s="12">
        <v>1</v>
      </c>
      <c r="G745" s="12">
        <f>G743</f>
        <v>66.667000000000002</v>
      </c>
      <c r="H745" s="12">
        <f>H742</f>
        <v>211.5</v>
      </c>
      <c r="I745" s="12">
        <f>VLOOKUP(C745,Resources!B:G,6,FALSE)</f>
        <v>95</v>
      </c>
      <c r="J745" s="21">
        <f t="shared" si="1236"/>
        <v>301.38599307003466</v>
      </c>
      <c r="K745" s="21">
        <f t="shared" si="1237"/>
        <v>3.1724841375793122</v>
      </c>
      <c r="L745" s="24">
        <f t="shared" si="1238"/>
        <v>3.1724841375793122</v>
      </c>
      <c r="M745" s="24">
        <f t="shared" si="1239"/>
        <v>0</v>
      </c>
      <c r="N745" s="24">
        <f t="shared" si="1240"/>
        <v>0</v>
      </c>
      <c r="O745" s="24">
        <f t="shared" si="1241"/>
        <v>301.38599307003466</v>
      </c>
      <c r="P745" s="24">
        <f t="shared" si="1242"/>
        <v>0</v>
      </c>
      <c r="Q745" s="24">
        <f t="shared" si="1243"/>
        <v>301.38599307003466</v>
      </c>
      <c r="R745" s="87">
        <v>62</v>
      </c>
      <c r="T745" s="235" t="str">
        <f t="shared" si="1194"/>
        <v xml:space="preserve"> </v>
      </c>
    </row>
    <row r="746" spans="1:21" x14ac:dyDescent="0.25">
      <c r="A746" s="157"/>
      <c r="B746" s="6">
        <v>5</v>
      </c>
      <c r="C746" s="9" t="s">
        <v>8</v>
      </c>
      <c r="D746" s="6" t="s">
        <v>26</v>
      </c>
      <c r="E746" s="17" t="str">
        <f>VLOOKUP(C746,Resources!B:G,3,FALSE)</f>
        <v>L</v>
      </c>
      <c r="F746" s="12">
        <v>3</v>
      </c>
      <c r="G746" s="12">
        <f>G743</f>
        <v>66.667000000000002</v>
      </c>
      <c r="H746" s="12">
        <f>H742</f>
        <v>211.5</v>
      </c>
      <c r="I746" s="12">
        <f>VLOOKUP(C746,Resources!B:G,6,FALSE)</f>
        <v>51.9</v>
      </c>
      <c r="J746" s="21">
        <f t="shared" si="1236"/>
        <v>493.95578022109885</v>
      </c>
      <c r="K746" s="21">
        <f t="shared" si="1237"/>
        <v>9.5174524127379367</v>
      </c>
      <c r="L746" s="24">
        <f t="shared" si="1238"/>
        <v>3.1724841375793122</v>
      </c>
      <c r="M746" s="24">
        <f t="shared" si="1239"/>
        <v>493.95578022109885</v>
      </c>
      <c r="N746" s="24">
        <f t="shared" si="1240"/>
        <v>0</v>
      </c>
      <c r="O746" s="24">
        <f t="shared" si="1241"/>
        <v>0</v>
      </c>
      <c r="P746" s="24">
        <f t="shared" si="1242"/>
        <v>0</v>
      </c>
      <c r="Q746" s="24">
        <f t="shared" si="1243"/>
        <v>493.95578022109885</v>
      </c>
      <c r="R746" s="87">
        <v>62</v>
      </c>
      <c r="T746" s="235" t="str">
        <f t="shared" si="1194"/>
        <v xml:space="preserve"> </v>
      </c>
    </row>
    <row r="747" spans="1:21" s="18" customFormat="1" ht="30" x14ac:dyDescent="0.25">
      <c r="A747" s="157"/>
      <c r="B747" s="6">
        <v>6</v>
      </c>
      <c r="C747" s="9" t="s">
        <v>101</v>
      </c>
      <c r="D747" s="6"/>
      <c r="E747" s="17"/>
      <c r="F747" s="12"/>
      <c r="G747" s="12"/>
      <c r="H747" s="12"/>
      <c r="I747" s="12"/>
      <c r="J747" s="21"/>
      <c r="K747" s="21"/>
      <c r="L747" s="24"/>
      <c r="M747" s="24"/>
      <c r="N747" s="24"/>
      <c r="O747" s="24"/>
      <c r="P747" s="24"/>
      <c r="Q747" s="24"/>
      <c r="R747" s="87"/>
      <c r="T747" s="235" t="str">
        <f t="shared" si="1194"/>
        <v xml:space="preserve"> </v>
      </c>
      <c r="U747" s="232"/>
    </row>
    <row r="748" spans="1:21" x14ac:dyDescent="0.25">
      <c r="A748" s="157"/>
      <c r="B748" s="6">
        <v>7</v>
      </c>
      <c r="C748" s="9" t="s">
        <v>70</v>
      </c>
      <c r="D748" s="6" t="s">
        <v>26</v>
      </c>
      <c r="E748" s="17" t="str">
        <f>VLOOKUP(C748,Resources!B:G,3,FALSE)</f>
        <v>P</v>
      </c>
      <c r="F748" s="12">
        <v>1</v>
      </c>
      <c r="G748" s="12">
        <f>G743</f>
        <v>66.667000000000002</v>
      </c>
      <c r="H748" s="12">
        <f>H742</f>
        <v>211.5</v>
      </c>
      <c r="I748" s="12">
        <f>VLOOKUP(C748,Resources!B:G,6,FALSE)</f>
        <v>135</v>
      </c>
      <c r="J748" s="21">
        <f t="shared" ref="J748:J749" si="1244">(H748/G748)*I748*F748</f>
        <v>428.28535857320713</v>
      </c>
      <c r="K748" s="21">
        <f t="shared" ref="K748:K749" si="1245">IF(E748="M"," ",L748*F748)</f>
        <v>3.1724841375793122</v>
      </c>
      <c r="L748" s="24">
        <f t="shared" ref="L748:L749" si="1246">IF(E748="M"," ",H748/G748)</f>
        <v>3.1724841375793122</v>
      </c>
      <c r="M748" s="24">
        <f t="shared" ref="M748:M749" si="1247">IF($E748="L",$J748,0)</f>
        <v>0</v>
      </c>
      <c r="N748" s="24">
        <f t="shared" ref="N748:N749" si="1248">IF($E748="M",$J748,0)</f>
        <v>0</v>
      </c>
      <c r="O748" s="24">
        <f t="shared" ref="O748:O749" si="1249">IF($E748="P",$J748,0)</f>
        <v>428.28535857320713</v>
      </c>
      <c r="P748" s="24">
        <f t="shared" ref="P748:P749" si="1250">IF($E748="S",$J748,0)</f>
        <v>0</v>
      </c>
      <c r="Q748" s="24">
        <f t="shared" ref="Q748:Q749" si="1251">SUM(M748:P748)</f>
        <v>428.28535857320713</v>
      </c>
      <c r="R748" s="87">
        <v>62</v>
      </c>
      <c r="T748" s="235" t="str">
        <f t="shared" si="1194"/>
        <v xml:space="preserve"> </v>
      </c>
    </row>
    <row r="749" spans="1:21" x14ac:dyDescent="0.25">
      <c r="A749" s="157"/>
      <c r="B749" s="6">
        <v>8</v>
      </c>
      <c r="C749" s="9" t="s">
        <v>27</v>
      </c>
      <c r="D749" s="6" t="s">
        <v>26</v>
      </c>
      <c r="E749" s="17" t="str">
        <f>VLOOKUP(C749,Resources!B:G,3,FALSE)</f>
        <v>P</v>
      </c>
      <c r="F749" s="12">
        <v>2</v>
      </c>
      <c r="G749" s="12">
        <f>G743</f>
        <v>66.667000000000002</v>
      </c>
      <c r="H749" s="12">
        <f>H742</f>
        <v>211.5</v>
      </c>
      <c r="I749" s="12">
        <f>VLOOKUP(C749,Resources!B:G,6,FALSE)</f>
        <v>90</v>
      </c>
      <c r="J749" s="21">
        <f t="shared" si="1244"/>
        <v>571.04714476427625</v>
      </c>
      <c r="K749" s="21">
        <f t="shared" si="1245"/>
        <v>6.3449682751586245</v>
      </c>
      <c r="L749" s="24">
        <f t="shared" si="1246"/>
        <v>3.1724841375793122</v>
      </c>
      <c r="M749" s="24">
        <f t="shared" si="1247"/>
        <v>0</v>
      </c>
      <c r="N749" s="24">
        <f t="shared" si="1248"/>
        <v>0</v>
      </c>
      <c r="O749" s="24">
        <f t="shared" si="1249"/>
        <v>571.04714476427625</v>
      </c>
      <c r="P749" s="24">
        <f t="shared" si="1250"/>
        <v>0</v>
      </c>
      <c r="Q749" s="24">
        <f t="shared" si="1251"/>
        <v>571.04714476427625</v>
      </c>
      <c r="R749" s="87">
        <v>62</v>
      </c>
      <c r="T749" s="235" t="str">
        <f t="shared" si="1194"/>
        <v xml:space="preserve"> </v>
      </c>
    </row>
    <row r="750" spans="1:21" x14ac:dyDescent="0.25">
      <c r="F750" s="11"/>
      <c r="G750" s="11"/>
      <c r="H750" s="11"/>
      <c r="I750" s="11"/>
      <c r="J750" s="11"/>
      <c r="K750" s="11"/>
      <c r="R750" s="88"/>
      <c r="T750" s="235" t="str">
        <f t="shared" si="1194"/>
        <v xml:space="preserve"> </v>
      </c>
    </row>
    <row r="751" spans="1:21" ht="30" x14ac:dyDescent="0.25">
      <c r="A751" s="156"/>
      <c r="B751" s="3" t="s">
        <v>302</v>
      </c>
      <c r="C751" s="3" t="s">
        <v>303</v>
      </c>
      <c r="D751" s="4"/>
      <c r="E751" s="15"/>
      <c r="F751" s="10"/>
      <c r="G751" s="10"/>
      <c r="H751" s="10"/>
      <c r="I751" s="10"/>
      <c r="J751" s="10"/>
      <c r="K751" s="10"/>
      <c r="L751" s="23"/>
      <c r="M751" s="23"/>
      <c r="N751" s="23"/>
      <c r="O751" s="23"/>
      <c r="P751" s="23"/>
      <c r="Q751" s="23"/>
      <c r="R751" s="86"/>
      <c r="T751" s="235" t="str">
        <f t="shared" si="1194"/>
        <v xml:space="preserve"> </v>
      </c>
    </row>
    <row r="752" spans="1:21" ht="60" x14ac:dyDescent="0.25">
      <c r="A752" s="156">
        <v>91</v>
      </c>
      <c r="B752" s="3" t="s">
        <v>304</v>
      </c>
      <c r="C752" s="3" t="s">
        <v>592</v>
      </c>
      <c r="D752" s="4" t="s">
        <v>74</v>
      </c>
      <c r="E752" s="15"/>
      <c r="F752" s="10"/>
      <c r="G752" s="10"/>
      <c r="H752" s="26">
        <f>VLOOKUP($A752,'Model Inputs'!$A:$C,3,FALSE)</f>
        <v>66</v>
      </c>
      <c r="I752" s="10"/>
      <c r="J752" s="10">
        <f>SUBTOTAL(9,J753:J757,J759:J760)</f>
        <v>7050.914468552658</v>
      </c>
      <c r="K752" s="10"/>
      <c r="L752" s="10">
        <f>ROUNDUP(MAX(L753:L757,L759:L760)/Workhrs,0)</f>
        <v>1</v>
      </c>
      <c r="M752" s="10">
        <f>SUBTOTAL(9,M753:M757,M759:M760)</f>
        <v>362.23423882880581</v>
      </c>
      <c r="N752" s="10">
        <f t="shared" ref="N752" si="1252">SUBTOTAL(9,N753:N757,N759:N760)</f>
        <v>5234.625</v>
      </c>
      <c r="O752" s="10">
        <f t="shared" ref="O752" si="1253">SUBTOTAL(9,O753:O757,O759:O760)</f>
        <v>1454.0552297238512</v>
      </c>
      <c r="P752" s="10">
        <f t="shared" ref="P752" si="1254">SUBTOTAL(9,P753:P757,P759:P760)</f>
        <v>0</v>
      </c>
      <c r="Q752" s="10">
        <f t="shared" ref="Q752" si="1255">SUBTOTAL(9,Q753:Q757,Q759:Q760)</f>
        <v>7050.914468552658</v>
      </c>
      <c r="R752" s="86"/>
      <c r="T752" s="235" t="str">
        <f t="shared" si="1194"/>
        <v xml:space="preserve"> </v>
      </c>
    </row>
    <row r="753" spans="1:21" x14ac:dyDescent="0.25">
      <c r="A753" s="157"/>
      <c r="B753" s="6">
        <v>1</v>
      </c>
      <c r="C753" s="9" t="s">
        <v>198</v>
      </c>
      <c r="D753" s="6" t="s">
        <v>100</v>
      </c>
      <c r="E753" s="17" t="str">
        <f>VLOOKUP(C753,Resources!B:G,3,FALSE)</f>
        <v>M</v>
      </c>
      <c r="F753" s="12">
        <v>1</v>
      </c>
      <c r="G753" s="12">
        <v>1</v>
      </c>
      <c r="H753" s="12">
        <f>H752*2.35</f>
        <v>155.1</v>
      </c>
      <c r="I753" s="12">
        <f>VLOOKUP(C753,Resources!B:G,6,FALSE)</f>
        <v>33.75</v>
      </c>
      <c r="J753" s="21">
        <f t="shared" ref="J753:J757" si="1256">(H753/G753)*I753*F753</f>
        <v>5234.625</v>
      </c>
      <c r="K753" s="21" t="str">
        <f t="shared" ref="K753:K757" si="1257">IF(E753="M"," ",L753*F753)</f>
        <v xml:space="preserve"> </v>
      </c>
      <c r="L753" s="24" t="str">
        <f t="shared" ref="L753:L757" si="1258">IF(E753="M"," ",H753/G753)</f>
        <v xml:space="preserve"> </v>
      </c>
      <c r="M753" s="24">
        <f t="shared" ref="M753:M757" si="1259">IF($E753="L",$J753,0)</f>
        <v>0</v>
      </c>
      <c r="N753" s="24">
        <f t="shared" ref="N753:N757" si="1260">IF($E753="M",$J753,0)</f>
        <v>5234.625</v>
      </c>
      <c r="O753" s="24">
        <f t="shared" ref="O753:O757" si="1261">IF($E753="P",$J753,0)</f>
        <v>0</v>
      </c>
      <c r="P753" s="24">
        <f t="shared" ref="P753:P757" si="1262">IF($E753="S",$J753,0)</f>
        <v>0</v>
      </c>
      <c r="Q753" s="24">
        <f t="shared" ref="Q753:Q757" si="1263">SUM(M753:P753)</f>
        <v>5234.625</v>
      </c>
      <c r="R753" s="87" t="s">
        <v>539</v>
      </c>
      <c r="T753" s="235" t="str">
        <f t="shared" si="1194"/>
        <v xml:space="preserve"> </v>
      </c>
    </row>
    <row r="754" spans="1:21" x14ac:dyDescent="0.25">
      <c r="A754" s="157">
        <v>91.1</v>
      </c>
      <c r="B754" s="6">
        <v>2</v>
      </c>
      <c r="C754" s="9" t="s">
        <v>78</v>
      </c>
      <c r="D754" s="6" t="s">
        <v>26</v>
      </c>
      <c r="E754" s="17" t="str">
        <f>VLOOKUP(C754,Resources!B:G,3,FALSE)</f>
        <v>P</v>
      </c>
      <c r="F754" s="12">
        <v>1</v>
      </c>
      <c r="G754" s="26">
        <f>VLOOKUP($A754,'Model Inputs'!$A:$C,3,FALSE)</f>
        <v>66.667000000000002</v>
      </c>
      <c r="H754" s="12">
        <f>H753</f>
        <v>155.1</v>
      </c>
      <c r="I754" s="12">
        <f>VLOOKUP(C754,Resources!B:G,6,FALSE)</f>
        <v>160</v>
      </c>
      <c r="J754" s="21">
        <f t="shared" si="1256"/>
        <v>372.23813880930595</v>
      </c>
      <c r="K754" s="21">
        <f t="shared" si="1257"/>
        <v>2.326488367558162</v>
      </c>
      <c r="L754" s="24">
        <f t="shared" si="1258"/>
        <v>2.326488367558162</v>
      </c>
      <c r="M754" s="24">
        <f t="shared" si="1259"/>
        <v>0</v>
      </c>
      <c r="N754" s="24">
        <f t="shared" si="1260"/>
        <v>0</v>
      </c>
      <c r="O754" s="24">
        <f t="shared" si="1261"/>
        <v>372.23813880930595</v>
      </c>
      <c r="P754" s="24">
        <f t="shared" si="1262"/>
        <v>0</v>
      </c>
      <c r="Q754" s="24">
        <f t="shared" si="1263"/>
        <v>372.23813880930595</v>
      </c>
      <c r="R754" s="87">
        <v>62</v>
      </c>
      <c r="T754" s="235" t="str">
        <f t="shared" si="1194"/>
        <v xml:space="preserve"> </v>
      </c>
    </row>
    <row r="755" spans="1:21" x14ac:dyDescent="0.25">
      <c r="A755" s="157"/>
      <c r="B755" s="6">
        <v>3</v>
      </c>
      <c r="C755" s="9" t="s">
        <v>89</v>
      </c>
      <c r="D755" s="6" t="s">
        <v>26</v>
      </c>
      <c r="E755" s="17" t="str">
        <f>VLOOKUP(C755,Resources!B:G,3,FALSE)</f>
        <v>P</v>
      </c>
      <c r="F755" s="12">
        <v>1</v>
      </c>
      <c r="G755" s="12">
        <f>G754</f>
        <v>66.667000000000002</v>
      </c>
      <c r="H755" s="12">
        <f>H753</f>
        <v>155.1</v>
      </c>
      <c r="I755" s="12">
        <f>VLOOKUP(C755,Resources!B:G,6,FALSE)</f>
        <v>55</v>
      </c>
      <c r="J755" s="21">
        <f t="shared" si="1256"/>
        <v>127.95686021569891</v>
      </c>
      <c r="K755" s="21">
        <f t="shared" si="1257"/>
        <v>2.326488367558162</v>
      </c>
      <c r="L755" s="24">
        <f t="shared" si="1258"/>
        <v>2.326488367558162</v>
      </c>
      <c r="M755" s="24">
        <f t="shared" si="1259"/>
        <v>0</v>
      </c>
      <c r="N755" s="24">
        <f t="shared" si="1260"/>
        <v>0</v>
      </c>
      <c r="O755" s="24">
        <f t="shared" si="1261"/>
        <v>127.95686021569891</v>
      </c>
      <c r="P755" s="24">
        <f t="shared" si="1262"/>
        <v>0</v>
      </c>
      <c r="Q755" s="24">
        <f t="shared" si="1263"/>
        <v>127.95686021569891</v>
      </c>
      <c r="R755" s="87">
        <v>62</v>
      </c>
      <c r="T755" s="235" t="str">
        <f t="shared" si="1194"/>
        <v xml:space="preserve"> </v>
      </c>
    </row>
    <row r="756" spans="1:21" x14ac:dyDescent="0.25">
      <c r="A756" s="157"/>
      <c r="B756" s="6">
        <v>4</v>
      </c>
      <c r="C756" s="9" t="s">
        <v>28</v>
      </c>
      <c r="D756" s="6" t="s">
        <v>26</v>
      </c>
      <c r="E756" s="17" t="str">
        <f>VLOOKUP(C756,Resources!B:G,3,FALSE)</f>
        <v>P</v>
      </c>
      <c r="F756" s="12">
        <v>1</v>
      </c>
      <c r="G756" s="12">
        <f>G754</f>
        <v>66.667000000000002</v>
      </c>
      <c r="H756" s="12">
        <f>H753</f>
        <v>155.1</v>
      </c>
      <c r="I756" s="12">
        <f>VLOOKUP(C756,Resources!B:G,6,FALSE)</f>
        <v>95</v>
      </c>
      <c r="J756" s="21">
        <f t="shared" si="1256"/>
        <v>221.01639491802538</v>
      </c>
      <c r="K756" s="21">
        <f t="shared" si="1257"/>
        <v>2.326488367558162</v>
      </c>
      <c r="L756" s="24">
        <f t="shared" si="1258"/>
        <v>2.326488367558162</v>
      </c>
      <c r="M756" s="24">
        <f t="shared" si="1259"/>
        <v>0</v>
      </c>
      <c r="N756" s="24">
        <f t="shared" si="1260"/>
        <v>0</v>
      </c>
      <c r="O756" s="24">
        <f t="shared" si="1261"/>
        <v>221.01639491802538</v>
      </c>
      <c r="P756" s="24">
        <f t="shared" si="1262"/>
        <v>0</v>
      </c>
      <c r="Q756" s="24">
        <f t="shared" si="1263"/>
        <v>221.01639491802538</v>
      </c>
      <c r="R756" s="87">
        <v>62</v>
      </c>
      <c r="T756" s="235" t="str">
        <f t="shared" si="1194"/>
        <v xml:space="preserve"> </v>
      </c>
    </row>
    <row r="757" spans="1:21" x14ac:dyDescent="0.25">
      <c r="A757" s="157"/>
      <c r="B757" s="6">
        <v>5</v>
      </c>
      <c r="C757" s="9" t="s">
        <v>8</v>
      </c>
      <c r="D757" s="6" t="s">
        <v>26</v>
      </c>
      <c r="E757" s="17" t="str">
        <f>VLOOKUP(C757,Resources!B:G,3,FALSE)</f>
        <v>L</v>
      </c>
      <c r="F757" s="12">
        <v>3</v>
      </c>
      <c r="G757" s="12">
        <f>G754</f>
        <v>66.667000000000002</v>
      </c>
      <c r="H757" s="12">
        <f>H753</f>
        <v>155.1</v>
      </c>
      <c r="I757" s="12">
        <f>VLOOKUP(C757,Resources!B:G,6,FALSE)</f>
        <v>51.9</v>
      </c>
      <c r="J757" s="21">
        <f t="shared" si="1256"/>
        <v>362.23423882880581</v>
      </c>
      <c r="K757" s="21">
        <f t="shared" si="1257"/>
        <v>6.9794651026744861</v>
      </c>
      <c r="L757" s="24">
        <f t="shared" si="1258"/>
        <v>2.326488367558162</v>
      </c>
      <c r="M757" s="24">
        <f t="shared" si="1259"/>
        <v>362.23423882880581</v>
      </c>
      <c r="N757" s="24">
        <f t="shared" si="1260"/>
        <v>0</v>
      </c>
      <c r="O757" s="24">
        <f t="shared" si="1261"/>
        <v>0</v>
      </c>
      <c r="P757" s="24">
        <f t="shared" si="1262"/>
        <v>0</v>
      </c>
      <c r="Q757" s="24">
        <f t="shared" si="1263"/>
        <v>362.23423882880581</v>
      </c>
      <c r="R757" s="87">
        <v>62</v>
      </c>
      <c r="T757" s="235" t="str">
        <f t="shared" si="1194"/>
        <v xml:space="preserve"> </v>
      </c>
    </row>
    <row r="758" spans="1:21" s="18" customFormat="1" ht="30" x14ac:dyDescent="0.25">
      <c r="A758" s="157"/>
      <c r="B758" s="6">
        <v>6</v>
      </c>
      <c r="C758" s="9" t="s">
        <v>101</v>
      </c>
      <c r="D758" s="6"/>
      <c r="E758" s="17"/>
      <c r="F758" s="12"/>
      <c r="G758" s="12"/>
      <c r="H758" s="12"/>
      <c r="I758" s="12"/>
      <c r="J758" s="21"/>
      <c r="K758" s="21"/>
      <c r="L758" s="24"/>
      <c r="M758" s="24"/>
      <c r="N758" s="24"/>
      <c r="O758" s="24"/>
      <c r="P758" s="24"/>
      <c r="Q758" s="24"/>
      <c r="R758" s="87"/>
      <c r="T758" s="235" t="str">
        <f t="shared" si="1194"/>
        <v xml:space="preserve"> </v>
      </c>
      <c r="U758" s="232"/>
    </row>
    <row r="759" spans="1:21" x14ac:dyDescent="0.25">
      <c r="A759" s="157"/>
      <c r="B759" s="6">
        <v>7</v>
      </c>
      <c r="C759" s="9" t="s">
        <v>70</v>
      </c>
      <c r="D759" s="6" t="s">
        <v>26</v>
      </c>
      <c r="E759" s="17" t="str">
        <f>VLOOKUP(C759,Resources!B:G,3,FALSE)</f>
        <v>P</v>
      </c>
      <c r="F759" s="12">
        <v>1</v>
      </c>
      <c r="G759" s="12">
        <f>G754</f>
        <v>66.667000000000002</v>
      </c>
      <c r="H759" s="12">
        <f>H753</f>
        <v>155.1</v>
      </c>
      <c r="I759" s="12">
        <f>VLOOKUP(C759,Resources!B:G,6,FALSE)</f>
        <v>135</v>
      </c>
      <c r="J759" s="21">
        <f t="shared" ref="J759:J760" si="1264">(H759/G759)*I759*F759</f>
        <v>314.07592962035187</v>
      </c>
      <c r="K759" s="21">
        <f t="shared" ref="K759:K760" si="1265">IF(E759="M"," ",L759*F759)</f>
        <v>2.326488367558162</v>
      </c>
      <c r="L759" s="24">
        <f t="shared" ref="L759:L760" si="1266">IF(E759="M"," ",H759/G759)</f>
        <v>2.326488367558162</v>
      </c>
      <c r="M759" s="24">
        <f t="shared" ref="M759:M760" si="1267">IF($E759="L",$J759,0)</f>
        <v>0</v>
      </c>
      <c r="N759" s="24">
        <f t="shared" ref="N759:N760" si="1268">IF($E759="M",$J759,0)</f>
        <v>0</v>
      </c>
      <c r="O759" s="24">
        <f t="shared" ref="O759:O760" si="1269">IF($E759="P",$J759,0)</f>
        <v>314.07592962035187</v>
      </c>
      <c r="P759" s="24">
        <f t="shared" ref="P759:P760" si="1270">IF($E759="S",$J759,0)</f>
        <v>0</v>
      </c>
      <c r="Q759" s="24">
        <f t="shared" ref="Q759:Q760" si="1271">SUM(M759:P759)</f>
        <v>314.07592962035187</v>
      </c>
      <c r="R759" s="87">
        <v>62</v>
      </c>
      <c r="T759" s="235" t="str">
        <f t="shared" si="1194"/>
        <v xml:space="preserve"> </v>
      </c>
    </row>
    <row r="760" spans="1:21" x14ac:dyDescent="0.25">
      <c r="A760" s="157"/>
      <c r="B760" s="6">
        <v>8</v>
      </c>
      <c r="C760" s="9" t="s">
        <v>27</v>
      </c>
      <c r="D760" s="6" t="s">
        <v>26</v>
      </c>
      <c r="E760" s="17" t="str">
        <f>VLOOKUP(C760,Resources!B:G,3,FALSE)</f>
        <v>P</v>
      </c>
      <c r="F760" s="12">
        <v>2</v>
      </c>
      <c r="G760" s="12">
        <f>G754</f>
        <v>66.667000000000002</v>
      </c>
      <c r="H760" s="12">
        <f>H753</f>
        <v>155.1</v>
      </c>
      <c r="I760" s="12">
        <f>VLOOKUP(C760,Resources!B:G,6,FALSE)</f>
        <v>90</v>
      </c>
      <c r="J760" s="21">
        <f t="shared" si="1264"/>
        <v>418.76790616046918</v>
      </c>
      <c r="K760" s="21">
        <f t="shared" si="1265"/>
        <v>4.652976735116324</v>
      </c>
      <c r="L760" s="24">
        <f t="shared" si="1266"/>
        <v>2.326488367558162</v>
      </c>
      <c r="M760" s="24">
        <f t="shared" si="1267"/>
        <v>0</v>
      </c>
      <c r="N760" s="24">
        <f t="shared" si="1268"/>
        <v>0</v>
      </c>
      <c r="O760" s="24">
        <f t="shared" si="1269"/>
        <v>418.76790616046918</v>
      </c>
      <c r="P760" s="24">
        <f t="shared" si="1270"/>
        <v>0</v>
      </c>
      <c r="Q760" s="24">
        <f t="shared" si="1271"/>
        <v>418.76790616046918</v>
      </c>
      <c r="R760" s="87">
        <v>62</v>
      </c>
      <c r="T760" s="235" t="str">
        <f t="shared" si="1194"/>
        <v xml:space="preserve"> </v>
      </c>
    </row>
    <row r="761" spans="1:21" x14ac:dyDescent="0.25">
      <c r="F761" s="11"/>
      <c r="G761" s="11"/>
      <c r="H761" s="11"/>
      <c r="I761" s="11"/>
      <c r="J761" s="11"/>
      <c r="K761" s="11"/>
      <c r="R761" s="88"/>
      <c r="T761" s="235" t="str">
        <f t="shared" si="1194"/>
        <v xml:space="preserve"> </v>
      </c>
    </row>
    <row r="762" spans="1:21" ht="60" x14ac:dyDescent="0.25">
      <c r="A762" s="156">
        <v>92</v>
      </c>
      <c r="B762" s="3" t="s">
        <v>305</v>
      </c>
      <c r="C762" s="3" t="s">
        <v>593</v>
      </c>
      <c r="D762" s="4" t="s">
        <v>74</v>
      </c>
      <c r="E762" s="15"/>
      <c r="F762" s="10"/>
      <c r="G762" s="10"/>
      <c r="H762" s="26">
        <f>VLOOKUP($A762,'Model Inputs'!$A:$C,3,FALSE)</f>
        <v>99</v>
      </c>
      <c r="I762" s="10"/>
      <c r="J762" s="10">
        <f>SUBTOTAL(9,J763:J767,J769:J770)</f>
        <v>10285.559202828987</v>
      </c>
      <c r="K762" s="10"/>
      <c r="L762" s="10">
        <f>ROUNDUP(MAX(L763:L767,L769:L770)/Workhrs,0)</f>
        <v>1</v>
      </c>
      <c r="M762" s="10">
        <f>SUBTOTAL(9,M763:M767,M769:M770)</f>
        <v>543.35135824320878</v>
      </c>
      <c r="N762" s="10">
        <f t="shared" ref="N762" si="1272">SUBTOTAL(9,N763:N767,N769:N770)</f>
        <v>7561.125</v>
      </c>
      <c r="O762" s="10">
        <f t="shared" ref="O762" si="1273">SUBTOTAL(9,O763:O767,O769:O770)</f>
        <v>2181.0828445857774</v>
      </c>
      <c r="P762" s="10">
        <f t="shared" ref="P762" si="1274">SUBTOTAL(9,P763:P767,P769:P770)</f>
        <v>0</v>
      </c>
      <c r="Q762" s="10">
        <f t="shared" ref="Q762" si="1275">SUBTOTAL(9,Q763:Q767,Q769:Q770)</f>
        <v>10285.559202828987</v>
      </c>
      <c r="R762" s="86"/>
      <c r="T762" s="235" t="str">
        <f t="shared" si="1194"/>
        <v xml:space="preserve"> </v>
      </c>
    </row>
    <row r="763" spans="1:21" x14ac:dyDescent="0.25">
      <c r="A763" s="157"/>
      <c r="B763" s="6">
        <v>1</v>
      </c>
      <c r="C763" s="9" t="s">
        <v>103</v>
      </c>
      <c r="D763" s="6" t="s">
        <v>100</v>
      </c>
      <c r="E763" s="17" t="str">
        <f>VLOOKUP(C763,Resources!B:G,3,FALSE)</f>
        <v>M</v>
      </c>
      <c r="F763" s="12">
        <v>1</v>
      </c>
      <c r="G763" s="12">
        <v>1</v>
      </c>
      <c r="H763" s="12">
        <f>H762*2.35</f>
        <v>232.65</v>
      </c>
      <c r="I763" s="12">
        <f>VLOOKUP(C763,Resources!B:G,6,FALSE)</f>
        <v>32.5</v>
      </c>
      <c r="J763" s="21">
        <f t="shared" ref="J763:J767" si="1276">(H763/G763)*I763*F763</f>
        <v>7561.125</v>
      </c>
      <c r="K763" s="21" t="str">
        <f t="shared" ref="K763:K767" si="1277">IF(E763="M"," ",L763*F763)</f>
        <v xml:space="preserve"> </v>
      </c>
      <c r="L763" s="24" t="str">
        <f t="shared" ref="L763:L767" si="1278">IF(E763="M"," ",H763/G763)</f>
        <v xml:space="preserve"> </v>
      </c>
      <c r="M763" s="24">
        <f t="shared" ref="M763:M767" si="1279">IF($E763="L",$J763,0)</f>
        <v>0</v>
      </c>
      <c r="N763" s="24">
        <f t="shared" ref="N763:N767" si="1280">IF($E763="M",$J763,0)</f>
        <v>7561.125</v>
      </c>
      <c r="O763" s="24">
        <f t="shared" ref="O763:O767" si="1281">IF($E763="P",$J763,0)</f>
        <v>0</v>
      </c>
      <c r="P763" s="24">
        <f t="shared" ref="P763:P767" si="1282">IF($E763="S",$J763,0)</f>
        <v>0</v>
      </c>
      <c r="Q763" s="24">
        <f t="shared" ref="Q763:Q767" si="1283">SUM(M763:P763)</f>
        <v>7561.125</v>
      </c>
      <c r="R763" s="87" t="s">
        <v>539</v>
      </c>
      <c r="T763" s="235" t="str">
        <f t="shared" si="1194"/>
        <v xml:space="preserve"> </v>
      </c>
    </row>
    <row r="764" spans="1:21" x14ac:dyDescent="0.25">
      <c r="A764" s="157">
        <v>92.1</v>
      </c>
      <c r="B764" s="6">
        <v>2</v>
      </c>
      <c r="C764" s="9" t="s">
        <v>78</v>
      </c>
      <c r="D764" s="6" t="s">
        <v>26</v>
      </c>
      <c r="E764" s="17" t="str">
        <f>VLOOKUP(C764,Resources!B:G,3,FALSE)</f>
        <v>P</v>
      </c>
      <c r="F764" s="12">
        <v>1</v>
      </c>
      <c r="G764" s="26">
        <f>VLOOKUP($A764,'Model Inputs'!$A:$C,3,FALSE)</f>
        <v>66.667000000000002</v>
      </c>
      <c r="H764" s="12">
        <f>H763</f>
        <v>232.65</v>
      </c>
      <c r="I764" s="12">
        <f>VLOOKUP(C764,Resources!B:G,6,FALSE)</f>
        <v>160</v>
      </c>
      <c r="J764" s="21">
        <f t="shared" si="1276"/>
        <v>558.35720821395898</v>
      </c>
      <c r="K764" s="21">
        <f t="shared" si="1277"/>
        <v>3.4897325513372435</v>
      </c>
      <c r="L764" s="24">
        <f t="shared" si="1278"/>
        <v>3.4897325513372435</v>
      </c>
      <c r="M764" s="24">
        <f t="shared" si="1279"/>
        <v>0</v>
      </c>
      <c r="N764" s="24">
        <f t="shared" si="1280"/>
        <v>0</v>
      </c>
      <c r="O764" s="24">
        <f t="shared" si="1281"/>
        <v>558.35720821395898</v>
      </c>
      <c r="P764" s="24">
        <f t="shared" si="1282"/>
        <v>0</v>
      </c>
      <c r="Q764" s="24">
        <f t="shared" si="1283"/>
        <v>558.35720821395898</v>
      </c>
      <c r="R764" s="87">
        <v>62</v>
      </c>
      <c r="T764" s="235" t="str">
        <f t="shared" si="1194"/>
        <v xml:space="preserve"> </v>
      </c>
    </row>
    <row r="765" spans="1:21" x14ac:dyDescent="0.25">
      <c r="A765" s="157"/>
      <c r="B765" s="6">
        <v>3</v>
      </c>
      <c r="C765" s="9" t="s">
        <v>89</v>
      </c>
      <c r="D765" s="6" t="s">
        <v>26</v>
      </c>
      <c r="E765" s="17" t="str">
        <f>VLOOKUP(C765,Resources!B:G,3,FALSE)</f>
        <v>P</v>
      </c>
      <c r="F765" s="12">
        <v>1</v>
      </c>
      <c r="G765" s="12">
        <f>G764</f>
        <v>66.667000000000002</v>
      </c>
      <c r="H765" s="12">
        <f>H763</f>
        <v>232.65</v>
      </c>
      <c r="I765" s="12">
        <f>VLOOKUP(C765,Resources!B:G,6,FALSE)</f>
        <v>55</v>
      </c>
      <c r="J765" s="21">
        <f t="shared" si="1276"/>
        <v>191.9352903235484</v>
      </c>
      <c r="K765" s="21">
        <f t="shared" si="1277"/>
        <v>3.4897325513372435</v>
      </c>
      <c r="L765" s="24">
        <f t="shared" si="1278"/>
        <v>3.4897325513372435</v>
      </c>
      <c r="M765" s="24">
        <f t="shared" si="1279"/>
        <v>0</v>
      </c>
      <c r="N765" s="24">
        <f t="shared" si="1280"/>
        <v>0</v>
      </c>
      <c r="O765" s="24">
        <f t="shared" si="1281"/>
        <v>191.9352903235484</v>
      </c>
      <c r="P765" s="24">
        <f t="shared" si="1282"/>
        <v>0</v>
      </c>
      <c r="Q765" s="24">
        <f t="shared" si="1283"/>
        <v>191.9352903235484</v>
      </c>
      <c r="R765" s="87">
        <v>62</v>
      </c>
      <c r="T765" s="235" t="str">
        <f t="shared" si="1194"/>
        <v xml:space="preserve"> </v>
      </c>
    </row>
    <row r="766" spans="1:21" x14ac:dyDescent="0.25">
      <c r="A766" s="157"/>
      <c r="B766" s="6">
        <v>4</v>
      </c>
      <c r="C766" s="9" t="s">
        <v>28</v>
      </c>
      <c r="D766" s="6" t="s">
        <v>26</v>
      </c>
      <c r="E766" s="17" t="str">
        <f>VLOOKUP(C766,Resources!B:G,3,FALSE)</f>
        <v>P</v>
      </c>
      <c r="F766" s="12">
        <v>1</v>
      </c>
      <c r="G766" s="12">
        <f>G764</f>
        <v>66.667000000000002</v>
      </c>
      <c r="H766" s="12">
        <f>H763</f>
        <v>232.65</v>
      </c>
      <c r="I766" s="12">
        <f>VLOOKUP(C766,Resources!B:G,6,FALSE)</f>
        <v>95</v>
      </c>
      <c r="J766" s="21">
        <f t="shared" si="1276"/>
        <v>331.52459237703812</v>
      </c>
      <c r="K766" s="21">
        <f t="shared" si="1277"/>
        <v>3.4897325513372435</v>
      </c>
      <c r="L766" s="24">
        <f t="shared" si="1278"/>
        <v>3.4897325513372435</v>
      </c>
      <c r="M766" s="24">
        <f t="shared" si="1279"/>
        <v>0</v>
      </c>
      <c r="N766" s="24">
        <f t="shared" si="1280"/>
        <v>0</v>
      </c>
      <c r="O766" s="24">
        <f t="shared" si="1281"/>
        <v>331.52459237703812</v>
      </c>
      <c r="P766" s="24">
        <f t="shared" si="1282"/>
        <v>0</v>
      </c>
      <c r="Q766" s="24">
        <f t="shared" si="1283"/>
        <v>331.52459237703812</v>
      </c>
      <c r="R766" s="87">
        <v>62</v>
      </c>
      <c r="T766" s="235" t="str">
        <f t="shared" si="1194"/>
        <v xml:space="preserve"> </v>
      </c>
    </row>
    <row r="767" spans="1:21" x14ac:dyDescent="0.25">
      <c r="A767" s="157"/>
      <c r="B767" s="6">
        <v>5</v>
      </c>
      <c r="C767" s="9" t="s">
        <v>8</v>
      </c>
      <c r="D767" s="6" t="s">
        <v>26</v>
      </c>
      <c r="E767" s="17" t="str">
        <f>VLOOKUP(C767,Resources!B:G,3,FALSE)</f>
        <v>L</v>
      </c>
      <c r="F767" s="12">
        <v>3</v>
      </c>
      <c r="G767" s="12">
        <f>G764</f>
        <v>66.667000000000002</v>
      </c>
      <c r="H767" s="12">
        <f>H763</f>
        <v>232.65</v>
      </c>
      <c r="I767" s="12">
        <f>VLOOKUP(C767,Resources!B:G,6,FALSE)</f>
        <v>51.9</v>
      </c>
      <c r="J767" s="21">
        <f t="shared" si="1276"/>
        <v>543.35135824320878</v>
      </c>
      <c r="K767" s="21">
        <f t="shared" si="1277"/>
        <v>10.46919765401173</v>
      </c>
      <c r="L767" s="24">
        <f t="shared" si="1278"/>
        <v>3.4897325513372435</v>
      </c>
      <c r="M767" s="24">
        <f t="shared" si="1279"/>
        <v>543.35135824320878</v>
      </c>
      <c r="N767" s="24">
        <f t="shared" si="1280"/>
        <v>0</v>
      </c>
      <c r="O767" s="24">
        <f t="shared" si="1281"/>
        <v>0</v>
      </c>
      <c r="P767" s="24">
        <f t="shared" si="1282"/>
        <v>0</v>
      </c>
      <c r="Q767" s="24">
        <f t="shared" si="1283"/>
        <v>543.35135824320878</v>
      </c>
      <c r="R767" s="87">
        <v>62</v>
      </c>
      <c r="T767" s="235" t="str">
        <f t="shared" si="1194"/>
        <v xml:space="preserve"> </v>
      </c>
    </row>
    <row r="768" spans="1:21" s="18" customFormat="1" ht="30" x14ac:dyDescent="0.25">
      <c r="A768" s="157"/>
      <c r="B768" s="6">
        <v>6</v>
      </c>
      <c r="C768" s="9" t="s">
        <v>101</v>
      </c>
      <c r="D768" s="6"/>
      <c r="E768" s="17"/>
      <c r="F768" s="12"/>
      <c r="G768" s="12"/>
      <c r="H768" s="12"/>
      <c r="I768" s="12"/>
      <c r="J768" s="21"/>
      <c r="K768" s="21"/>
      <c r="L768" s="24"/>
      <c r="M768" s="24"/>
      <c r="N768" s="24"/>
      <c r="O768" s="24"/>
      <c r="P768" s="24"/>
      <c r="Q768" s="24"/>
      <c r="R768" s="87"/>
      <c r="T768" s="235" t="str">
        <f t="shared" si="1194"/>
        <v xml:space="preserve"> </v>
      </c>
      <c r="U768" s="232"/>
    </row>
    <row r="769" spans="1:21" x14ac:dyDescent="0.25">
      <c r="A769" s="157"/>
      <c r="B769" s="6">
        <v>7</v>
      </c>
      <c r="C769" s="9" t="s">
        <v>70</v>
      </c>
      <c r="D769" s="6" t="s">
        <v>26</v>
      </c>
      <c r="E769" s="17" t="str">
        <f>VLOOKUP(C769,Resources!B:G,3,FALSE)</f>
        <v>P</v>
      </c>
      <c r="F769" s="12">
        <v>1</v>
      </c>
      <c r="G769" s="12">
        <f>G764</f>
        <v>66.667000000000002</v>
      </c>
      <c r="H769" s="12">
        <f>H763</f>
        <v>232.65</v>
      </c>
      <c r="I769" s="12">
        <f>VLOOKUP(C769,Resources!B:G,6,FALSE)</f>
        <v>135</v>
      </c>
      <c r="J769" s="21">
        <f t="shared" ref="J769:J770" si="1284">(H769/G769)*I769*F769</f>
        <v>471.11389443052786</v>
      </c>
      <c r="K769" s="21">
        <f t="shared" ref="K769:K770" si="1285">IF(E769="M"," ",L769*F769)</f>
        <v>3.4897325513372435</v>
      </c>
      <c r="L769" s="24">
        <f t="shared" ref="L769:L770" si="1286">IF(E769="M"," ",H769/G769)</f>
        <v>3.4897325513372435</v>
      </c>
      <c r="M769" s="24">
        <f t="shared" ref="M769:M770" si="1287">IF($E769="L",$J769,0)</f>
        <v>0</v>
      </c>
      <c r="N769" s="24">
        <f t="shared" ref="N769:N770" si="1288">IF($E769="M",$J769,0)</f>
        <v>0</v>
      </c>
      <c r="O769" s="24">
        <f t="shared" ref="O769:O770" si="1289">IF($E769="P",$J769,0)</f>
        <v>471.11389443052786</v>
      </c>
      <c r="P769" s="24">
        <f t="shared" ref="P769:P770" si="1290">IF($E769="S",$J769,0)</f>
        <v>0</v>
      </c>
      <c r="Q769" s="24">
        <f t="shared" ref="Q769:Q770" si="1291">SUM(M769:P769)</f>
        <v>471.11389443052786</v>
      </c>
      <c r="R769" s="87">
        <v>62</v>
      </c>
      <c r="T769" s="235" t="str">
        <f t="shared" si="1194"/>
        <v xml:space="preserve"> </v>
      </c>
    </row>
    <row r="770" spans="1:21" x14ac:dyDescent="0.25">
      <c r="A770" s="157"/>
      <c r="B770" s="6">
        <v>8</v>
      </c>
      <c r="C770" s="9" t="s">
        <v>27</v>
      </c>
      <c r="D770" s="6" t="s">
        <v>26</v>
      </c>
      <c r="E770" s="17" t="str">
        <f>VLOOKUP(C770,Resources!B:G,3,FALSE)</f>
        <v>P</v>
      </c>
      <c r="F770" s="12">
        <v>2</v>
      </c>
      <c r="G770" s="12">
        <f>G764</f>
        <v>66.667000000000002</v>
      </c>
      <c r="H770" s="12">
        <f>H763</f>
        <v>232.65</v>
      </c>
      <c r="I770" s="12">
        <f>VLOOKUP(C770,Resources!B:G,6,FALSE)</f>
        <v>90</v>
      </c>
      <c r="J770" s="21">
        <f t="shared" si="1284"/>
        <v>628.15185924070386</v>
      </c>
      <c r="K770" s="21">
        <f t="shared" si="1285"/>
        <v>6.9794651026744869</v>
      </c>
      <c r="L770" s="24">
        <f t="shared" si="1286"/>
        <v>3.4897325513372435</v>
      </c>
      <c r="M770" s="24">
        <f t="shared" si="1287"/>
        <v>0</v>
      </c>
      <c r="N770" s="24">
        <f t="shared" si="1288"/>
        <v>0</v>
      </c>
      <c r="O770" s="24">
        <f t="shared" si="1289"/>
        <v>628.15185924070386</v>
      </c>
      <c r="P770" s="24">
        <f t="shared" si="1290"/>
        <v>0</v>
      </c>
      <c r="Q770" s="24">
        <f t="shared" si="1291"/>
        <v>628.15185924070386</v>
      </c>
      <c r="R770" s="87">
        <v>62</v>
      </c>
      <c r="T770" s="235" t="str">
        <f t="shared" si="1194"/>
        <v xml:space="preserve"> </v>
      </c>
    </row>
    <row r="771" spans="1:21" x14ac:dyDescent="0.25">
      <c r="F771" s="11"/>
      <c r="G771" s="11"/>
      <c r="H771" s="11"/>
      <c r="I771" s="11"/>
      <c r="J771" s="11"/>
      <c r="K771" s="11"/>
      <c r="R771" s="88"/>
      <c r="T771" s="235" t="str">
        <f t="shared" si="1194"/>
        <v xml:space="preserve"> </v>
      </c>
    </row>
    <row r="772" spans="1:21" ht="60" x14ac:dyDescent="0.25">
      <c r="A772" s="156">
        <v>93</v>
      </c>
      <c r="B772" s="3" t="s">
        <v>306</v>
      </c>
      <c r="C772" s="3" t="s">
        <v>594</v>
      </c>
      <c r="D772" s="4" t="s">
        <v>74</v>
      </c>
      <c r="E772" s="15"/>
      <c r="F772" s="10"/>
      <c r="G772" s="10"/>
      <c r="H772" s="26">
        <f>VLOOKUP($A772,'Model Inputs'!$A:$C,3,FALSE)</f>
        <v>83</v>
      </c>
      <c r="I772" s="10"/>
      <c r="J772" s="10">
        <f>SUBTOTAL(9,J773:J777,J779:J780)</f>
        <v>8447.7016043919793</v>
      </c>
      <c r="K772" s="10"/>
      <c r="L772" s="10">
        <f>ROUNDUP(MAX(L773:L777,L779:L780)/Workhrs,0)</f>
        <v>1</v>
      </c>
      <c r="M772" s="10">
        <f>SUBTOTAL(9,M773:M777,M779:M780)</f>
        <v>455.53699731501337</v>
      </c>
      <c r="N772" s="10">
        <f t="shared" ref="N772" si="1292">SUBTOTAL(9,N773:N777,N779:N780)</f>
        <v>6163.5800000000008</v>
      </c>
      <c r="O772" s="10">
        <f t="shared" ref="O772" si="1293">SUBTOTAL(9,O773:O777,O779:O780)</f>
        <v>1828.5846070769646</v>
      </c>
      <c r="P772" s="10">
        <f t="shared" ref="P772" si="1294">SUBTOTAL(9,P773:P777,P779:P780)</f>
        <v>0</v>
      </c>
      <c r="Q772" s="10">
        <f t="shared" ref="Q772" si="1295">SUBTOTAL(9,Q773:Q777,Q779:Q780)</f>
        <v>8447.7016043919793</v>
      </c>
      <c r="R772" s="86"/>
      <c r="T772" s="235" t="str">
        <f t="shared" si="1194"/>
        <v xml:space="preserve"> </v>
      </c>
    </row>
    <row r="773" spans="1:21" x14ac:dyDescent="0.25">
      <c r="A773" s="157"/>
      <c r="B773" s="6">
        <v>1</v>
      </c>
      <c r="C773" s="9" t="s">
        <v>480</v>
      </c>
      <c r="D773" s="6" t="s">
        <v>100</v>
      </c>
      <c r="E773" s="17" t="str">
        <f>VLOOKUP(C773,Resources!B:G,3,FALSE)</f>
        <v>M</v>
      </c>
      <c r="F773" s="12">
        <v>1</v>
      </c>
      <c r="G773" s="12">
        <v>1</v>
      </c>
      <c r="H773" s="12">
        <f>H772*2.35</f>
        <v>195.05</v>
      </c>
      <c r="I773" s="12">
        <f>VLOOKUP(C773,Resources!B:G,6,FALSE)</f>
        <v>31.6</v>
      </c>
      <c r="J773" s="21">
        <f t="shared" ref="J773:J777" si="1296">(H773/G773)*I773*F773</f>
        <v>6163.5800000000008</v>
      </c>
      <c r="K773" s="21" t="str">
        <f t="shared" ref="K773:K777" si="1297">IF(E773="M"," ",L773*F773)</f>
        <v xml:space="preserve"> </v>
      </c>
      <c r="L773" s="24" t="str">
        <f t="shared" ref="L773:L777" si="1298">IF(E773="M"," ",H773/G773)</f>
        <v xml:space="preserve"> </v>
      </c>
      <c r="M773" s="24">
        <f t="shared" ref="M773:M777" si="1299">IF($E773="L",$J773,0)</f>
        <v>0</v>
      </c>
      <c r="N773" s="24">
        <f t="shared" ref="N773:N777" si="1300">IF($E773="M",$J773,0)</f>
        <v>6163.5800000000008</v>
      </c>
      <c r="O773" s="24">
        <f t="shared" ref="O773:O777" si="1301">IF($E773="P",$J773,0)</f>
        <v>0</v>
      </c>
      <c r="P773" s="24">
        <f t="shared" ref="P773:P777" si="1302">IF($E773="S",$J773,0)</f>
        <v>0</v>
      </c>
      <c r="Q773" s="24">
        <f t="shared" ref="Q773:Q777" si="1303">SUM(M773:P773)</f>
        <v>6163.5800000000008</v>
      </c>
      <c r="R773" s="87" t="s">
        <v>539</v>
      </c>
      <c r="T773" s="235" t="str">
        <f t="shared" si="1194"/>
        <v xml:space="preserve"> </v>
      </c>
    </row>
    <row r="774" spans="1:21" x14ac:dyDescent="0.25">
      <c r="A774" s="157">
        <v>93.1</v>
      </c>
      <c r="B774" s="6">
        <v>2</v>
      </c>
      <c r="C774" s="9" t="s">
        <v>78</v>
      </c>
      <c r="D774" s="6" t="s">
        <v>26</v>
      </c>
      <c r="E774" s="17" t="str">
        <f>VLOOKUP(C774,Resources!B:G,3,FALSE)</f>
        <v>P</v>
      </c>
      <c r="F774" s="12">
        <v>1</v>
      </c>
      <c r="G774" s="26">
        <f>VLOOKUP($A774,'Model Inputs'!$A:$C,3,FALSE)</f>
        <v>66.667000000000002</v>
      </c>
      <c r="H774" s="12">
        <f>H773</f>
        <v>195.05</v>
      </c>
      <c r="I774" s="12">
        <f>VLOOKUP(C774,Resources!B:G,6,FALSE)</f>
        <v>160</v>
      </c>
      <c r="J774" s="21">
        <f t="shared" si="1296"/>
        <v>468.1176594117029</v>
      </c>
      <c r="K774" s="21">
        <f t="shared" si="1297"/>
        <v>2.9257353713231433</v>
      </c>
      <c r="L774" s="24">
        <f t="shared" si="1298"/>
        <v>2.9257353713231433</v>
      </c>
      <c r="M774" s="24">
        <f t="shared" si="1299"/>
        <v>0</v>
      </c>
      <c r="N774" s="24">
        <f t="shared" si="1300"/>
        <v>0</v>
      </c>
      <c r="O774" s="24">
        <f t="shared" si="1301"/>
        <v>468.1176594117029</v>
      </c>
      <c r="P774" s="24">
        <f t="shared" si="1302"/>
        <v>0</v>
      </c>
      <c r="Q774" s="24">
        <f t="shared" si="1303"/>
        <v>468.1176594117029</v>
      </c>
      <c r="R774" s="87">
        <v>62</v>
      </c>
      <c r="T774" s="235" t="str">
        <f t="shared" si="1194"/>
        <v xml:space="preserve"> </v>
      </c>
    </row>
    <row r="775" spans="1:21" x14ac:dyDescent="0.25">
      <c r="A775" s="157"/>
      <c r="B775" s="6">
        <v>3</v>
      </c>
      <c r="C775" s="9" t="s">
        <v>89</v>
      </c>
      <c r="D775" s="6" t="s">
        <v>26</v>
      </c>
      <c r="E775" s="17" t="str">
        <f>VLOOKUP(C775,Resources!B:G,3,FALSE)</f>
        <v>P</v>
      </c>
      <c r="F775" s="12">
        <v>1</v>
      </c>
      <c r="G775" s="12">
        <f>G774</f>
        <v>66.667000000000002</v>
      </c>
      <c r="H775" s="12">
        <f>H773</f>
        <v>195.05</v>
      </c>
      <c r="I775" s="12">
        <f>VLOOKUP(C775,Resources!B:G,6,FALSE)</f>
        <v>55</v>
      </c>
      <c r="J775" s="21">
        <f t="shared" si="1296"/>
        <v>160.91544542277288</v>
      </c>
      <c r="K775" s="21">
        <f t="shared" si="1297"/>
        <v>2.9257353713231433</v>
      </c>
      <c r="L775" s="24">
        <f t="shared" si="1298"/>
        <v>2.9257353713231433</v>
      </c>
      <c r="M775" s="24">
        <f t="shared" si="1299"/>
        <v>0</v>
      </c>
      <c r="N775" s="24">
        <f t="shared" si="1300"/>
        <v>0</v>
      </c>
      <c r="O775" s="24">
        <f t="shared" si="1301"/>
        <v>160.91544542277288</v>
      </c>
      <c r="P775" s="24">
        <f t="shared" si="1302"/>
        <v>0</v>
      </c>
      <c r="Q775" s="24">
        <f t="shared" si="1303"/>
        <v>160.91544542277288</v>
      </c>
      <c r="R775" s="87">
        <v>62</v>
      </c>
      <c r="T775" s="235" t="str">
        <f t="shared" si="1194"/>
        <v xml:space="preserve"> </v>
      </c>
    </row>
    <row r="776" spans="1:21" x14ac:dyDescent="0.25">
      <c r="A776" s="157"/>
      <c r="B776" s="6">
        <v>4</v>
      </c>
      <c r="C776" s="9" t="s">
        <v>28</v>
      </c>
      <c r="D776" s="6" t="s">
        <v>26</v>
      </c>
      <c r="E776" s="17" t="str">
        <f>VLOOKUP(C776,Resources!B:G,3,FALSE)</f>
        <v>P</v>
      </c>
      <c r="F776" s="12">
        <v>1</v>
      </c>
      <c r="G776" s="12">
        <f>G774</f>
        <v>66.667000000000002</v>
      </c>
      <c r="H776" s="12">
        <f>H773</f>
        <v>195.05</v>
      </c>
      <c r="I776" s="12">
        <f>VLOOKUP(C776,Resources!B:G,6,FALSE)</f>
        <v>95</v>
      </c>
      <c r="J776" s="21">
        <f t="shared" si="1296"/>
        <v>277.9448602756986</v>
      </c>
      <c r="K776" s="21">
        <f t="shared" si="1297"/>
        <v>2.9257353713231433</v>
      </c>
      <c r="L776" s="24">
        <f t="shared" si="1298"/>
        <v>2.9257353713231433</v>
      </c>
      <c r="M776" s="24">
        <f t="shared" si="1299"/>
        <v>0</v>
      </c>
      <c r="N776" s="24">
        <f t="shared" si="1300"/>
        <v>0</v>
      </c>
      <c r="O776" s="24">
        <f t="shared" si="1301"/>
        <v>277.9448602756986</v>
      </c>
      <c r="P776" s="24">
        <f t="shared" si="1302"/>
        <v>0</v>
      </c>
      <c r="Q776" s="24">
        <f t="shared" si="1303"/>
        <v>277.9448602756986</v>
      </c>
      <c r="R776" s="87">
        <v>62</v>
      </c>
      <c r="T776" s="235" t="str">
        <f t="shared" ref="T776:T839" si="1304">IF(R776=$U$7,"y"," ")</f>
        <v xml:space="preserve"> </v>
      </c>
    </row>
    <row r="777" spans="1:21" x14ac:dyDescent="0.25">
      <c r="A777" s="157"/>
      <c r="B777" s="6">
        <v>5</v>
      </c>
      <c r="C777" s="9" t="s">
        <v>8</v>
      </c>
      <c r="D777" s="6" t="s">
        <v>26</v>
      </c>
      <c r="E777" s="17" t="str">
        <f>VLOOKUP(C777,Resources!B:G,3,FALSE)</f>
        <v>L</v>
      </c>
      <c r="F777" s="12">
        <v>3</v>
      </c>
      <c r="G777" s="12">
        <f>G774</f>
        <v>66.667000000000002</v>
      </c>
      <c r="H777" s="12">
        <f>H773</f>
        <v>195.05</v>
      </c>
      <c r="I777" s="12">
        <f>VLOOKUP(C777,Resources!B:G,6,FALSE)</f>
        <v>51.9</v>
      </c>
      <c r="J777" s="21">
        <f t="shared" si="1296"/>
        <v>455.53699731501337</v>
      </c>
      <c r="K777" s="21">
        <f t="shared" si="1297"/>
        <v>8.7772061139694308</v>
      </c>
      <c r="L777" s="24">
        <f t="shared" si="1298"/>
        <v>2.9257353713231433</v>
      </c>
      <c r="M777" s="24">
        <f t="shared" si="1299"/>
        <v>455.53699731501337</v>
      </c>
      <c r="N777" s="24">
        <f t="shared" si="1300"/>
        <v>0</v>
      </c>
      <c r="O777" s="24">
        <f t="shared" si="1301"/>
        <v>0</v>
      </c>
      <c r="P777" s="24">
        <f t="shared" si="1302"/>
        <v>0</v>
      </c>
      <c r="Q777" s="24">
        <f t="shared" si="1303"/>
        <v>455.53699731501337</v>
      </c>
      <c r="R777" s="87">
        <v>62</v>
      </c>
      <c r="T777" s="235" t="str">
        <f t="shared" si="1304"/>
        <v xml:space="preserve"> </v>
      </c>
    </row>
    <row r="778" spans="1:21" s="18" customFormat="1" ht="30" x14ac:dyDescent="0.25">
      <c r="A778" s="157"/>
      <c r="B778" s="6">
        <v>6</v>
      </c>
      <c r="C778" s="9" t="s">
        <v>101</v>
      </c>
      <c r="D778" s="6"/>
      <c r="E778" s="17"/>
      <c r="F778" s="12"/>
      <c r="G778" s="12"/>
      <c r="H778" s="12"/>
      <c r="I778" s="12"/>
      <c r="J778" s="21"/>
      <c r="K778" s="21"/>
      <c r="L778" s="24"/>
      <c r="M778" s="24"/>
      <c r="N778" s="24"/>
      <c r="O778" s="24"/>
      <c r="P778" s="24"/>
      <c r="Q778" s="24"/>
      <c r="R778" s="87"/>
      <c r="T778" s="235" t="str">
        <f t="shared" si="1304"/>
        <v xml:space="preserve"> </v>
      </c>
      <c r="U778" s="232"/>
    </row>
    <row r="779" spans="1:21" x14ac:dyDescent="0.25">
      <c r="A779" s="157"/>
      <c r="B779" s="6">
        <v>7</v>
      </c>
      <c r="C779" s="9" t="s">
        <v>70</v>
      </c>
      <c r="D779" s="6" t="s">
        <v>26</v>
      </c>
      <c r="E779" s="17" t="str">
        <f>VLOOKUP(C779,Resources!B:G,3,FALSE)</f>
        <v>P</v>
      </c>
      <c r="F779" s="12">
        <v>1</v>
      </c>
      <c r="G779" s="12">
        <f>G774</f>
        <v>66.667000000000002</v>
      </c>
      <c r="H779" s="12">
        <f>H773</f>
        <v>195.05</v>
      </c>
      <c r="I779" s="12">
        <f>VLOOKUP(C779,Resources!B:G,6,FALSE)</f>
        <v>135</v>
      </c>
      <c r="J779" s="21">
        <f t="shared" ref="J779:J780" si="1305">(H779/G779)*I779*F779</f>
        <v>394.97427512862436</v>
      </c>
      <c r="K779" s="21">
        <f t="shared" ref="K779:K780" si="1306">IF(E779="M"," ",L779*F779)</f>
        <v>2.9257353713231433</v>
      </c>
      <c r="L779" s="24">
        <f t="shared" ref="L779:L780" si="1307">IF(E779="M"," ",H779/G779)</f>
        <v>2.9257353713231433</v>
      </c>
      <c r="M779" s="24">
        <f t="shared" ref="M779:M780" si="1308">IF($E779="L",$J779,0)</f>
        <v>0</v>
      </c>
      <c r="N779" s="24">
        <f t="shared" ref="N779:N780" si="1309">IF($E779="M",$J779,0)</f>
        <v>0</v>
      </c>
      <c r="O779" s="24">
        <f t="shared" ref="O779:O780" si="1310">IF($E779="P",$J779,0)</f>
        <v>394.97427512862436</v>
      </c>
      <c r="P779" s="24">
        <f t="shared" ref="P779:P780" si="1311">IF($E779="S",$J779,0)</f>
        <v>0</v>
      </c>
      <c r="Q779" s="24">
        <f t="shared" ref="Q779:Q780" si="1312">SUM(M779:P779)</f>
        <v>394.97427512862436</v>
      </c>
      <c r="R779" s="87">
        <v>62</v>
      </c>
      <c r="T779" s="235" t="str">
        <f t="shared" si="1304"/>
        <v xml:space="preserve"> </v>
      </c>
    </row>
    <row r="780" spans="1:21" x14ac:dyDescent="0.25">
      <c r="A780" s="157"/>
      <c r="B780" s="6">
        <v>8</v>
      </c>
      <c r="C780" s="9" t="s">
        <v>27</v>
      </c>
      <c r="D780" s="6" t="s">
        <v>26</v>
      </c>
      <c r="E780" s="17" t="str">
        <f>VLOOKUP(C780,Resources!B:G,3,FALSE)</f>
        <v>P</v>
      </c>
      <c r="F780" s="12">
        <v>2</v>
      </c>
      <c r="G780" s="12">
        <f>G774</f>
        <v>66.667000000000002</v>
      </c>
      <c r="H780" s="12">
        <f>H773</f>
        <v>195.05</v>
      </c>
      <c r="I780" s="12">
        <f>VLOOKUP(C780,Resources!B:G,6,FALSE)</f>
        <v>90</v>
      </c>
      <c r="J780" s="21">
        <f t="shared" si="1305"/>
        <v>526.63236683816581</v>
      </c>
      <c r="K780" s="21">
        <f t="shared" si="1306"/>
        <v>5.8514707426462866</v>
      </c>
      <c r="L780" s="24">
        <f t="shared" si="1307"/>
        <v>2.9257353713231433</v>
      </c>
      <c r="M780" s="24">
        <f t="shared" si="1308"/>
        <v>0</v>
      </c>
      <c r="N780" s="24">
        <f t="shared" si="1309"/>
        <v>0</v>
      </c>
      <c r="O780" s="24">
        <f t="shared" si="1310"/>
        <v>526.63236683816581</v>
      </c>
      <c r="P780" s="24">
        <f t="shared" si="1311"/>
        <v>0</v>
      </c>
      <c r="Q780" s="24">
        <f t="shared" si="1312"/>
        <v>526.63236683816581</v>
      </c>
      <c r="R780" s="87">
        <v>62</v>
      </c>
      <c r="T780" s="235" t="str">
        <f t="shared" si="1304"/>
        <v xml:space="preserve"> </v>
      </c>
    </row>
    <row r="781" spans="1:21" x14ac:dyDescent="0.25">
      <c r="F781" s="11"/>
      <c r="G781" s="11"/>
      <c r="H781" s="11"/>
      <c r="I781" s="11"/>
      <c r="J781" s="11"/>
      <c r="K781" s="11"/>
      <c r="R781" s="88"/>
      <c r="T781" s="235" t="str">
        <f t="shared" si="1304"/>
        <v xml:space="preserve"> </v>
      </c>
    </row>
    <row r="782" spans="1:21" ht="30" x14ac:dyDescent="0.25">
      <c r="A782" s="156"/>
      <c r="B782" s="3" t="s">
        <v>307</v>
      </c>
      <c r="C782" s="3" t="s">
        <v>308</v>
      </c>
      <c r="D782" s="4"/>
      <c r="E782" s="15"/>
      <c r="F782" s="10"/>
      <c r="G782" s="10"/>
      <c r="H782" s="10"/>
      <c r="I782" s="10"/>
      <c r="J782" s="10"/>
      <c r="K782" s="10"/>
      <c r="L782" s="23"/>
      <c r="M782" s="23"/>
      <c r="N782" s="23"/>
      <c r="O782" s="23"/>
      <c r="P782" s="23"/>
      <c r="Q782" s="23"/>
      <c r="R782" s="86"/>
      <c r="T782" s="235" t="str">
        <f t="shared" si="1304"/>
        <v xml:space="preserve"> </v>
      </c>
    </row>
    <row r="783" spans="1:21" ht="45" x14ac:dyDescent="0.25">
      <c r="A783" s="156">
        <v>94</v>
      </c>
      <c r="B783" s="3" t="s">
        <v>309</v>
      </c>
      <c r="C783" s="3" t="s">
        <v>595</v>
      </c>
      <c r="D783" s="4" t="s">
        <v>88</v>
      </c>
      <c r="E783" s="15"/>
      <c r="F783" s="10"/>
      <c r="G783" s="10"/>
      <c r="H783" s="26">
        <f>VLOOKUP($A783,'Model Inputs'!$A:$C,3,FALSE)</f>
        <v>30</v>
      </c>
      <c r="I783" s="10"/>
      <c r="J783" s="10">
        <f>SUBTOTAL(9,J784:J785)</f>
        <v>5610.0654544832396</v>
      </c>
      <c r="K783" s="10"/>
      <c r="L783" s="10">
        <f>ROUNDUP(MAX(L784:L785)/Workhrs,0)</f>
        <v>2</v>
      </c>
      <c r="M783" s="10">
        <f>SUBTOTAL(9,M784:M785)</f>
        <v>0</v>
      </c>
      <c r="N783" s="10">
        <f t="shared" ref="N783:Q783" si="1313">SUBTOTAL(9,N784:N785)</f>
        <v>162.00064800259202</v>
      </c>
      <c r="O783" s="10">
        <f t="shared" si="1313"/>
        <v>5448.0648064806473</v>
      </c>
      <c r="P783" s="10">
        <f t="shared" si="1313"/>
        <v>0</v>
      </c>
      <c r="Q783" s="10">
        <f t="shared" si="1313"/>
        <v>5610.0654544832396</v>
      </c>
      <c r="R783" s="86"/>
      <c r="T783" s="235" t="str">
        <f t="shared" si="1304"/>
        <v xml:space="preserve"> </v>
      </c>
    </row>
    <row r="784" spans="1:21" x14ac:dyDescent="0.25">
      <c r="A784" s="157">
        <v>94.1</v>
      </c>
      <c r="B784" s="6">
        <v>1</v>
      </c>
      <c r="C784" s="9" t="s">
        <v>477</v>
      </c>
      <c r="D784" s="6"/>
      <c r="E784" s="17" t="s">
        <v>500</v>
      </c>
      <c r="F784" s="12">
        <v>1</v>
      </c>
      <c r="G784" s="26">
        <f>VLOOKUP($A784,'Model Inputs'!$A:$C,3,FALSE)</f>
        <v>3.3330000000000002</v>
      </c>
      <c r="H784" s="12">
        <f>H783</f>
        <v>30</v>
      </c>
      <c r="I784" s="12">
        <f>VLOOKUP(C784,Resources!B:G,6,FALSE)</f>
        <v>605.28</v>
      </c>
      <c r="J784" s="21">
        <f t="shared" ref="J784:J785" si="1314">(H784/G784)*I784*F784</f>
        <v>5448.0648064806473</v>
      </c>
      <c r="K784" s="21">
        <f t="shared" ref="K784:K785" si="1315">IF(E784="M"," ",L784*F784)</f>
        <v>9.0009000900090008</v>
      </c>
      <c r="L784" s="24">
        <f t="shared" ref="L784:L785" si="1316">IF(E784="M"," ",H784/G784)</f>
        <v>9.0009000900090008</v>
      </c>
      <c r="M784" s="24">
        <f t="shared" ref="M784:M785" si="1317">IF($E784="L",$J784,0)</f>
        <v>0</v>
      </c>
      <c r="N784" s="24">
        <f t="shared" ref="N784:N785" si="1318">IF($E784="M",$J784,0)</f>
        <v>0</v>
      </c>
      <c r="O784" s="24">
        <f t="shared" ref="O784:O785" si="1319">IF($E784="P",$J784,0)</f>
        <v>5448.0648064806473</v>
      </c>
      <c r="P784" s="24">
        <f t="shared" ref="P784:P785" si="1320">IF($E784="S",$J784,0)</f>
        <v>0</v>
      </c>
      <c r="Q784" s="24">
        <f t="shared" ref="Q784:Q785" si="1321">SUM(M784:P784)</f>
        <v>5448.0648064806473</v>
      </c>
      <c r="R784" s="87">
        <v>68</v>
      </c>
      <c r="T784" s="235" t="str">
        <f t="shared" si="1304"/>
        <v xml:space="preserve"> </v>
      </c>
    </row>
    <row r="785" spans="1:20" x14ac:dyDescent="0.25">
      <c r="A785" s="157"/>
      <c r="B785" s="6">
        <v>2</v>
      </c>
      <c r="C785" s="9" t="s">
        <v>481</v>
      </c>
      <c r="D785" s="6" t="s">
        <v>100</v>
      </c>
      <c r="E785" s="17" t="str">
        <f>VLOOKUP(C785,Resources!B:G,3,FALSE)</f>
        <v>M</v>
      </c>
      <c r="F785" s="12">
        <v>1</v>
      </c>
      <c r="G785" s="12">
        <v>1</v>
      </c>
      <c r="H785" s="12">
        <f>H783/83.333</f>
        <v>0.36000144000576001</v>
      </c>
      <c r="I785" s="12">
        <f>VLOOKUP(C785,Resources!B:G,6,FALSE)</f>
        <v>450</v>
      </c>
      <c r="J785" s="21">
        <f t="shared" si="1314"/>
        <v>162.00064800259202</v>
      </c>
      <c r="K785" s="21" t="str">
        <f t="shared" si="1315"/>
        <v xml:space="preserve"> </v>
      </c>
      <c r="L785" s="24" t="str">
        <f t="shared" si="1316"/>
        <v xml:space="preserve"> </v>
      </c>
      <c r="M785" s="24">
        <f t="shared" si="1317"/>
        <v>0</v>
      </c>
      <c r="N785" s="24">
        <f t="shared" si="1318"/>
        <v>162.00064800259202</v>
      </c>
      <c r="O785" s="24">
        <f t="shared" si="1319"/>
        <v>0</v>
      </c>
      <c r="P785" s="24">
        <f t="shared" si="1320"/>
        <v>0</v>
      </c>
      <c r="Q785" s="24">
        <f t="shared" si="1321"/>
        <v>162.00064800259202</v>
      </c>
      <c r="R785" s="87" t="s">
        <v>546</v>
      </c>
      <c r="T785" s="235" t="str">
        <f t="shared" si="1304"/>
        <v xml:space="preserve"> </v>
      </c>
    </row>
    <row r="786" spans="1:20" x14ac:dyDescent="0.25">
      <c r="F786" s="11"/>
      <c r="G786" s="11"/>
      <c r="H786" s="11"/>
      <c r="I786" s="11"/>
      <c r="J786" s="11"/>
      <c r="K786" s="11"/>
      <c r="R786" s="88"/>
      <c r="T786" s="235" t="str">
        <f t="shared" si="1304"/>
        <v xml:space="preserve"> </v>
      </c>
    </row>
    <row r="787" spans="1:20" ht="45" x14ac:dyDescent="0.25">
      <c r="A787" s="156"/>
      <c r="B787" s="3" t="s">
        <v>310</v>
      </c>
      <c r="C787" s="3" t="s">
        <v>311</v>
      </c>
      <c r="D787" s="4"/>
      <c r="E787" s="15"/>
      <c r="F787" s="10"/>
      <c r="G787" s="10"/>
      <c r="H787" s="10"/>
      <c r="I787" s="10"/>
      <c r="J787" s="10"/>
      <c r="K787" s="10"/>
      <c r="L787" s="23"/>
      <c r="M787" s="23"/>
      <c r="N787" s="23"/>
      <c r="O787" s="23"/>
      <c r="P787" s="23"/>
      <c r="Q787" s="23"/>
      <c r="R787" s="86"/>
      <c r="T787" s="235" t="str">
        <f t="shared" si="1304"/>
        <v xml:space="preserve"> </v>
      </c>
    </row>
    <row r="788" spans="1:20" ht="60" x14ac:dyDescent="0.25">
      <c r="A788" s="156">
        <v>95</v>
      </c>
      <c r="B788" s="3" t="s">
        <v>312</v>
      </c>
      <c r="C788" s="3" t="s">
        <v>597</v>
      </c>
      <c r="D788" s="4" t="s">
        <v>88</v>
      </c>
      <c r="E788" s="15"/>
      <c r="F788" s="10"/>
      <c r="G788" s="10"/>
      <c r="H788" s="26">
        <f>VLOOKUP($A788,'Model Inputs'!$A:$C,3,FALSE)</f>
        <v>437</v>
      </c>
      <c r="I788" s="10"/>
      <c r="J788" s="10">
        <f>SUBTOTAL(9,J789)</f>
        <v>2355.4300000000003</v>
      </c>
      <c r="K788" s="10"/>
      <c r="L788" s="10">
        <f>ROUNDUP(L789/10000,0)</f>
        <v>1</v>
      </c>
      <c r="M788" s="10">
        <f>SUBTOTAL(9,M789)</f>
        <v>0</v>
      </c>
      <c r="N788" s="10">
        <f t="shared" ref="N788:Q788" si="1322">SUBTOTAL(9,N789)</f>
        <v>0</v>
      </c>
      <c r="O788" s="10">
        <f t="shared" si="1322"/>
        <v>0</v>
      </c>
      <c r="P788" s="10">
        <f t="shared" si="1322"/>
        <v>2355.4300000000003</v>
      </c>
      <c r="Q788" s="10">
        <f t="shared" si="1322"/>
        <v>2355.4300000000003</v>
      </c>
      <c r="R788" s="86"/>
      <c r="T788" s="235" t="str">
        <f t="shared" si="1304"/>
        <v xml:space="preserve"> </v>
      </c>
    </row>
    <row r="789" spans="1:20" x14ac:dyDescent="0.25">
      <c r="A789" s="157"/>
      <c r="B789" s="6">
        <v>1</v>
      </c>
      <c r="C789" s="9" t="s">
        <v>108</v>
      </c>
      <c r="D789" s="6" t="s">
        <v>109</v>
      </c>
      <c r="E789" s="17" t="str">
        <f>VLOOKUP(C789,Resources!B:G,3,FALSE)</f>
        <v>S</v>
      </c>
      <c r="F789" s="12">
        <v>1</v>
      </c>
      <c r="G789" s="12">
        <v>1</v>
      </c>
      <c r="H789" s="12">
        <f>H788*1.1</f>
        <v>480.70000000000005</v>
      </c>
      <c r="I789" s="12">
        <f>VLOOKUP(C789,Resources!B:G,6,FALSE)</f>
        <v>4.9000000000000004</v>
      </c>
      <c r="J789" s="21">
        <f t="shared" ref="J789" si="1323">(H789/G789)*I789*F789</f>
        <v>2355.4300000000003</v>
      </c>
      <c r="K789" s="21">
        <f t="shared" ref="K789" si="1324">IF(E789="M"," ",L789*F789)</f>
        <v>480.70000000000005</v>
      </c>
      <c r="L789" s="24">
        <f t="shared" ref="L789" si="1325">IF(E789="M"," ",H789/G789)</f>
        <v>480.70000000000005</v>
      </c>
      <c r="M789" s="24">
        <f>IF($E789="L",$J789,0)</f>
        <v>0</v>
      </c>
      <c r="N789" s="24">
        <f>IF($E789="M",$J789,0)</f>
        <v>0</v>
      </c>
      <c r="O789" s="24">
        <f>IF($E789="P",$J789,0)</f>
        <v>0</v>
      </c>
      <c r="P789" s="24">
        <f>IF($E789="S",$J789,0)</f>
        <v>2355.4300000000003</v>
      </c>
      <c r="Q789" s="24">
        <f>SUM(M789:P789)</f>
        <v>2355.4300000000003</v>
      </c>
      <c r="R789" s="87">
        <v>64</v>
      </c>
      <c r="T789" s="235" t="str">
        <f t="shared" si="1304"/>
        <v xml:space="preserve"> </v>
      </c>
    </row>
    <row r="790" spans="1:20" x14ac:dyDescent="0.25">
      <c r="F790" s="11"/>
      <c r="G790" s="11"/>
      <c r="H790" s="11"/>
      <c r="I790" s="11"/>
      <c r="J790" s="11"/>
      <c r="K790" s="11"/>
      <c r="R790" s="88"/>
      <c r="T790" s="235" t="str">
        <f t="shared" si="1304"/>
        <v xml:space="preserve"> </v>
      </c>
    </row>
    <row r="791" spans="1:20" ht="60" x14ac:dyDescent="0.25">
      <c r="A791" s="156">
        <v>96</v>
      </c>
      <c r="B791" s="3" t="s">
        <v>313</v>
      </c>
      <c r="C791" s="3" t="s">
        <v>618</v>
      </c>
      <c r="D791" s="4" t="s">
        <v>88</v>
      </c>
      <c r="E791" s="15"/>
      <c r="F791" s="10"/>
      <c r="G791" s="10"/>
      <c r="H791" s="26">
        <f>VLOOKUP($A791,'Model Inputs'!$A:$C,3,FALSE)</f>
        <v>415</v>
      </c>
      <c r="I791" s="10"/>
      <c r="J791" s="10">
        <f>SUBTOTAL(9,J792)</f>
        <v>2236.8500000000004</v>
      </c>
      <c r="K791" s="10"/>
      <c r="L791" s="10">
        <f>ROUNDUP(L792/10000,0)</f>
        <v>1</v>
      </c>
      <c r="M791" s="10">
        <f>SUBTOTAL(9,M792)</f>
        <v>0</v>
      </c>
      <c r="N791" s="10">
        <f t="shared" ref="N791" si="1326">SUBTOTAL(9,N792)</f>
        <v>0</v>
      </c>
      <c r="O791" s="10">
        <f t="shared" ref="O791" si="1327">SUBTOTAL(9,O792)</f>
        <v>0</v>
      </c>
      <c r="P791" s="10">
        <f t="shared" ref="P791" si="1328">SUBTOTAL(9,P792)</f>
        <v>2236.8500000000004</v>
      </c>
      <c r="Q791" s="10">
        <f t="shared" ref="Q791" si="1329">SUBTOTAL(9,Q792)</f>
        <v>2236.8500000000004</v>
      </c>
      <c r="R791" s="86"/>
      <c r="T791" s="235" t="str">
        <f t="shared" si="1304"/>
        <v xml:space="preserve"> </v>
      </c>
    </row>
    <row r="792" spans="1:20" x14ac:dyDescent="0.25">
      <c r="A792" s="157"/>
      <c r="B792" s="6">
        <v>1</v>
      </c>
      <c r="C792" s="9" t="s">
        <v>108</v>
      </c>
      <c r="D792" s="6" t="s">
        <v>109</v>
      </c>
      <c r="E792" s="17" t="str">
        <f>VLOOKUP(C792,Resources!B:G,3,FALSE)</f>
        <v>S</v>
      </c>
      <c r="F792" s="12">
        <v>1</v>
      </c>
      <c r="G792" s="12">
        <v>1</v>
      </c>
      <c r="H792" s="12">
        <f>H791*1.1</f>
        <v>456.50000000000006</v>
      </c>
      <c r="I792" s="12">
        <f>VLOOKUP(C792,Resources!B:G,6,FALSE)</f>
        <v>4.9000000000000004</v>
      </c>
      <c r="J792" s="21">
        <f t="shared" ref="J792" si="1330">(H792/G792)*I792*F792</f>
        <v>2236.8500000000004</v>
      </c>
      <c r="K792" s="21">
        <f t="shared" ref="K792" si="1331">IF(E792="M"," ",L792*F792)</f>
        <v>456.50000000000006</v>
      </c>
      <c r="L792" s="24">
        <f t="shared" ref="L792" si="1332">IF(E792="M"," ",H792/G792)</f>
        <v>456.50000000000006</v>
      </c>
      <c r="M792" s="24">
        <f>IF($E792="L",$J792,0)</f>
        <v>0</v>
      </c>
      <c r="N792" s="24">
        <f>IF($E792="M",$J792,0)</f>
        <v>0</v>
      </c>
      <c r="O792" s="24">
        <f>IF($E792="P",$J792,0)</f>
        <v>0</v>
      </c>
      <c r="P792" s="24">
        <f>IF($E792="S",$J792,0)</f>
        <v>2236.8500000000004</v>
      </c>
      <c r="Q792" s="24">
        <f>SUM(M792:P792)</f>
        <v>2236.8500000000004</v>
      </c>
      <c r="R792" s="87">
        <v>64</v>
      </c>
      <c r="T792" s="235" t="str">
        <f t="shared" si="1304"/>
        <v xml:space="preserve"> </v>
      </c>
    </row>
    <row r="793" spans="1:20" x14ac:dyDescent="0.25">
      <c r="F793" s="11"/>
      <c r="G793" s="11"/>
      <c r="H793" s="11"/>
      <c r="I793" s="11"/>
      <c r="J793" s="11"/>
      <c r="K793" s="11"/>
      <c r="R793" s="88"/>
      <c r="T793" s="235" t="str">
        <f t="shared" si="1304"/>
        <v xml:space="preserve"> </v>
      </c>
    </row>
    <row r="794" spans="1:20" ht="30" x14ac:dyDescent="0.25">
      <c r="A794" s="156"/>
      <c r="B794" s="3" t="s">
        <v>314</v>
      </c>
      <c r="C794" s="3" t="s">
        <v>315</v>
      </c>
      <c r="D794" s="4"/>
      <c r="E794" s="15"/>
      <c r="F794" s="10"/>
      <c r="G794" s="10"/>
      <c r="H794" s="10"/>
      <c r="I794" s="10"/>
      <c r="J794" s="10"/>
      <c r="K794" s="10"/>
      <c r="L794" s="23"/>
      <c r="M794" s="23"/>
      <c r="N794" s="23"/>
      <c r="O794" s="23"/>
      <c r="P794" s="23"/>
      <c r="Q794" s="23"/>
      <c r="R794" s="86"/>
      <c r="T794" s="235" t="str">
        <f t="shared" si="1304"/>
        <v xml:space="preserve"> </v>
      </c>
    </row>
    <row r="795" spans="1:20" ht="60" x14ac:dyDescent="0.25">
      <c r="A795" s="156">
        <v>97</v>
      </c>
      <c r="B795" s="3" t="s">
        <v>316</v>
      </c>
      <c r="C795" s="3" t="s">
        <v>596</v>
      </c>
      <c r="D795" s="4" t="s">
        <v>88</v>
      </c>
      <c r="E795" s="15"/>
      <c r="F795" s="10"/>
      <c r="G795" s="10"/>
      <c r="H795" s="26">
        <f>VLOOKUP($A795,'Model Inputs'!$A:$C,3,FALSE)</f>
        <v>2776</v>
      </c>
      <c r="I795" s="10"/>
      <c r="J795" s="10">
        <f>SUBTOTAL(9,J796)</f>
        <v>115460.54660546604</v>
      </c>
      <c r="K795" s="10"/>
      <c r="L795" s="10">
        <f>ROUNDUP(L796/220,0)</f>
        <v>2</v>
      </c>
      <c r="M795" s="10">
        <f>SUBTOTAL(9,M796)</f>
        <v>0</v>
      </c>
      <c r="N795" s="10">
        <f t="shared" ref="N795" si="1333">SUBTOTAL(9,N796)</f>
        <v>0</v>
      </c>
      <c r="O795" s="10">
        <f t="shared" ref="O795" si="1334">SUBTOTAL(9,O796)</f>
        <v>0</v>
      </c>
      <c r="P795" s="10">
        <f t="shared" ref="P795" si="1335">SUBTOTAL(9,P796)</f>
        <v>115460.54660546604</v>
      </c>
      <c r="Q795" s="10">
        <f t="shared" ref="Q795" si="1336">SUBTOTAL(9,Q796)</f>
        <v>115460.54660546604</v>
      </c>
      <c r="R795" s="86"/>
      <c r="T795" s="235" t="str">
        <f t="shared" si="1304"/>
        <v xml:space="preserve"> </v>
      </c>
    </row>
    <row r="796" spans="1:20" x14ac:dyDescent="0.25">
      <c r="A796" s="157"/>
      <c r="B796" s="6">
        <v>1</v>
      </c>
      <c r="C796" s="9" t="s">
        <v>317</v>
      </c>
      <c r="D796" s="6" t="s">
        <v>100</v>
      </c>
      <c r="E796" s="17" t="str">
        <f>VLOOKUP(C796,Resources!B:G,3,FALSE)</f>
        <v>S</v>
      </c>
      <c r="F796" s="12">
        <v>1</v>
      </c>
      <c r="G796" s="12">
        <v>1</v>
      </c>
      <c r="H796" s="12">
        <f>H795/6.6666</f>
        <v>416.4041640416404</v>
      </c>
      <c r="I796" s="12">
        <f>VLOOKUP(C796,Resources!B:G,6,FALSE)</f>
        <v>277.27999999999997</v>
      </c>
      <c r="J796" s="21">
        <f t="shared" ref="J796" si="1337">(H796/G796)*I796*F796</f>
        <v>115460.54660546604</v>
      </c>
      <c r="K796" s="21">
        <f t="shared" ref="K796" si="1338">IF(E796="M"," ",L796*F796)</f>
        <v>416.4041640416404</v>
      </c>
      <c r="L796" s="24">
        <f t="shared" ref="L796" si="1339">IF(E796="M"," ",H796/G796)</f>
        <v>416.4041640416404</v>
      </c>
      <c r="M796" s="24">
        <f>IF($E796="L",$J796,0)</f>
        <v>0</v>
      </c>
      <c r="N796" s="24">
        <f>IF($E796="M",$J796,0)</f>
        <v>0</v>
      </c>
      <c r="O796" s="24">
        <f>IF($E796="P",$J796,0)</f>
        <v>0</v>
      </c>
      <c r="P796" s="24">
        <f>IF($E796="S",$J796,0)</f>
        <v>115460.54660546604</v>
      </c>
      <c r="Q796" s="24">
        <f>SUM(M796:P796)</f>
        <v>115460.54660546604</v>
      </c>
      <c r="R796" s="87">
        <v>65</v>
      </c>
      <c r="T796" s="235" t="str">
        <f t="shared" si="1304"/>
        <v xml:space="preserve"> </v>
      </c>
    </row>
    <row r="797" spans="1:20" x14ac:dyDescent="0.25">
      <c r="F797" s="11"/>
      <c r="G797" s="11"/>
      <c r="H797" s="11"/>
      <c r="I797" s="11"/>
      <c r="J797" s="11"/>
      <c r="K797" s="11"/>
      <c r="R797" s="88"/>
      <c r="T797" s="235" t="str">
        <f t="shared" si="1304"/>
        <v xml:space="preserve"> </v>
      </c>
    </row>
    <row r="798" spans="1:20" ht="30" x14ac:dyDescent="0.25">
      <c r="A798" s="156"/>
      <c r="B798" s="3" t="s">
        <v>318</v>
      </c>
      <c r="C798" s="3" t="s">
        <v>319</v>
      </c>
      <c r="D798" s="4"/>
      <c r="E798" s="15"/>
      <c r="F798" s="10"/>
      <c r="G798" s="10"/>
      <c r="H798" s="10"/>
      <c r="I798" s="10"/>
      <c r="J798" s="10"/>
      <c r="K798" s="10"/>
      <c r="L798" s="23"/>
      <c r="M798" s="23"/>
      <c r="N798" s="23"/>
      <c r="O798" s="23"/>
      <c r="P798" s="23"/>
      <c r="Q798" s="23"/>
      <c r="R798" s="86"/>
      <c r="T798" s="235" t="str">
        <f t="shared" si="1304"/>
        <v xml:space="preserve"> </v>
      </c>
    </row>
    <row r="799" spans="1:20" ht="30" x14ac:dyDescent="0.25">
      <c r="A799" s="156">
        <v>98</v>
      </c>
      <c r="B799" s="3" t="s">
        <v>320</v>
      </c>
      <c r="C799" s="3" t="s">
        <v>598</v>
      </c>
      <c r="D799" s="4" t="s">
        <v>32</v>
      </c>
      <c r="E799" s="15"/>
      <c r="F799" s="10"/>
      <c r="G799" s="10"/>
      <c r="H799" s="26">
        <f>VLOOKUP($A799,'Model Inputs'!$A:$C,3,FALSE)</f>
        <v>67</v>
      </c>
      <c r="I799" s="10"/>
      <c r="J799" s="10">
        <f>SUBTOTAL(9,J800:J803)</f>
        <v>5701.195698924731</v>
      </c>
      <c r="K799" s="10"/>
      <c r="L799" s="10">
        <f>ROUNDUP(L803/100,0)</f>
        <v>1</v>
      </c>
      <c r="M799" s="10">
        <f>SUBTOTAL(9,M800:M803)</f>
        <v>0</v>
      </c>
      <c r="N799" s="10">
        <f t="shared" ref="N799:Q799" si="1340">SUBTOTAL(9,N800:N803)</f>
        <v>2686.195698924731</v>
      </c>
      <c r="O799" s="10">
        <f t="shared" si="1340"/>
        <v>0</v>
      </c>
      <c r="P799" s="10">
        <f t="shared" si="1340"/>
        <v>3015</v>
      </c>
      <c r="Q799" s="10">
        <f t="shared" si="1340"/>
        <v>5701.195698924731</v>
      </c>
      <c r="R799" s="86"/>
      <c r="T799" s="235" t="str">
        <f t="shared" si="1304"/>
        <v xml:space="preserve"> </v>
      </c>
    </row>
    <row r="800" spans="1:20" x14ac:dyDescent="0.25">
      <c r="A800" s="157"/>
      <c r="B800" s="6">
        <v>1</v>
      </c>
      <c r="C800" s="9" t="s">
        <v>321</v>
      </c>
      <c r="D800" s="6" t="s">
        <v>180</v>
      </c>
      <c r="E800" s="17" t="str">
        <f>VLOOKUP(C800,Resources!B:G,3,FALSE)</f>
        <v>M</v>
      </c>
      <c r="F800" s="12">
        <v>1</v>
      </c>
      <c r="G800" s="12">
        <v>1</v>
      </c>
      <c r="H800" s="12">
        <f>H799/9.3</f>
        <v>7.204301075268817</v>
      </c>
      <c r="I800" s="12">
        <f>VLOOKUP(C800,Resources!B:G,6,FALSE)</f>
        <v>309</v>
      </c>
      <c r="J800" s="21">
        <f t="shared" ref="J800:J803" si="1341">(H800/G800)*I800*F800</f>
        <v>2226.1290322580644</v>
      </c>
      <c r="K800" s="21" t="str">
        <f t="shared" ref="K800:K803" si="1342">IF(E800="M"," ",L800*F800)</f>
        <v xml:space="preserve"> </v>
      </c>
      <c r="L800" s="24" t="str">
        <f t="shared" ref="L800:L803" si="1343">IF(E800="M"," ",H800/G800)</f>
        <v xml:space="preserve"> </v>
      </c>
      <c r="M800" s="24">
        <f t="shared" ref="M800:M803" si="1344">IF($E800="L",$J800,0)</f>
        <v>0</v>
      </c>
      <c r="N800" s="24">
        <f t="shared" ref="N800:N803" si="1345">IF($E800="M",$J800,0)</f>
        <v>2226.1290322580644</v>
      </c>
      <c r="O800" s="24">
        <f t="shared" ref="O800:O803" si="1346">IF($E800="P",$J800,0)</f>
        <v>0</v>
      </c>
      <c r="P800" s="24">
        <f t="shared" ref="P800:P803" si="1347">IF($E800="S",$J800,0)</f>
        <v>0</v>
      </c>
      <c r="Q800" s="24">
        <f t="shared" ref="Q800:Q803" si="1348">SUM(M800:P800)</f>
        <v>2226.1290322580644</v>
      </c>
      <c r="R800" s="87" t="s">
        <v>547</v>
      </c>
      <c r="T800" s="235" t="str">
        <f t="shared" si="1304"/>
        <v xml:space="preserve"> </v>
      </c>
    </row>
    <row r="801" spans="1:20" x14ac:dyDescent="0.25">
      <c r="A801" s="157"/>
      <c r="B801" s="6">
        <v>2</v>
      </c>
      <c r="C801" s="9" t="s">
        <v>189</v>
      </c>
      <c r="D801" s="6" t="s">
        <v>100</v>
      </c>
      <c r="E801" s="17" t="str">
        <f>VLOOKUP(C801,Resources!B:G,3,FALSE)</f>
        <v>M</v>
      </c>
      <c r="F801" s="12">
        <v>1</v>
      </c>
      <c r="G801" s="12">
        <v>1</v>
      </c>
      <c r="H801" s="12">
        <f>H799/15</f>
        <v>4.4666666666666668</v>
      </c>
      <c r="I801" s="12">
        <f>VLOOKUP(C801,Resources!B:G,6,FALSE)</f>
        <v>28</v>
      </c>
      <c r="J801" s="21">
        <f t="shared" si="1341"/>
        <v>125.06666666666666</v>
      </c>
      <c r="K801" s="21" t="str">
        <f t="shared" si="1342"/>
        <v xml:space="preserve"> </v>
      </c>
      <c r="L801" s="24" t="str">
        <f t="shared" si="1343"/>
        <v xml:space="preserve"> </v>
      </c>
      <c r="M801" s="24">
        <f t="shared" si="1344"/>
        <v>0</v>
      </c>
      <c r="N801" s="24">
        <f t="shared" si="1345"/>
        <v>125.06666666666666</v>
      </c>
      <c r="O801" s="24">
        <f t="shared" si="1346"/>
        <v>0</v>
      </c>
      <c r="P801" s="24">
        <f t="shared" si="1347"/>
        <v>0</v>
      </c>
      <c r="Q801" s="24">
        <f t="shared" si="1348"/>
        <v>125.06666666666666</v>
      </c>
      <c r="R801" s="87" t="s">
        <v>542</v>
      </c>
      <c r="T801" s="235" t="str">
        <f t="shared" si="1304"/>
        <v>y</v>
      </c>
    </row>
    <row r="802" spans="1:20" x14ac:dyDescent="0.25">
      <c r="A802" s="157"/>
      <c r="B802" s="6">
        <v>3</v>
      </c>
      <c r="C802" s="9" t="s">
        <v>482</v>
      </c>
      <c r="D802" s="6" t="s">
        <v>31</v>
      </c>
      <c r="E802" s="17" t="str">
        <f>VLOOKUP(C802,Resources!B:G,3,FALSE)</f>
        <v>M</v>
      </c>
      <c r="F802" s="12">
        <v>1</v>
      </c>
      <c r="G802" s="12">
        <v>1</v>
      </c>
      <c r="H802" s="12">
        <f>H799/3</f>
        <v>22.333333333333332</v>
      </c>
      <c r="I802" s="12">
        <f>VLOOKUP(C802,Resources!B:G,6,FALSE)</f>
        <v>15</v>
      </c>
      <c r="J802" s="21">
        <f t="shared" si="1341"/>
        <v>335</v>
      </c>
      <c r="K802" s="21" t="str">
        <f t="shared" si="1342"/>
        <v xml:space="preserve"> </v>
      </c>
      <c r="L802" s="24" t="str">
        <f t="shared" si="1343"/>
        <v xml:space="preserve"> </v>
      </c>
      <c r="M802" s="24">
        <f t="shared" si="1344"/>
        <v>0</v>
      </c>
      <c r="N802" s="24">
        <f t="shared" si="1345"/>
        <v>335</v>
      </c>
      <c r="O802" s="24">
        <f t="shared" si="1346"/>
        <v>0</v>
      </c>
      <c r="P802" s="24">
        <f t="shared" si="1347"/>
        <v>0</v>
      </c>
      <c r="Q802" s="24">
        <f t="shared" si="1348"/>
        <v>335</v>
      </c>
      <c r="R802" s="87">
        <v>71</v>
      </c>
      <c r="T802" s="235" t="str">
        <f t="shared" si="1304"/>
        <v xml:space="preserve"> </v>
      </c>
    </row>
    <row r="803" spans="1:20" x14ac:dyDescent="0.25">
      <c r="A803" s="157"/>
      <c r="B803" s="6">
        <v>4</v>
      </c>
      <c r="C803" s="9" t="s">
        <v>322</v>
      </c>
      <c r="D803" s="6" t="s">
        <v>32</v>
      </c>
      <c r="E803" s="17" t="str">
        <f>VLOOKUP(C803,Resources!B:G,3,FALSE)</f>
        <v>S</v>
      </c>
      <c r="F803" s="12">
        <v>1</v>
      </c>
      <c r="G803" s="12">
        <v>1</v>
      </c>
      <c r="H803" s="12">
        <f>H799</f>
        <v>67</v>
      </c>
      <c r="I803" s="12">
        <f>VLOOKUP(C803,Resources!B:G,6,FALSE)</f>
        <v>45</v>
      </c>
      <c r="J803" s="21">
        <f t="shared" si="1341"/>
        <v>3015</v>
      </c>
      <c r="K803" s="21">
        <f t="shared" si="1342"/>
        <v>67</v>
      </c>
      <c r="L803" s="24">
        <f t="shared" si="1343"/>
        <v>67</v>
      </c>
      <c r="M803" s="24">
        <f t="shared" si="1344"/>
        <v>0</v>
      </c>
      <c r="N803" s="24">
        <f t="shared" si="1345"/>
        <v>0</v>
      </c>
      <c r="O803" s="24">
        <f t="shared" si="1346"/>
        <v>0</v>
      </c>
      <c r="P803" s="24">
        <f t="shared" si="1347"/>
        <v>3015</v>
      </c>
      <c r="Q803" s="24">
        <f t="shared" si="1348"/>
        <v>3015</v>
      </c>
      <c r="R803" s="87">
        <v>71</v>
      </c>
      <c r="T803" s="235" t="str">
        <f t="shared" si="1304"/>
        <v xml:space="preserve"> </v>
      </c>
    </row>
    <row r="804" spans="1:20" x14ac:dyDescent="0.25">
      <c r="F804" s="11"/>
      <c r="G804" s="11"/>
      <c r="H804" s="11"/>
      <c r="I804" s="11"/>
      <c r="J804" s="11"/>
      <c r="K804" s="11"/>
      <c r="R804" s="88"/>
      <c r="T804" s="235" t="str">
        <f t="shared" si="1304"/>
        <v xml:space="preserve"> </v>
      </c>
    </row>
    <row r="805" spans="1:20" ht="30" x14ac:dyDescent="0.25">
      <c r="A805" s="156"/>
      <c r="B805" s="3" t="s">
        <v>323</v>
      </c>
      <c r="C805" s="3"/>
      <c r="D805" s="4"/>
      <c r="E805" s="15"/>
      <c r="F805" s="10"/>
      <c r="G805" s="10"/>
      <c r="H805" s="10"/>
      <c r="I805" s="10"/>
      <c r="J805" s="10"/>
      <c r="K805" s="10"/>
      <c r="L805" s="23"/>
      <c r="M805" s="23"/>
      <c r="N805" s="23"/>
      <c r="O805" s="23"/>
      <c r="P805" s="23"/>
      <c r="Q805" s="23"/>
      <c r="R805" s="86"/>
      <c r="T805" s="235" t="str">
        <f t="shared" si="1304"/>
        <v xml:space="preserve"> </v>
      </c>
    </row>
    <row r="806" spans="1:20" ht="30" x14ac:dyDescent="0.25">
      <c r="A806" s="156"/>
      <c r="B806" s="3" t="s">
        <v>324</v>
      </c>
      <c r="C806" s="3" t="s">
        <v>325</v>
      </c>
      <c r="D806" s="4"/>
      <c r="E806" s="15"/>
      <c r="F806" s="10"/>
      <c r="G806" s="10"/>
      <c r="H806" s="10"/>
      <c r="I806" s="10"/>
      <c r="J806" s="10"/>
      <c r="K806" s="10"/>
      <c r="L806" s="23"/>
      <c r="M806" s="23"/>
      <c r="N806" s="23"/>
      <c r="O806" s="23"/>
      <c r="P806" s="23"/>
      <c r="Q806" s="23"/>
      <c r="R806" s="86"/>
      <c r="T806" s="235" t="str">
        <f t="shared" si="1304"/>
        <v xml:space="preserve"> </v>
      </c>
    </row>
    <row r="807" spans="1:20" ht="60" x14ac:dyDescent="0.25">
      <c r="A807" s="156">
        <v>99</v>
      </c>
      <c r="B807" s="3" t="s">
        <v>326</v>
      </c>
      <c r="C807" s="3" t="s">
        <v>599</v>
      </c>
      <c r="D807" s="4" t="s">
        <v>32</v>
      </c>
      <c r="E807" s="15"/>
      <c r="F807" s="10"/>
      <c r="G807" s="10"/>
      <c r="H807" s="26">
        <f>VLOOKUP($A807,'Model Inputs'!$A:$C,3,FALSE)</f>
        <v>79</v>
      </c>
      <c r="I807" s="10"/>
      <c r="J807" s="10">
        <f>SUBTOTAL(9,J808:J814)</f>
        <v>2078.1624999999999</v>
      </c>
      <c r="K807" s="10"/>
      <c r="L807" s="10">
        <f>ROUNDUP(MAX(L808:L814),0)</f>
        <v>1</v>
      </c>
      <c r="M807" s="10">
        <f>SUBTOTAL(9,M808:M814)</f>
        <v>155.69999999999999</v>
      </c>
      <c r="N807" s="10">
        <f t="shared" ref="N807:Q807" si="1349">SUBTOTAL(9,N808:N814)</f>
        <v>1740.9625000000001</v>
      </c>
      <c r="O807" s="10">
        <f t="shared" si="1349"/>
        <v>181.5</v>
      </c>
      <c r="P807" s="10">
        <f t="shared" si="1349"/>
        <v>0</v>
      </c>
      <c r="Q807" s="10">
        <f t="shared" si="1349"/>
        <v>2078.1624999999999</v>
      </c>
      <c r="R807" s="86"/>
      <c r="T807" s="235" t="str">
        <f t="shared" si="1304"/>
        <v xml:space="preserve"> </v>
      </c>
    </row>
    <row r="808" spans="1:20" x14ac:dyDescent="0.25">
      <c r="A808" s="157"/>
      <c r="B808" s="6">
        <v>1</v>
      </c>
      <c r="C808" s="9" t="s">
        <v>327</v>
      </c>
      <c r="D808" s="6" t="s">
        <v>32</v>
      </c>
      <c r="E808" s="17" t="str">
        <f>VLOOKUP(C808,Resources!B:G,3,FALSE)</f>
        <v>M</v>
      </c>
      <c r="F808" s="12">
        <v>1</v>
      </c>
      <c r="G808" s="12">
        <v>1</v>
      </c>
      <c r="H808" s="12">
        <f>H807</f>
        <v>79</v>
      </c>
      <c r="I808" s="12">
        <f>VLOOKUP(C808,Resources!B:G,6,FALSE)</f>
        <v>8</v>
      </c>
      <c r="J808" s="21">
        <f t="shared" ref="J808:J814" si="1350">(H808/G808)*I808*F808</f>
        <v>632</v>
      </c>
      <c r="K808" s="21" t="str">
        <f t="shared" ref="K808:K814" si="1351">IF(E808="M"," ",L808*F808)</f>
        <v xml:space="preserve"> </v>
      </c>
      <c r="L808" s="24" t="str">
        <f t="shared" ref="L808:L814" si="1352">IF(E808="M"," ",H808/G808)</f>
        <v xml:space="preserve"> </v>
      </c>
      <c r="M808" s="24">
        <f t="shared" ref="M808:M814" si="1353">IF($E808="L",$J808,0)</f>
        <v>0</v>
      </c>
      <c r="N808" s="24">
        <f t="shared" ref="N808:N814" si="1354">IF($E808="M",$J808,0)</f>
        <v>632</v>
      </c>
      <c r="O808" s="24">
        <f t="shared" ref="O808:O814" si="1355">IF($E808="P",$J808,0)</f>
        <v>0</v>
      </c>
      <c r="P808" s="24">
        <f t="shared" ref="P808:P814" si="1356">IF($E808="S",$J808,0)</f>
        <v>0</v>
      </c>
      <c r="Q808" s="24">
        <f t="shared" ref="Q808:Q814" si="1357">SUM(M808:P808)</f>
        <v>632</v>
      </c>
      <c r="R808" s="87" t="s">
        <v>548</v>
      </c>
      <c r="T808" s="235" t="str">
        <f t="shared" si="1304"/>
        <v xml:space="preserve"> </v>
      </c>
    </row>
    <row r="809" spans="1:20" x14ac:dyDescent="0.25">
      <c r="A809" s="157"/>
      <c r="B809" s="6">
        <v>2</v>
      </c>
      <c r="C809" s="9" t="s">
        <v>328</v>
      </c>
      <c r="D809" s="6" t="s">
        <v>32</v>
      </c>
      <c r="E809" s="17" t="str">
        <f>VLOOKUP(C809,Resources!B:G,3,FALSE)</f>
        <v>M</v>
      </c>
      <c r="F809" s="12">
        <v>1</v>
      </c>
      <c r="G809" s="12">
        <v>1</v>
      </c>
      <c r="H809" s="12">
        <f>H807*1.25</f>
        <v>98.75</v>
      </c>
      <c r="I809" s="12">
        <f>VLOOKUP(C809,Resources!B:G,6,FALSE)</f>
        <v>0.11</v>
      </c>
      <c r="J809" s="21">
        <f t="shared" si="1350"/>
        <v>10.862500000000001</v>
      </c>
      <c r="K809" s="21" t="str">
        <f t="shared" si="1351"/>
        <v xml:space="preserve"> </v>
      </c>
      <c r="L809" s="24" t="str">
        <f t="shared" si="1352"/>
        <v xml:space="preserve"> </v>
      </c>
      <c r="M809" s="24">
        <f t="shared" si="1353"/>
        <v>0</v>
      </c>
      <c r="N809" s="24">
        <f t="shared" si="1354"/>
        <v>10.862500000000001</v>
      </c>
      <c r="O809" s="24">
        <f t="shared" si="1355"/>
        <v>0</v>
      </c>
      <c r="P809" s="24">
        <f t="shared" si="1356"/>
        <v>0</v>
      </c>
      <c r="Q809" s="24">
        <f t="shared" si="1357"/>
        <v>10.862500000000001</v>
      </c>
      <c r="R809" s="87" t="s">
        <v>548</v>
      </c>
      <c r="T809" s="235" t="str">
        <f t="shared" si="1304"/>
        <v xml:space="preserve"> </v>
      </c>
    </row>
    <row r="810" spans="1:20" x14ac:dyDescent="0.25">
      <c r="A810" s="157"/>
      <c r="B810" s="6">
        <v>3</v>
      </c>
      <c r="C810" s="9" t="s">
        <v>329</v>
      </c>
      <c r="D810" s="6" t="s">
        <v>32</v>
      </c>
      <c r="E810" s="17" t="str">
        <f>VLOOKUP(C810,Resources!B:G,3,FALSE)</f>
        <v>M</v>
      </c>
      <c r="F810" s="12">
        <v>1</v>
      </c>
      <c r="G810" s="12">
        <v>1</v>
      </c>
      <c r="H810" s="12">
        <f>H807</f>
        <v>79</v>
      </c>
      <c r="I810" s="12">
        <f>VLOOKUP(C810,Resources!B:G,6,FALSE)</f>
        <v>2.7</v>
      </c>
      <c r="J810" s="21">
        <f t="shared" si="1350"/>
        <v>213.3</v>
      </c>
      <c r="K810" s="21" t="str">
        <f t="shared" si="1351"/>
        <v xml:space="preserve"> </v>
      </c>
      <c r="L810" s="24" t="str">
        <f t="shared" si="1352"/>
        <v xml:space="preserve"> </v>
      </c>
      <c r="M810" s="24">
        <f t="shared" si="1353"/>
        <v>0</v>
      </c>
      <c r="N810" s="24">
        <f t="shared" si="1354"/>
        <v>213.3</v>
      </c>
      <c r="O810" s="24">
        <f t="shared" si="1355"/>
        <v>0</v>
      </c>
      <c r="P810" s="24">
        <f t="shared" si="1356"/>
        <v>0</v>
      </c>
      <c r="Q810" s="24">
        <f t="shared" si="1357"/>
        <v>213.3</v>
      </c>
      <c r="R810" s="87" t="s">
        <v>548</v>
      </c>
      <c r="T810" s="235" t="str">
        <f t="shared" si="1304"/>
        <v xml:space="preserve"> </v>
      </c>
    </row>
    <row r="811" spans="1:20" x14ac:dyDescent="0.25">
      <c r="A811" s="157"/>
      <c r="B811" s="6">
        <v>4</v>
      </c>
      <c r="C811" s="9" t="s">
        <v>189</v>
      </c>
      <c r="D811" s="6" t="s">
        <v>100</v>
      </c>
      <c r="E811" s="17" t="str">
        <f>VLOOKUP(C811,Resources!B:G,3,FALSE)</f>
        <v>M</v>
      </c>
      <c r="F811" s="12">
        <v>1</v>
      </c>
      <c r="G811" s="12">
        <v>1</v>
      </c>
      <c r="H811" s="12">
        <f>H807/2.5</f>
        <v>31.6</v>
      </c>
      <c r="I811" s="12">
        <f>VLOOKUP(C811,Resources!B:G,6,FALSE)</f>
        <v>28</v>
      </c>
      <c r="J811" s="21">
        <f t="shared" si="1350"/>
        <v>884.80000000000007</v>
      </c>
      <c r="K811" s="21" t="str">
        <f t="shared" si="1351"/>
        <v xml:space="preserve"> </v>
      </c>
      <c r="L811" s="24" t="str">
        <f t="shared" si="1352"/>
        <v xml:space="preserve"> </v>
      </c>
      <c r="M811" s="24">
        <f t="shared" si="1353"/>
        <v>0</v>
      </c>
      <c r="N811" s="24">
        <f t="shared" si="1354"/>
        <v>884.80000000000007</v>
      </c>
      <c r="O811" s="24">
        <f t="shared" si="1355"/>
        <v>0</v>
      </c>
      <c r="P811" s="24">
        <f t="shared" si="1356"/>
        <v>0</v>
      </c>
      <c r="Q811" s="24">
        <f t="shared" si="1357"/>
        <v>884.80000000000007</v>
      </c>
      <c r="R811" s="87" t="s">
        <v>542</v>
      </c>
      <c r="T811" s="235" t="str">
        <f t="shared" si="1304"/>
        <v>y</v>
      </c>
    </row>
    <row r="812" spans="1:20" x14ac:dyDescent="0.25">
      <c r="A812" s="157">
        <v>99.1</v>
      </c>
      <c r="B812" s="6">
        <v>5</v>
      </c>
      <c r="C812" s="9" t="s">
        <v>70</v>
      </c>
      <c r="D812" s="6" t="s">
        <v>26</v>
      </c>
      <c r="E812" s="17" t="str">
        <f>VLOOKUP(C812,Resources!B:G,3,FALSE)</f>
        <v>P</v>
      </c>
      <c r="F812" s="12">
        <v>1</v>
      </c>
      <c r="G812" s="26">
        <f>VLOOKUP($A812,'Model Inputs'!$A:$C,3,FALSE)</f>
        <v>79</v>
      </c>
      <c r="H812" s="12">
        <f>H807</f>
        <v>79</v>
      </c>
      <c r="I812" s="12">
        <f>VLOOKUP(C812,Resources!B:G,6,FALSE)</f>
        <v>135</v>
      </c>
      <c r="J812" s="21">
        <f t="shared" si="1350"/>
        <v>135</v>
      </c>
      <c r="K812" s="21">
        <f t="shared" si="1351"/>
        <v>1</v>
      </c>
      <c r="L812" s="24">
        <f t="shared" si="1352"/>
        <v>1</v>
      </c>
      <c r="M812" s="24">
        <f t="shared" si="1353"/>
        <v>0</v>
      </c>
      <c r="N812" s="24">
        <f t="shared" si="1354"/>
        <v>0</v>
      </c>
      <c r="O812" s="24">
        <f t="shared" si="1355"/>
        <v>135</v>
      </c>
      <c r="P812" s="24">
        <f t="shared" si="1356"/>
        <v>0</v>
      </c>
      <c r="Q812" s="24">
        <f t="shared" si="1357"/>
        <v>135</v>
      </c>
      <c r="R812" s="87">
        <v>111</v>
      </c>
      <c r="T812" s="235" t="str">
        <f t="shared" si="1304"/>
        <v xml:space="preserve"> </v>
      </c>
    </row>
    <row r="813" spans="1:20" x14ac:dyDescent="0.25">
      <c r="A813" s="157"/>
      <c r="B813" s="6">
        <v>6</v>
      </c>
      <c r="C813" s="9" t="s">
        <v>486</v>
      </c>
      <c r="D813" s="6" t="s">
        <v>26</v>
      </c>
      <c r="E813" s="17" t="str">
        <f>VLOOKUP(C813,Resources!B:G,3,FALSE)</f>
        <v>P</v>
      </c>
      <c r="F813" s="12">
        <v>1</v>
      </c>
      <c r="G813" s="12">
        <f>G812</f>
        <v>79</v>
      </c>
      <c r="H813" s="12">
        <f>H807</f>
        <v>79</v>
      </c>
      <c r="I813" s="12">
        <f>VLOOKUP(C813,Resources!B:G,6,FALSE)</f>
        <v>46.5</v>
      </c>
      <c r="J813" s="21">
        <f t="shared" si="1350"/>
        <v>46.5</v>
      </c>
      <c r="K813" s="21">
        <f t="shared" si="1351"/>
        <v>1</v>
      </c>
      <c r="L813" s="24">
        <f t="shared" si="1352"/>
        <v>1</v>
      </c>
      <c r="M813" s="24">
        <f t="shared" si="1353"/>
        <v>0</v>
      </c>
      <c r="N813" s="24">
        <f t="shared" si="1354"/>
        <v>0</v>
      </c>
      <c r="O813" s="24">
        <f t="shared" si="1355"/>
        <v>46.5</v>
      </c>
      <c r="P813" s="24">
        <f t="shared" si="1356"/>
        <v>0</v>
      </c>
      <c r="Q813" s="24">
        <f t="shared" si="1357"/>
        <v>46.5</v>
      </c>
      <c r="R813" s="87">
        <v>111</v>
      </c>
      <c r="T813" s="235" t="str">
        <f t="shared" si="1304"/>
        <v xml:space="preserve"> </v>
      </c>
    </row>
    <row r="814" spans="1:20" x14ac:dyDescent="0.25">
      <c r="A814" s="157"/>
      <c r="B814" s="6">
        <v>7</v>
      </c>
      <c r="C814" s="9" t="s">
        <v>8</v>
      </c>
      <c r="D814" s="6" t="s">
        <v>26</v>
      </c>
      <c r="E814" s="17" t="str">
        <f>VLOOKUP(C814,Resources!B:G,3,FALSE)</f>
        <v>L</v>
      </c>
      <c r="F814" s="12">
        <v>3</v>
      </c>
      <c r="G814" s="12">
        <f>G812</f>
        <v>79</v>
      </c>
      <c r="H814" s="12">
        <f>H807</f>
        <v>79</v>
      </c>
      <c r="I814" s="12">
        <f>VLOOKUP(C814,Resources!B:G,6,FALSE)</f>
        <v>51.9</v>
      </c>
      <c r="J814" s="21">
        <f t="shared" si="1350"/>
        <v>155.69999999999999</v>
      </c>
      <c r="K814" s="21">
        <f t="shared" si="1351"/>
        <v>3</v>
      </c>
      <c r="L814" s="24">
        <f t="shared" si="1352"/>
        <v>1</v>
      </c>
      <c r="M814" s="24">
        <f t="shared" si="1353"/>
        <v>155.69999999999999</v>
      </c>
      <c r="N814" s="24">
        <f t="shared" si="1354"/>
        <v>0</v>
      </c>
      <c r="O814" s="24">
        <f t="shared" si="1355"/>
        <v>0</v>
      </c>
      <c r="P814" s="24">
        <f t="shared" si="1356"/>
        <v>0</v>
      </c>
      <c r="Q814" s="24">
        <f t="shared" si="1357"/>
        <v>155.69999999999999</v>
      </c>
      <c r="R814" s="87">
        <v>111</v>
      </c>
      <c r="T814" s="235" t="str">
        <f t="shared" si="1304"/>
        <v xml:space="preserve"> </v>
      </c>
    </row>
    <row r="815" spans="1:20" x14ac:dyDescent="0.25">
      <c r="F815" s="11"/>
      <c r="G815" s="11"/>
      <c r="H815" s="11"/>
      <c r="I815" s="11"/>
      <c r="J815" s="11"/>
      <c r="K815" s="11"/>
      <c r="R815" s="88"/>
      <c r="T815" s="235" t="str">
        <f t="shared" si="1304"/>
        <v xml:space="preserve"> </v>
      </c>
    </row>
    <row r="816" spans="1:20" ht="45" x14ac:dyDescent="0.25">
      <c r="A816" s="156">
        <v>100</v>
      </c>
      <c r="B816" s="3" t="s">
        <v>330</v>
      </c>
      <c r="C816" s="3" t="s">
        <v>331</v>
      </c>
      <c r="D816" s="4" t="s">
        <v>32</v>
      </c>
      <c r="E816" s="15"/>
      <c r="F816" s="10"/>
      <c r="G816" s="10"/>
      <c r="H816" s="26">
        <f>VLOOKUP($A816,'Model Inputs'!$A:$C,3,FALSE)</f>
        <v>20</v>
      </c>
      <c r="I816" s="10"/>
      <c r="J816" s="10">
        <f>SUBTOTAL(9,J817:J818)</f>
        <v>3600</v>
      </c>
      <c r="K816" s="10"/>
      <c r="L816" s="10">
        <f>ROUNDUP(MAX(L817:L818)/Workhrs,0)</f>
        <v>3</v>
      </c>
      <c r="M816" s="10">
        <f>SUBTOTAL(9,M817:M818)</f>
        <v>0</v>
      </c>
      <c r="N816" s="10">
        <f t="shared" ref="N816:Q816" si="1358">SUBTOTAL(9,N817:N818)</f>
        <v>0</v>
      </c>
      <c r="O816" s="10">
        <f t="shared" si="1358"/>
        <v>0</v>
      </c>
      <c r="P816" s="10">
        <f t="shared" si="1358"/>
        <v>3600</v>
      </c>
      <c r="Q816" s="10">
        <f t="shared" si="1358"/>
        <v>3600</v>
      </c>
      <c r="R816" s="86"/>
      <c r="T816" s="235" t="str">
        <f t="shared" si="1304"/>
        <v xml:space="preserve"> </v>
      </c>
    </row>
    <row r="817" spans="1:21" x14ac:dyDescent="0.25">
      <c r="A817" s="157"/>
      <c r="B817" s="6">
        <v>1</v>
      </c>
      <c r="C817" s="9" t="s">
        <v>494</v>
      </c>
      <c r="D817" s="6" t="s">
        <v>32</v>
      </c>
      <c r="E817" s="17" t="str">
        <f>VLOOKUP(C817,Resources!B:G,3,FALSE)</f>
        <v>S</v>
      </c>
      <c r="F817" s="12">
        <v>1</v>
      </c>
      <c r="G817" s="12">
        <v>1</v>
      </c>
      <c r="H817" s="12">
        <f>H816</f>
        <v>20</v>
      </c>
      <c r="I817" s="12">
        <f>VLOOKUP(C817,Resources!B:G,6,FALSE)</f>
        <v>130</v>
      </c>
      <c r="J817" s="21">
        <f t="shared" ref="J817:J818" si="1359">(H817/G817)*I817*F817</f>
        <v>2600</v>
      </c>
      <c r="K817" s="21">
        <f t="shared" ref="K817:K818" si="1360">IF(E817="M"," ",L817*F817)</f>
        <v>20</v>
      </c>
      <c r="L817" s="24">
        <f t="shared" ref="L817:L818" si="1361">IF(E817="M"," ",H817/G817)</f>
        <v>20</v>
      </c>
      <c r="M817" s="24">
        <f t="shared" ref="M817:M818" si="1362">IF($E817="L",$J817,0)</f>
        <v>0</v>
      </c>
      <c r="N817" s="24">
        <f t="shared" ref="N817:N818" si="1363">IF($E817="M",$J817,0)</f>
        <v>0</v>
      </c>
      <c r="O817" s="24">
        <f t="shared" ref="O817:O818" si="1364">IF($E817="P",$J817,0)</f>
        <v>0</v>
      </c>
      <c r="P817" s="24">
        <f t="shared" ref="P817:P818" si="1365">IF($E817="S",$J817,0)</f>
        <v>2600</v>
      </c>
      <c r="Q817" s="24">
        <f t="shared" ref="Q817:Q818" si="1366">SUM(M817:P817)</f>
        <v>2600</v>
      </c>
      <c r="R817" s="87">
        <v>111</v>
      </c>
      <c r="T817" s="235" t="str">
        <f t="shared" si="1304"/>
        <v xml:space="preserve"> </v>
      </c>
    </row>
    <row r="818" spans="1:21" x14ac:dyDescent="0.25">
      <c r="A818" s="157"/>
      <c r="B818" s="6">
        <v>2</v>
      </c>
      <c r="C818" s="9" t="s">
        <v>495</v>
      </c>
      <c r="D818" s="6" t="s">
        <v>18</v>
      </c>
      <c r="E818" s="17" t="str">
        <f>VLOOKUP(C818,Resources!B:G,3,FALSE)</f>
        <v>S</v>
      </c>
      <c r="F818" s="12">
        <v>1</v>
      </c>
      <c r="G818" s="12">
        <v>1</v>
      </c>
      <c r="H818" s="12">
        <v>1</v>
      </c>
      <c r="I818" s="12">
        <f>VLOOKUP(C818,Resources!B:G,6,FALSE)</f>
        <v>1000</v>
      </c>
      <c r="J818" s="21">
        <f t="shared" si="1359"/>
        <v>1000</v>
      </c>
      <c r="K818" s="21">
        <f t="shared" si="1360"/>
        <v>1</v>
      </c>
      <c r="L818" s="24">
        <f t="shared" si="1361"/>
        <v>1</v>
      </c>
      <c r="M818" s="24">
        <f t="shared" si="1362"/>
        <v>0</v>
      </c>
      <c r="N818" s="24">
        <f t="shared" si="1363"/>
        <v>0</v>
      </c>
      <c r="O818" s="24">
        <f t="shared" si="1364"/>
        <v>0</v>
      </c>
      <c r="P818" s="24">
        <f t="shared" si="1365"/>
        <v>1000</v>
      </c>
      <c r="Q818" s="24">
        <f t="shared" si="1366"/>
        <v>1000</v>
      </c>
      <c r="R818" s="87">
        <v>111</v>
      </c>
      <c r="T818" s="235" t="str">
        <f t="shared" si="1304"/>
        <v xml:space="preserve"> </v>
      </c>
    </row>
    <row r="819" spans="1:21" x14ac:dyDescent="0.25">
      <c r="F819" s="11"/>
      <c r="G819" s="11"/>
      <c r="H819" s="11"/>
      <c r="I819" s="11"/>
      <c r="J819" s="11"/>
      <c r="K819" s="11"/>
      <c r="R819" s="88"/>
      <c r="T819" s="235" t="str">
        <f t="shared" si="1304"/>
        <v xml:space="preserve"> </v>
      </c>
    </row>
    <row r="820" spans="1:21" ht="30" x14ac:dyDescent="0.25">
      <c r="A820" s="156">
        <v>101</v>
      </c>
      <c r="B820" s="3" t="s">
        <v>332</v>
      </c>
      <c r="C820" s="3" t="s">
        <v>333</v>
      </c>
      <c r="D820" s="4" t="s">
        <v>145</v>
      </c>
      <c r="E820" s="15"/>
      <c r="F820" s="10"/>
      <c r="G820" s="10"/>
      <c r="H820" s="26">
        <f>VLOOKUP($A820,'Model Inputs'!$A:$C,3,FALSE)</f>
        <v>2</v>
      </c>
      <c r="I820" s="10"/>
      <c r="J820" s="10">
        <f>SUBTOTAL(9,J821:J823)</f>
        <v>2452.8000000000002</v>
      </c>
      <c r="K820" s="10"/>
      <c r="L820" s="10">
        <f>ROUNDUP(MAX(L821:L823)/Workhrs,0)</f>
        <v>1</v>
      </c>
      <c r="M820" s="10">
        <f>SUBTOTAL(9,M821:M823)</f>
        <v>622.79999999999995</v>
      </c>
      <c r="N820" s="10">
        <f t="shared" ref="N820:Q820" si="1367">SUBTOTAL(9,N821:N823)</f>
        <v>1560</v>
      </c>
      <c r="O820" s="10">
        <f t="shared" si="1367"/>
        <v>270</v>
      </c>
      <c r="P820" s="10">
        <f t="shared" si="1367"/>
        <v>0</v>
      </c>
      <c r="Q820" s="10">
        <f t="shared" si="1367"/>
        <v>2452.8000000000002</v>
      </c>
      <c r="R820" s="86"/>
      <c r="T820" s="235" t="str">
        <f t="shared" si="1304"/>
        <v xml:space="preserve"> </v>
      </c>
    </row>
    <row r="821" spans="1:21" x14ac:dyDescent="0.25">
      <c r="A821" s="157"/>
      <c r="B821" s="6">
        <v>1</v>
      </c>
      <c r="C821" s="9" t="s">
        <v>485</v>
      </c>
      <c r="D821" s="6" t="s">
        <v>31</v>
      </c>
      <c r="E821" s="17" t="str">
        <f>VLOOKUP(C821,Resources!B:G,3,FALSE)</f>
        <v>M</v>
      </c>
      <c r="F821" s="12">
        <v>1</v>
      </c>
      <c r="G821" s="12">
        <v>1</v>
      </c>
      <c r="H821" s="12">
        <f>H820</f>
        <v>2</v>
      </c>
      <c r="I821" s="12">
        <f>VLOOKUP(C821,Resources!B:G,6,FALSE)</f>
        <v>780</v>
      </c>
      <c r="J821" s="21">
        <f t="shared" ref="J821:J823" si="1368">(H821/G821)*I821*F821</f>
        <v>1560</v>
      </c>
      <c r="K821" s="21" t="str">
        <f t="shared" ref="K821:K823" si="1369">IF(E821="M"," ",L821*F821)</f>
        <v xml:space="preserve"> </v>
      </c>
      <c r="L821" s="24" t="str">
        <f t="shared" ref="L821:L823" si="1370">IF(E821="M"," ",H821/G821)</f>
        <v xml:space="preserve"> </v>
      </c>
      <c r="M821" s="24">
        <f t="shared" ref="M821:M823" si="1371">IF($E821="L",$J821,0)</f>
        <v>0</v>
      </c>
      <c r="N821" s="24">
        <f t="shared" ref="N821:N823" si="1372">IF($E821="M",$J821,0)</f>
        <v>1560</v>
      </c>
      <c r="O821" s="24">
        <f t="shared" ref="O821:O823" si="1373">IF($E821="P",$J821,0)</f>
        <v>0</v>
      </c>
      <c r="P821" s="24">
        <f t="shared" ref="P821:P823" si="1374">IF($E821="S",$J821,0)</f>
        <v>0</v>
      </c>
      <c r="Q821" s="24">
        <f t="shared" ref="Q821:Q823" si="1375">SUM(M821:P821)</f>
        <v>1560</v>
      </c>
      <c r="R821" s="87" t="s">
        <v>549</v>
      </c>
      <c r="T821" s="235" t="str">
        <f t="shared" si="1304"/>
        <v xml:space="preserve"> </v>
      </c>
    </row>
    <row r="822" spans="1:21" x14ac:dyDescent="0.25">
      <c r="A822" s="157">
        <v>101.1</v>
      </c>
      <c r="B822" s="6">
        <v>2</v>
      </c>
      <c r="C822" s="9" t="s">
        <v>70</v>
      </c>
      <c r="D822" s="6" t="s">
        <v>26</v>
      </c>
      <c r="E822" s="17" t="str">
        <f>VLOOKUP(C822,Resources!B:G,3,FALSE)</f>
        <v>P</v>
      </c>
      <c r="F822" s="12">
        <v>1</v>
      </c>
      <c r="G822" s="26">
        <f>VLOOKUP($A822,'Model Inputs'!$A:$C,3,FALSE)</f>
        <v>1</v>
      </c>
      <c r="H822" s="12">
        <f>H820</f>
        <v>2</v>
      </c>
      <c r="I822" s="12">
        <f>VLOOKUP(C822,Resources!B:G,6,FALSE)</f>
        <v>135</v>
      </c>
      <c r="J822" s="21">
        <f t="shared" si="1368"/>
        <v>270</v>
      </c>
      <c r="K822" s="21">
        <f t="shared" si="1369"/>
        <v>2</v>
      </c>
      <c r="L822" s="24">
        <f t="shared" si="1370"/>
        <v>2</v>
      </c>
      <c r="M822" s="24">
        <f t="shared" si="1371"/>
        <v>0</v>
      </c>
      <c r="N822" s="24">
        <f t="shared" si="1372"/>
        <v>0</v>
      </c>
      <c r="O822" s="24">
        <f t="shared" si="1373"/>
        <v>270</v>
      </c>
      <c r="P822" s="24">
        <f t="shared" si="1374"/>
        <v>0</v>
      </c>
      <c r="Q822" s="24">
        <f t="shared" si="1375"/>
        <v>270</v>
      </c>
      <c r="R822" s="87">
        <v>111</v>
      </c>
      <c r="T822" s="235" t="str">
        <f t="shared" si="1304"/>
        <v xml:space="preserve"> </v>
      </c>
    </row>
    <row r="823" spans="1:21" x14ac:dyDescent="0.25">
      <c r="A823" s="157"/>
      <c r="B823" s="6">
        <v>3</v>
      </c>
      <c r="C823" s="9" t="s">
        <v>8</v>
      </c>
      <c r="D823" s="6" t="s">
        <v>26</v>
      </c>
      <c r="E823" s="17" t="str">
        <f>VLOOKUP(C823,Resources!B:G,3,FALSE)</f>
        <v>L</v>
      </c>
      <c r="F823" s="12">
        <v>3</v>
      </c>
      <c r="G823" s="12">
        <f>G822/2</f>
        <v>0.5</v>
      </c>
      <c r="H823" s="12">
        <f>H820</f>
        <v>2</v>
      </c>
      <c r="I823" s="12">
        <f>VLOOKUP(C823,Resources!B:G,6,FALSE)</f>
        <v>51.9</v>
      </c>
      <c r="J823" s="21">
        <f t="shared" si="1368"/>
        <v>622.79999999999995</v>
      </c>
      <c r="K823" s="21">
        <f t="shared" si="1369"/>
        <v>12</v>
      </c>
      <c r="L823" s="24">
        <f t="shared" si="1370"/>
        <v>4</v>
      </c>
      <c r="M823" s="24">
        <f t="shared" si="1371"/>
        <v>622.79999999999995</v>
      </c>
      <c r="N823" s="24">
        <f t="shared" si="1372"/>
        <v>0</v>
      </c>
      <c r="O823" s="24">
        <f t="shared" si="1373"/>
        <v>0</v>
      </c>
      <c r="P823" s="24">
        <f t="shared" si="1374"/>
        <v>0</v>
      </c>
      <c r="Q823" s="24">
        <f t="shared" si="1375"/>
        <v>622.79999999999995</v>
      </c>
      <c r="R823" s="87">
        <v>111</v>
      </c>
      <c r="T823" s="235" t="str">
        <f t="shared" si="1304"/>
        <v xml:space="preserve"> </v>
      </c>
    </row>
    <row r="824" spans="1:21" x14ac:dyDescent="0.25">
      <c r="F824" s="11"/>
      <c r="G824" s="11"/>
      <c r="H824" s="11"/>
      <c r="I824" s="11"/>
      <c r="J824" s="11"/>
      <c r="K824" s="11"/>
      <c r="R824" s="88"/>
      <c r="T824" s="235" t="str">
        <f t="shared" si="1304"/>
        <v xml:space="preserve"> </v>
      </c>
    </row>
    <row r="825" spans="1:21" ht="45" x14ac:dyDescent="0.25">
      <c r="A825" s="156">
        <v>102</v>
      </c>
      <c r="B825" s="3" t="s">
        <v>334</v>
      </c>
      <c r="C825" s="3" t="s">
        <v>335</v>
      </c>
      <c r="D825" s="4" t="s">
        <v>145</v>
      </c>
      <c r="E825" s="15"/>
      <c r="F825" s="10"/>
      <c r="G825" s="10"/>
      <c r="H825" s="26">
        <f>VLOOKUP($A825,'Model Inputs'!$A:$C,3,FALSE)</f>
        <v>2</v>
      </c>
      <c r="I825" s="10"/>
      <c r="J825" s="10">
        <f>SUBTOTAL(9,J827:J829,J832:J833)</f>
        <v>2690.8</v>
      </c>
      <c r="K825" s="10"/>
      <c r="L825" s="10">
        <f>ROUNDUP(MAX(L827:L829,L832:L833)/Workhrs,0)</f>
        <v>1</v>
      </c>
      <c r="M825" s="10">
        <f>SUBTOTAL(9,M827:M829,M832:M833)</f>
        <v>622.79999999999995</v>
      </c>
      <c r="N825" s="10">
        <f t="shared" ref="N825:Q825" si="1376">SUBTOTAL(9,N827:N829,N832:N833)</f>
        <v>1528</v>
      </c>
      <c r="O825" s="10">
        <f t="shared" si="1376"/>
        <v>540</v>
      </c>
      <c r="P825" s="10">
        <f t="shared" si="1376"/>
        <v>0</v>
      </c>
      <c r="Q825" s="10">
        <f t="shared" si="1376"/>
        <v>2690.8</v>
      </c>
      <c r="R825" s="86"/>
      <c r="T825" s="235" t="str">
        <f t="shared" si="1304"/>
        <v xml:space="preserve"> </v>
      </c>
    </row>
    <row r="826" spans="1:21" s="19" customFormat="1" x14ac:dyDescent="0.25">
      <c r="A826" s="159"/>
      <c r="B826" s="28">
        <v>1</v>
      </c>
      <c r="C826" s="29" t="s">
        <v>336</v>
      </c>
      <c r="D826" s="28"/>
      <c r="E826" s="30"/>
      <c r="F826" s="31"/>
      <c r="G826" s="31"/>
      <c r="H826" s="31"/>
      <c r="I826" s="31"/>
      <c r="J826" s="32"/>
      <c r="K826" s="32"/>
      <c r="L826" s="33"/>
      <c r="M826" s="33"/>
      <c r="N826" s="33"/>
      <c r="O826" s="33"/>
      <c r="P826" s="33"/>
      <c r="Q826" s="33"/>
      <c r="R826" s="89"/>
      <c r="T826" s="235" t="str">
        <f t="shared" si="1304"/>
        <v xml:space="preserve"> </v>
      </c>
      <c r="U826" s="236"/>
    </row>
    <row r="827" spans="1:21" s="18" customFormat="1" x14ac:dyDescent="0.25">
      <c r="A827" s="157"/>
      <c r="B827" s="6">
        <v>2</v>
      </c>
      <c r="C827" s="9" t="s">
        <v>337</v>
      </c>
      <c r="D827" s="6" t="s">
        <v>31</v>
      </c>
      <c r="E827" s="17" t="str">
        <f>VLOOKUP(C827,Resources!B:G,3,FALSE)</f>
        <v>M</v>
      </c>
      <c r="F827" s="12">
        <v>1</v>
      </c>
      <c r="G827" s="12">
        <v>1</v>
      </c>
      <c r="H827" s="12">
        <f>H825</f>
        <v>2</v>
      </c>
      <c r="I827" s="12">
        <f>VLOOKUP(C827,Resources!B:G,6,FALSE)</f>
        <v>425</v>
      </c>
      <c r="J827" s="21">
        <f t="shared" ref="J827:J829" si="1377">(H827/G827)*I827*F827</f>
        <v>850</v>
      </c>
      <c r="K827" s="21" t="str">
        <f t="shared" ref="K827:K829" si="1378">IF(E827="M"," ",L827*F827)</f>
        <v xml:space="preserve"> </v>
      </c>
      <c r="L827" s="24" t="str">
        <f t="shared" ref="L827:L829" si="1379">IF(E827="M"," ",H827/G827)</f>
        <v xml:space="preserve"> </v>
      </c>
      <c r="M827" s="24">
        <f t="shared" ref="M827:M829" si="1380">IF($E827="L",$J827,0)</f>
        <v>0</v>
      </c>
      <c r="N827" s="24">
        <f t="shared" ref="N827:N829" si="1381">IF($E827="M",$J827,0)</f>
        <v>850</v>
      </c>
      <c r="O827" s="24">
        <f t="shared" ref="O827:O829" si="1382">IF($E827="P",$J827,0)</f>
        <v>0</v>
      </c>
      <c r="P827" s="24">
        <f t="shared" ref="P827:P829" si="1383">IF($E827="S",$J827,0)</f>
        <v>0</v>
      </c>
      <c r="Q827" s="24">
        <f t="shared" ref="Q827:Q829" si="1384">SUM(M827:P827)</f>
        <v>850</v>
      </c>
      <c r="R827" s="87" t="s">
        <v>548</v>
      </c>
      <c r="T827" s="235" t="str">
        <f t="shared" si="1304"/>
        <v xml:space="preserve"> </v>
      </c>
      <c r="U827" s="232"/>
    </row>
    <row r="828" spans="1:21" s="18" customFormat="1" x14ac:dyDescent="0.25">
      <c r="A828" s="157"/>
      <c r="B828" s="6">
        <v>3</v>
      </c>
      <c r="C828" s="9" t="s">
        <v>338</v>
      </c>
      <c r="D828" s="6" t="s">
        <v>180</v>
      </c>
      <c r="E828" s="17" t="str">
        <f>VLOOKUP(C828,Resources!B:G,3,FALSE)</f>
        <v>M</v>
      </c>
      <c r="F828" s="12">
        <v>1</v>
      </c>
      <c r="G828" s="12">
        <v>1</v>
      </c>
      <c r="H828" s="12">
        <f>H825</f>
        <v>2</v>
      </c>
      <c r="I828" s="12">
        <f>VLOOKUP(C828,Resources!B:G,6,FALSE)</f>
        <v>309</v>
      </c>
      <c r="J828" s="21">
        <f t="shared" si="1377"/>
        <v>618</v>
      </c>
      <c r="K828" s="21" t="str">
        <f t="shared" si="1378"/>
        <v xml:space="preserve"> </v>
      </c>
      <c r="L828" s="24" t="str">
        <f t="shared" si="1379"/>
        <v xml:space="preserve"> </v>
      </c>
      <c r="M828" s="24">
        <f t="shared" si="1380"/>
        <v>0</v>
      </c>
      <c r="N828" s="24">
        <f t="shared" si="1381"/>
        <v>618</v>
      </c>
      <c r="O828" s="24">
        <f t="shared" si="1382"/>
        <v>0</v>
      </c>
      <c r="P828" s="24">
        <f t="shared" si="1383"/>
        <v>0</v>
      </c>
      <c r="Q828" s="24">
        <f t="shared" si="1384"/>
        <v>618</v>
      </c>
      <c r="R828" s="87" t="s">
        <v>550</v>
      </c>
      <c r="T828" s="235" t="str">
        <f t="shared" si="1304"/>
        <v xml:space="preserve"> </v>
      </c>
      <c r="U828" s="232"/>
    </row>
    <row r="829" spans="1:21" s="18" customFormat="1" x14ac:dyDescent="0.25">
      <c r="A829" s="157"/>
      <c r="B829" s="6">
        <v>4</v>
      </c>
      <c r="C829" s="9" t="s">
        <v>339</v>
      </c>
      <c r="D829" s="6" t="s">
        <v>32</v>
      </c>
      <c r="E829" s="17" t="str">
        <f>VLOOKUP(C829,Resources!B:G,3,FALSE)</f>
        <v>M</v>
      </c>
      <c r="F829" s="12">
        <v>10</v>
      </c>
      <c r="G829" s="12">
        <v>1</v>
      </c>
      <c r="H829" s="12">
        <f>H825</f>
        <v>2</v>
      </c>
      <c r="I829" s="12">
        <f>VLOOKUP(C829,Resources!B:G,6,FALSE)</f>
        <v>3</v>
      </c>
      <c r="J829" s="21">
        <f t="shared" si="1377"/>
        <v>60</v>
      </c>
      <c r="K829" s="21" t="str">
        <f t="shared" si="1378"/>
        <v xml:space="preserve"> </v>
      </c>
      <c r="L829" s="24" t="str">
        <f t="shared" si="1379"/>
        <v xml:space="preserve"> </v>
      </c>
      <c r="M829" s="24">
        <f t="shared" si="1380"/>
        <v>0</v>
      </c>
      <c r="N829" s="24">
        <f t="shared" si="1381"/>
        <v>60</v>
      </c>
      <c r="O829" s="24">
        <f t="shared" si="1382"/>
        <v>0</v>
      </c>
      <c r="P829" s="24">
        <f t="shared" si="1383"/>
        <v>0</v>
      </c>
      <c r="Q829" s="24">
        <f t="shared" si="1384"/>
        <v>60</v>
      </c>
      <c r="R829" s="87" t="s">
        <v>548</v>
      </c>
      <c r="T829" s="235" t="str">
        <f t="shared" si="1304"/>
        <v xml:space="preserve"> </v>
      </c>
      <c r="U829" s="232"/>
    </row>
    <row r="830" spans="1:21" s="19" customFormat="1" x14ac:dyDescent="0.25">
      <c r="A830" s="159"/>
      <c r="B830" s="28">
        <v>5</v>
      </c>
      <c r="C830" s="29" t="s">
        <v>340</v>
      </c>
      <c r="D830" s="28"/>
      <c r="E830" s="30"/>
      <c r="F830" s="31"/>
      <c r="G830" s="31"/>
      <c r="H830" s="31"/>
      <c r="I830" s="31"/>
      <c r="J830" s="32"/>
      <c r="K830" s="32"/>
      <c r="L830" s="33"/>
      <c r="M830" s="33"/>
      <c r="N830" s="33"/>
      <c r="O830" s="33"/>
      <c r="P830" s="33"/>
      <c r="Q830" s="33"/>
      <c r="R830" s="89"/>
      <c r="T830" s="235" t="str">
        <f t="shared" si="1304"/>
        <v xml:space="preserve"> </v>
      </c>
      <c r="U830" s="236"/>
    </row>
    <row r="831" spans="1:21" s="19" customFormat="1" x14ac:dyDescent="0.25">
      <c r="A831" s="159"/>
      <c r="B831" s="28">
        <v>6</v>
      </c>
      <c r="C831" s="29" t="s">
        <v>341</v>
      </c>
      <c r="D831" s="28"/>
      <c r="E831" s="30"/>
      <c r="F831" s="31"/>
      <c r="G831" s="31"/>
      <c r="H831" s="31"/>
      <c r="I831" s="31"/>
      <c r="J831" s="32"/>
      <c r="K831" s="32"/>
      <c r="L831" s="33"/>
      <c r="M831" s="33"/>
      <c r="N831" s="33"/>
      <c r="O831" s="33"/>
      <c r="P831" s="33"/>
      <c r="Q831" s="33"/>
      <c r="R831" s="89"/>
      <c r="T831" s="235" t="str">
        <f t="shared" si="1304"/>
        <v xml:space="preserve"> </v>
      </c>
      <c r="U831" s="236"/>
    </row>
    <row r="832" spans="1:21" x14ac:dyDescent="0.25">
      <c r="A832" s="157">
        <v>102.1</v>
      </c>
      <c r="B832" s="6">
        <v>7</v>
      </c>
      <c r="C832" s="9" t="s">
        <v>70</v>
      </c>
      <c r="D832" s="6" t="s">
        <v>26</v>
      </c>
      <c r="E832" s="17" t="str">
        <f>VLOOKUP(C832,Resources!B:G,3,FALSE)</f>
        <v>P</v>
      </c>
      <c r="F832" s="12">
        <v>1</v>
      </c>
      <c r="G832" s="26">
        <f>VLOOKUP($A832,'Model Inputs'!$A:$C,3,FALSE)</f>
        <v>0.5</v>
      </c>
      <c r="H832" s="12">
        <f>H825</f>
        <v>2</v>
      </c>
      <c r="I832" s="12">
        <f>VLOOKUP(C832,Resources!B:G,6,FALSE)</f>
        <v>135</v>
      </c>
      <c r="J832" s="21">
        <f t="shared" ref="J832:J833" si="1385">(H832/G832)*I832*F832</f>
        <v>540</v>
      </c>
      <c r="K832" s="21">
        <f t="shared" ref="K832:K833" si="1386">IF(E832="M"," ",L832*F832)</f>
        <v>4</v>
      </c>
      <c r="L832" s="24">
        <f t="shared" ref="L832:L833" si="1387">IF(E832="M"," ",H832/G832)</f>
        <v>4</v>
      </c>
      <c r="M832" s="24">
        <f t="shared" ref="M832:M833" si="1388">IF($E832="L",$J832,0)</f>
        <v>0</v>
      </c>
      <c r="N832" s="24">
        <f t="shared" ref="N832:N833" si="1389">IF($E832="M",$J832,0)</f>
        <v>0</v>
      </c>
      <c r="O832" s="24">
        <f t="shared" ref="O832:O833" si="1390">IF($E832="P",$J832,0)</f>
        <v>540</v>
      </c>
      <c r="P832" s="24">
        <f t="shared" ref="P832:P833" si="1391">IF($E832="S",$J832,0)</f>
        <v>0</v>
      </c>
      <c r="Q832" s="24">
        <f t="shared" ref="Q832:Q833" si="1392">SUM(M832:P832)</f>
        <v>540</v>
      </c>
      <c r="R832" s="87">
        <v>111</v>
      </c>
      <c r="T832" s="235" t="str">
        <f t="shared" si="1304"/>
        <v xml:space="preserve"> </v>
      </c>
    </row>
    <row r="833" spans="1:20" x14ac:dyDescent="0.25">
      <c r="A833" s="157"/>
      <c r="B833" s="6">
        <v>8</v>
      </c>
      <c r="C833" s="9" t="s">
        <v>8</v>
      </c>
      <c r="D833" s="6" t="s">
        <v>26</v>
      </c>
      <c r="E833" s="17" t="str">
        <f>VLOOKUP(C833,Resources!B:G,3,FALSE)</f>
        <v>L</v>
      </c>
      <c r="F833" s="12">
        <v>3</v>
      </c>
      <c r="G833" s="12">
        <f>G832</f>
        <v>0.5</v>
      </c>
      <c r="H833" s="12">
        <v>2</v>
      </c>
      <c r="I833" s="12">
        <f>VLOOKUP(C833,Resources!B:G,6,FALSE)</f>
        <v>51.9</v>
      </c>
      <c r="J833" s="21">
        <f t="shared" si="1385"/>
        <v>622.79999999999995</v>
      </c>
      <c r="K833" s="21">
        <f t="shared" si="1386"/>
        <v>12</v>
      </c>
      <c r="L833" s="24">
        <f t="shared" si="1387"/>
        <v>4</v>
      </c>
      <c r="M833" s="24">
        <f t="shared" si="1388"/>
        <v>622.79999999999995</v>
      </c>
      <c r="N833" s="24">
        <f t="shared" si="1389"/>
        <v>0</v>
      </c>
      <c r="O833" s="24">
        <f t="shared" si="1390"/>
        <v>0</v>
      </c>
      <c r="P833" s="24">
        <f t="shared" si="1391"/>
        <v>0</v>
      </c>
      <c r="Q833" s="24">
        <f t="shared" si="1392"/>
        <v>622.79999999999995</v>
      </c>
      <c r="R833" s="87">
        <v>111</v>
      </c>
      <c r="T833" s="235" t="str">
        <f t="shared" si="1304"/>
        <v xml:space="preserve"> </v>
      </c>
    </row>
    <row r="834" spans="1:20" x14ac:dyDescent="0.25">
      <c r="F834" s="11"/>
      <c r="G834" s="11"/>
      <c r="H834" s="11"/>
      <c r="I834" s="11"/>
      <c r="J834" s="11"/>
      <c r="K834" s="11"/>
      <c r="R834" s="88"/>
      <c r="T834" s="235" t="str">
        <f t="shared" si="1304"/>
        <v xml:space="preserve"> </v>
      </c>
    </row>
    <row r="835" spans="1:20" ht="30" x14ac:dyDescent="0.25">
      <c r="A835" s="156"/>
      <c r="B835" s="3" t="s">
        <v>342</v>
      </c>
      <c r="C835" s="3" t="s">
        <v>138</v>
      </c>
      <c r="D835" s="4"/>
      <c r="E835" s="15"/>
      <c r="F835" s="10"/>
      <c r="G835" s="10"/>
      <c r="H835" s="10"/>
      <c r="I835" s="10"/>
      <c r="J835" s="10"/>
      <c r="K835" s="10"/>
      <c r="L835" s="23"/>
      <c r="M835" s="23"/>
      <c r="N835" s="23"/>
      <c r="O835" s="23"/>
      <c r="P835" s="23"/>
      <c r="Q835" s="23"/>
      <c r="R835" s="86"/>
      <c r="T835" s="235" t="str">
        <f t="shared" si="1304"/>
        <v xml:space="preserve"> </v>
      </c>
    </row>
    <row r="836" spans="1:20" ht="30" x14ac:dyDescent="0.25">
      <c r="A836" s="156">
        <v>103</v>
      </c>
      <c r="B836" s="3" t="s">
        <v>343</v>
      </c>
      <c r="C836" s="3" t="s">
        <v>570</v>
      </c>
      <c r="D836" s="4" t="s">
        <v>88</v>
      </c>
      <c r="E836" s="15"/>
      <c r="F836" s="10"/>
      <c r="G836" s="10"/>
      <c r="H836" s="26">
        <f>VLOOKUP($A836,'Model Inputs'!$A:$C,3,FALSE)</f>
        <v>1000</v>
      </c>
      <c r="I836" s="10"/>
      <c r="J836" s="10">
        <f>SUBTOTAL(9,J837:J839)</f>
        <v>767.25</v>
      </c>
      <c r="K836" s="10"/>
      <c r="L836" s="10">
        <f>ROUNDUP(MAX(L837:L839)/Workhrs,0)</f>
        <v>1</v>
      </c>
      <c r="M836" s="10">
        <f>SUBTOTAL(9,M837:M839)</f>
        <v>129.75</v>
      </c>
      <c r="N836" s="10">
        <f t="shared" ref="N836:Q836" si="1393">SUBTOTAL(9,N837:N839)</f>
        <v>0</v>
      </c>
      <c r="O836" s="10">
        <f t="shared" si="1393"/>
        <v>637.5</v>
      </c>
      <c r="P836" s="10">
        <f t="shared" si="1393"/>
        <v>0</v>
      </c>
      <c r="Q836" s="10">
        <f t="shared" si="1393"/>
        <v>767.25</v>
      </c>
      <c r="R836" s="86"/>
      <c r="T836" s="235" t="str">
        <f t="shared" si="1304"/>
        <v xml:space="preserve"> </v>
      </c>
    </row>
    <row r="837" spans="1:20" x14ac:dyDescent="0.25">
      <c r="A837" s="157">
        <v>103.1</v>
      </c>
      <c r="B837" s="6">
        <v>1</v>
      </c>
      <c r="C837" s="9" t="s">
        <v>78</v>
      </c>
      <c r="D837" s="6" t="s">
        <v>26</v>
      </c>
      <c r="E837" s="17" t="str">
        <f>VLOOKUP(C837,Resources!B:G,3,FALSE)</f>
        <v>P</v>
      </c>
      <c r="F837" s="12">
        <v>1</v>
      </c>
      <c r="G837" s="26">
        <f>VLOOKUP($A837,'Model Inputs'!$A:$C,3,FALSE)</f>
        <v>400</v>
      </c>
      <c r="H837" s="12">
        <f>H836</f>
        <v>1000</v>
      </c>
      <c r="I837" s="12">
        <f>VLOOKUP(C837,Resources!B:G,6,FALSE)</f>
        <v>160</v>
      </c>
      <c r="J837" s="21">
        <f t="shared" ref="J837:J839" si="1394">(H837/G837)*I837*F837</f>
        <v>400</v>
      </c>
      <c r="K837" s="21">
        <f t="shared" ref="K837:K839" si="1395">IF(E837="M"," ",L837*F837)</f>
        <v>2.5</v>
      </c>
      <c r="L837" s="24">
        <f t="shared" ref="L837:L839" si="1396">IF(E837="M"," ",H837/G837)</f>
        <v>2.5</v>
      </c>
      <c r="M837" s="24">
        <f t="shared" ref="M837:M839" si="1397">IF($E837="L",$J837,0)</f>
        <v>0</v>
      </c>
      <c r="N837" s="24">
        <f t="shared" ref="N837:N839" si="1398">IF($E837="M",$J837,0)</f>
        <v>0</v>
      </c>
      <c r="O837" s="24">
        <f t="shared" ref="O837:O839" si="1399">IF($E837="P",$J837,0)</f>
        <v>400</v>
      </c>
      <c r="P837" s="24">
        <f t="shared" ref="P837:P839" si="1400">IF($E837="S",$J837,0)</f>
        <v>0</v>
      </c>
      <c r="Q837" s="24">
        <f t="shared" ref="Q837:Q839" si="1401">SUM(M837:P837)</f>
        <v>400</v>
      </c>
      <c r="R837" s="87">
        <v>59</v>
      </c>
      <c r="T837" s="235" t="str">
        <f t="shared" si="1304"/>
        <v xml:space="preserve"> </v>
      </c>
    </row>
    <row r="838" spans="1:20" x14ac:dyDescent="0.25">
      <c r="A838" s="157"/>
      <c r="B838" s="6">
        <v>2</v>
      </c>
      <c r="C838" s="9" t="s">
        <v>28</v>
      </c>
      <c r="D838" s="6" t="s">
        <v>26</v>
      </c>
      <c r="E838" s="17" t="str">
        <f>VLOOKUP(C838,Resources!B:G,3,FALSE)</f>
        <v>P</v>
      </c>
      <c r="F838" s="12">
        <v>1</v>
      </c>
      <c r="G838" s="12">
        <f>G837</f>
        <v>400</v>
      </c>
      <c r="H838" s="12">
        <f>H836</f>
        <v>1000</v>
      </c>
      <c r="I838" s="12">
        <f>VLOOKUP(C838,Resources!B:G,6,FALSE)</f>
        <v>95</v>
      </c>
      <c r="J838" s="21">
        <f t="shared" si="1394"/>
        <v>237.5</v>
      </c>
      <c r="K838" s="21">
        <f t="shared" si="1395"/>
        <v>2.5</v>
      </c>
      <c r="L838" s="24">
        <f t="shared" si="1396"/>
        <v>2.5</v>
      </c>
      <c r="M838" s="24">
        <f t="shared" si="1397"/>
        <v>0</v>
      </c>
      <c r="N838" s="24">
        <f t="shared" si="1398"/>
        <v>0</v>
      </c>
      <c r="O838" s="24">
        <f t="shared" si="1399"/>
        <v>237.5</v>
      </c>
      <c r="P838" s="24">
        <f t="shared" si="1400"/>
        <v>0</v>
      </c>
      <c r="Q838" s="24">
        <f t="shared" si="1401"/>
        <v>237.5</v>
      </c>
      <c r="R838" s="87">
        <v>59</v>
      </c>
      <c r="T838" s="235" t="str">
        <f t="shared" si="1304"/>
        <v xml:space="preserve"> </v>
      </c>
    </row>
    <row r="839" spans="1:20" x14ac:dyDescent="0.25">
      <c r="A839" s="157"/>
      <c r="B839" s="6">
        <v>3</v>
      </c>
      <c r="C839" s="9" t="s">
        <v>8</v>
      </c>
      <c r="D839" s="6" t="s">
        <v>26</v>
      </c>
      <c r="E839" s="17" t="str">
        <f>VLOOKUP(C839,Resources!B:G,3,FALSE)</f>
        <v>L</v>
      </c>
      <c r="F839" s="12">
        <v>1</v>
      </c>
      <c r="G839" s="12">
        <f>G837</f>
        <v>400</v>
      </c>
      <c r="H839" s="12">
        <f>H836</f>
        <v>1000</v>
      </c>
      <c r="I839" s="12">
        <f>VLOOKUP(C839,Resources!B:G,6,FALSE)</f>
        <v>51.9</v>
      </c>
      <c r="J839" s="21">
        <f t="shared" si="1394"/>
        <v>129.75</v>
      </c>
      <c r="K839" s="21">
        <f t="shared" si="1395"/>
        <v>2.5</v>
      </c>
      <c r="L839" s="24">
        <f t="shared" si="1396"/>
        <v>2.5</v>
      </c>
      <c r="M839" s="24">
        <f t="shared" si="1397"/>
        <v>129.75</v>
      </c>
      <c r="N839" s="24">
        <f t="shared" si="1398"/>
        <v>0</v>
      </c>
      <c r="O839" s="24">
        <f t="shared" si="1399"/>
        <v>0</v>
      </c>
      <c r="P839" s="24">
        <f t="shared" si="1400"/>
        <v>0</v>
      </c>
      <c r="Q839" s="24">
        <f t="shared" si="1401"/>
        <v>129.75</v>
      </c>
      <c r="R839" s="87">
        <v>59</v>
      </c>
      <c r="T839" s="235" t="str">
        <f t="shared" si="1304"/>
        <v xml:space="preserve"> </v>
      </c>
    </row>
    <row r="840" spans="1:20" x14ac:dyDescent="0.25">
      <c r="F840" s="11"/>
      <c r="G840" s="11"/>
      <c r="H840" s="11"/>
      <c r="I840" s="11"/>
      <c r="J840" s="11"/>
      <c r="K840" s="11"/>
      <c r="R840" s="88"/>
      <c r="T840" s="235" t="str">
        <f t="shared" ref="T840:T903" si="1402">IF(R840=$U$7,"y"," ")</f>
        <v xml:space="preserve"> </v>
      </c>
    </row>
    <row r="841" spans="1:20" ht="30" x14ac:dyDescent="0.25">
      <c r="A841" s="156">
        <v>104</v>
      </c>
      <c r="B841" s="3" t="s">
        <v>344</v>
      </c>
      <c r="C841" s="3" t="s">
        <v>600</v>
      </c>
      <c r="D841" s="4" t="s">
        <v>88</v>
      </c>
      <c r="E841" s="15"/>
      <c r="F841" s="10"/>
      <c r="G841" s="10"/>
      <c r="H841" s="26">
        <f>VLOOKUP($A841,'Model Inputs'!$A:$C,3,FALSE)</f>
        <v>1000</v>
      </c>
      <c r="I841" s="10"/>
      <c r="J841" s="10">
        <f>SUBTOTAL(9,J842:J843)</f>
        <v>1125</v>
      </c>
      <c r="K841" s="10"/>
      <c r="L841" s="10">
        <f>ROUNDUP(L842/1500,0)</f>
        <v>1</v>
      </c>
      <c r="M841" s="10">
        <f>SUBTOTAL(9,M842:M843)</f>
        <v>0</v>
      </c>
      <c r="N841" s="10">
        <f t="shared" ref="N841:Q841" si="1403">SUBTOTAL(9,N842:N843)</f>
        <v>0</v>
      </c>
      <c r="O841" s="10">
        <f t="shared" si="1403"/>
        <v>190</v>
      </c>
      <c r="P841" s="10">
        <f t="shared" si="1403"/>
        <v>935</v>
      </c>
      <c r="Q841" s="10">
        <f t="shared" si="1403"/>
        <v>1125</v>
      </c>
      <c r="R841" s="86"/>
      <c r="T841" s="235" t="str">
        <f t="shared" si="1402"/>
        <v xml:space="preserve"> </v>
      </c>
    </row>
    <row r="842" spans="1:20" x14ac:dyDescent="0.25">
      <c r="A842" s="157"/>
      <c r="B842" s="6">
        <v>1</v>
      </c>
      <c r="C842" s="9" t="s">
        <v>142</v>
      </c>
      <c r="D842" s="6" t="s">
        <v>109</v>
      </c>
      <c r="E842" s="17" t="str">
        <f>VLOOKUP(C842,Resources!B:G,3,FALSE)</f>
        <v>S</v>
      </c>
      <c r="F842" s="12">
        <v>1</v>
      </c>
      <c r="G842" s="12">
        <v>1</v>
      </c>
      <c r="H842" s="12">
        <f>H841*1.1</f>
        <v>1100</v>
      </c>
      <c r="I842" s="12">
        <f>VLOOKUP(C842,Resources!B:G,6,FALSE)</f>
        <v>0.85</v>
      </c>
      <c r="J842" s="21">
        <f t="shared" ref="J842:J843" si="1404">(H842/G842)*I842*F842</f>
        <v>935</v>
      </c>
      <c r="K842" s="21">
        <f t="shared" ref="K842:K843" si="1405">IF(E842="M"," ",L842*F842)</f>
        <v>1100</v>
      </c>
      <c r="L842" s="24">
        <f t="shared" ref="L842:L843" si="1406">IF(E842="M"," ",H842/G842)</f>
        <v>1100</v>
      </c>
      <c r="M842" s="24">
        <f t="shared" ref="M842:M843" si="1407">IF($E842="L",$J842,0)</f>
        <v>0</v>
      </c>
      <c r="N842" s="24">
        <f t="shared" ref="N842:N843" si="1408">IF($E842="M",$J842,0)</f>
        <v>0</v>
      </c>
      <c r="O842" s="24">
        <f t="shared" ref="O842:O843" si="1409">IF($E842="P",$J842,0)</f>
        <v>0</v>
      </c>
      <c r="P842" s="24">
        <f t="shared" ref="P842:P843" si="1410">IF($E842="S",$J842,0)</f>
        <v>935</v>
      </c>
      <c r="Q842" s="24">
        <f t="shared" ref="Q842:Q843" si="1411">SUM(M842:P842)</f>
        <v>935</v>
      </c>
      <c r="R842" s="87">
        <v>121</v>
      </c>
      <c r="T842" s="235" t="str">
        <f t="shared" si="1402"/>
        <v xml:space="preserve"> </v>
      </c>
    </row>
    <row r="843" spans="1:20" x14ac:dyDescent="0.25">
      <c r="A843" s="157">
        <v>104.1</v>
      </c>
      <c r="B843" s="6">
        <v>2</v>
      </c>
      <c r="C843" s="9" t="s">
        <v>28</v>
      </c>
      <c r="D843" s="6" t="s">
        <v>26</v>
      </c>
      <c r="E843" s="17" t="str">
        <f>VLOOKUP(C843,Resources!B:G,3,FALSE)</f>
        <v>P</v>
      </c>
      <c r="F843" s="12">
        <v>1</v>
      </c>
      <c r="G843" s="26">
        <f>VLOOKUP($A843,'Model Inputs'!$A:$C,3,FALSE)</f>
        <v>550</v>
      </c>
      <c r="H843" s="12">
        <f>H841*1.1</f>
        <v>1100</v>
      </c>
      <c r="I843" s="12">
        <f>VLOOKUP(C843,Resources!B:G,6,FALSE)</f>
        <v>95</v>
      </c>
      <c r="J843" s="21">
        <f t="shared" si="1404"/>
        <v>190</v>
      </c>
      <c r="K843" s="21">
        <f t="shared" si="1405"/>
        <v>2</v>
      </c>
      <c r="L843" s="24">
        <f t="shared" si="1406"/>
        <v>2</v>
      </c>
      <c r="M843" s="24">
        <f t="shared" si="1407"/>
        <v>0</v>
      </c>
      <c r="N843" s="24">
        <f t="shared" si="1408"/>
        <v>0</v>
      </c>
      <c r="O843" s="24">
        <f t="shared" si="1409"/>
        <v>190</v>
      </c>
      <c r="P843" s="24">
        <f t="shared" si="1410"/>
        <v>0</v>
      </c>
      <c r="Q843" s="24">
        <f t="shared" si="1411"/>
        <v>190</v>
      </c>
      <c r="R843" s="87">
        <v>121</v>
      </c>
      <c r="T843" s="235" t="str">
        <f t="shared" si="1402"/>
        <v xml:space="preserve"> </v>
      </c>
    </row>
    <row r="844" spans="1:20" x14ac:dyDescent="0.25">
      <c r="F844" s="11"/>
      <c r="G844" s="11"/>
      <c r="H844" s="11"/>
      <c r="I844" s="11"/>
      <c r="J844" s="11"/>
      <c r="K844" s="11"/>
      <c r="R844" s="88"/>
      <c r="T844" s="235" t="str">
        <f t="shared" si="1402"/>
        <v xml:space="preserve"> </v>
      </c>
    </row>
    <row r="845" spans="1:20" ht="30" x14ac:dyDescent="0.25">
      <c r="A845" s="156">
        <v>105</v>
      </c>
      <c r="B845" s="3" t="s">
        <v>345</v>
      </c>
      <c r="C845" s="3" t="s">
        <v>572</v>
      </c>
      <c r="D845" s="4" t="s">
        <v>145</v>
      </c>
      <c r="E845" s="15"/>
      <c r="F845" s="10"/>
      <c r="G845" s="10"/>
      <c r="H845" s="26">
        <f>VLOOKUP($A845,'Model Inputs'!$A:$C,3,FALSE)</f>
        <v>6</v>
      </c>
      <c r="I845" s="10"/>
      <c r="J845" s="10">
        <f>SUBTOTAL(9,J846:J849)</f>
        <v>1626.4</v>
      </c>
      <c r="K845" s="10"/>
      <c r="L845" s="10">
        <f>ROUNDUP(MAX(L846:L849)/Workhrs,0)</f>
        <v>1</v>
      </c>
      <c r="M845" s="10">
        <f>SUBTOTAL(9,M846:M849)</f>
        <v>311.39999999999998</v>
      </c>
      <c r="N845" s="10">
        <f t="shared" ref="N845:Q845" si="1412">SUBTOTAL(9,N846:N849)</f>
        <v>945</v>
      </c>
      <c r="O845" s="10">
        <f t="shared" si="1412"/>
        <v>370</v>
      </c>
      <c r="P845" s="10">
        <f t="shared" si="1412"/>
        <v>0</v>
      </c>
      <c r="Q845" s="10">
        <f t="shared" si="1412"/>
        <v>1626.4</v>
      </c>
      <c r="R845" s="86"/>
      <c r="T845" s="235" t="str">
        <f t="shared" si="1402"/>
        <v xml:space="preserve"> </v>
      </c>
    </row>
    <row r="846" spans="1:20" x14ac:dyDescent="0.25">
      <c r="A846" s="157"/>
      <c r="B846" s="6">
        <v>1</v>
      </c>
      <c r="C846" s="9" t="s">
        <v>146</v>
      </c>
      <c r="D846" s="6" t="s">
        <v>100</v>
      </c>
      <c r="E846" s="17" t="str">
        <f>VLOOKUP(C846,Resources!B:G,3,FALSE)</f>
        <v>M</v>
      </c>
      <c r="F846" s="12">
        <v>1</v>
      </c>
      <c r="G846" s="12">
        <v>1</v>
      </c>
      <c r="H846" s="12">
        <f>H845*4.5</f>
        <v>27</v>
      </c>
      <c r="I846" s="12">
        <f>VLOOKUP(C846,Resources!B:G,6,FALSE)</f>
        <v>35</v>
      </c>
      <c r="J846" s="21">
        <f t="shared" ref="J846:J849" si="1413">(H846/G846)*I846*F846</f>
        <v>945</v>
      </c>
      <c r="K846" s="21" t="str">
        <f t="shared" ref="K846:K849" si="1414">IF(E846="M"," ",L846*F846)</f>
        <v xml:space="preserve"> </v>
      </c>
      <c r="L846" s="24" t="str">
        <f t="shared" ref="L846:L849" si="1415">IF(E846="M"," ",H846/G846)</f>
        <v xml:space="preserve"> </v>
      </c>
      <c r="M846" s="24">
        <f t="shared" ref="M846:M849" si="1416">IF($E846="L",$J846,0)</f>
        <v>0</v>
      </c>
      <c r="N846" s="24">
        <f t="shared" ref="N846:N849" si="1417">IF($E846="M",$J846,0)</f>
        <v>945</v>
      </c>
      <c r="O846" s="24">
        <f t="shared" ref="O846:O849" si="1418">IF($E846="P",$J846,0)</f>
        <v>0</v>
      </c>
      <c r="P846" s="24">
        <f t="shared" ref="P846:P849" si="1419">IF($E846="S",$J846,0)</f>
        <v>0</v>
      </c>
      <c r="Q846" s="24">
        <f t="shared" ref="Q846:Q849" si="1420">SUM(M846:P846)</f>
        <v>945</v>
      </c>
      <c r="R846" s="87" t="s">
        <v>540</v>
      </c>
      <c r="T846" s="235" t="str">
        <f t="shared" si="1402"/>
        <v xml:space="preserve"> </v>
      </c>
    </row>
    <row r="847" spans="1:20" x14ac:dyDescent="0.25">
      <c r="A847" s="157">
        <v>105.1</v>
      </c>
      <c r="B847" s="6">
        <v>2</v>
      </c>
      <c r="C847" s="9" t="s">
        <v>82</v>
      </c>
      <c r="D847" s="6" t="s">
        <v>26</v>
      </c>
      <c r="E847" s="17" t="str">
        <f>VLOOKUP(C847,Resources!B:G,3,FALSE)</f>
        <v>P</v>
      </c>
      <c r="F847" s="12">
        <v>1</v>
      </c>
      <c r="G847" s="26">
        <f>VLOOKUP($A847,'Model Inputs'!$A:$C,3,FALSE)</f>
        <v>3</v>
      </c>
      <c r="H847" s="12">
        <f>H845</f>
        <v>6</v>
      </c>
      <c r="I847" s="12">
        <f>VLOOKUP(C847,Resources!B:G,6,FALSE)</f>
        <v>95</v>
      </c>
      <c r="J847" s="21">
        <f t="shared" si="1413"/>
        <v>190</v>
      </c>
      <c r="K847" s="21">
        <f t="shared" si="1414"/>
        <v>2</v>
      </c>
      <c r="L847" s="24">
        <f t="shared" si="1415"/>
        <v>2</v>
      </c>
      <c r="M847" s="24">
        <f t="shared" si="1416"/>
        <v>0</v>
      </c>
      <c r="N847" s="24">
        <f t="shared" si="1417"/>
        <v>0</v>
      </c>
      <c r="O847" s="24">
        <f t="shared" si="1418"/>
        <v>190</v>
      </c>
      <c r="P847" s="24">
        <f t="shared" si="1419"/>
        <v>0</v>
      </c>
      <c r="Q847" s="24">
        <f t="shared" si="1420"/>
        <v>190</v>
      </c>
      <c r="R847" s="87">
        <v>81</v>
      </c>
      <c r="T847" s="235" t="str">
        <f t="shared" si="1402"/>
        <v xml:space="preserve"> </v>
      </c>
    </row>
    <row r="848" spans="1:20" x14ac:dyDescent="0.25">
      <c r="A848" s="157"/>
      <c r="B848" s="6">
        <v>3</v>
      </c>
      <c r="C848" s="9" t="s">
        <v>8</v>
      </c>
      <c r="D848" s="6" t="s">
        <v>26</v>
      </c>
      <c r="E848" s="17" t="str">
        <f>VLOOKUP(C848,Resources!B:G,3,FALSE)</f>
        <v>L</v>
      </c>
      <c r="F848" s="12">
        <v>3</v>
      </c>
      <c r="G848" s="12">
        <f>G847</f>
        <v>3</v>
      </c>
      <c r="H848" s="12">
        <f>H845</f>
        <v>6</v>
      </c>
      <c r="I848" s="12">
        <f>VLOOKUP(C848,Resources!B:G,6,FALSE)</f>
        <v>51.9</v>
      </c>
      <c r="J848" s="21">
        <f t="shared" si="1413"/>
        <v>311.39999999999998</v>
      </c>
      <c r="K848" s="21">
        <f t="shared" si="1414"/>
        <v>6</v>
      </c>
      <c r="L848" s="24">
        <f t="shared" si="1415"/>
        <v>2</v>
      </c>
      <c r="M848" s="24">
        <f t="shared" si="1416"/>
        <v>311.39999999999998</v>
      </c>
      <c r="N848" s="24">
        <f t="shared" si="1417"/>
        <v>0</v>
      </c>
      <c r="O848" s="24">
        <f t="shared" si="1418"/>
        <v>0</v>
      </c>
      <c r="P848" s="24">
        <f t="shared" si="1419"/>
        <v>0</v>
      </c>
      <c r="Q848" s="24">
        <f t="shared" si="1420"/>
        <v>311.39999999999998</v>
      </c>
      <c r="R848" s="87">
        <v>81</v>
      </c>
      <c r="T848" s="235" t="str">
        <f t="shared" si="1402"/>
        <v xml:space="preserve"> </v>
      </c>
    </row>
    <row r="849" spans="1:20" x14ac:dyDescent="0.25">
      <c r="A849" s="157"/>
      <c r="B849" s="6">
        <v>4</v>
      </c>
      <c r="C849" s="9" t="s">
        <v>27</v>
      </c>
      <c r="D849" s="6" t="s">
        <v>26</v>
      </c>
      <c r="E849" s="17" t="str">
        <f>VLOOKUP(C849,Resources!B:G,3,FALSE)</f>
        <v>P</v>
      </c>
      <c r="F849" s="12">
        <v>1</v>
      </c>
      <c r="G849" s="12">
        <f>G847</f>
        <v>3</v>
      </c>
      <c r="H849" s="12">
        <f>H845</f>
        <v>6</v>
      </c>
      <c r="I849" s="12">
        <f>VLOOKUP(C849,Resources!B:G,6,FALSE)</f>
        <v>90</v>
      </c>
      <c r="J849" s="21">
        <f t="shared" si="1413"/>
        <v>180</v>
      </c>
      <c r="K849" s="21">
        <f t="shared" si="1414"/>
        <v>2</v>
      </c>
      <c r="L849" s="24">
        <f t="shared" si="1415"/>
        <v>2</v>
      </c>
      <c r="M849" s="24">
        <f t="shared" si="1416"/>
        <v>0</v>
      </c>
      <c r="N849" s="24">
        <f t="shared" si="1417"/>
        <v>0</v>
      </c>
      <c r="O849" s="24">
        <f t="shared" si="1418"/>
        <v>180</v>
      </c>
      <c r="P849" s="24">
        <f t="shared" si="1419"/>
        <v>0</v>
      </c>
      <c r="Q849" s="24">
        <f t="shared" si="1420"/>
        <v>180</v>
      </c>
      <c r="R849" s="87">
        <v>81</v>
      </c>
      <c r="T849" s="235" t="str">
        <f t="shared" si="1402"/>
        <v xml:space="preserve"> </v>
      </c>
    </row>
    <row r="850" spans="1:20" x14ac:dyDescent="0.25">
      <c r="F850" s="11"/>
      <c r="G850" s="11"/>
      <c r="H850" s="11"/>
      <c r="I850" s="11"/>
      <c r="J850" s="11"/>
      <c r="K850" s="11"/>
      <c r="R850" s="88"/>
      <c r="T850" s="235" t="str">
        <f t="shared" si="1402"/>
        <v xml:space="preserve"> </v>
      </c>
    </row>
    <row r="851" spans="1:20" ht="30" x14ac:dyDescent="0.25">
      <c r="A851" s="156"/>
      <c r="B851" s="3" t="s">
        <v>346</v>
      </c>
      <c r="C851" s="3" t="s">
        <v>148</v>
      </c>
      <c r="D851" s="4"/>
      <c r="E851" s="15"/>
      <c r="F851" s="10"/>
      <c r="G851" s="10"/>
      <c r="H851" s="10"/>
      <c r="I851" s="10"/>
      <c r="J851" s="10"/>
      <c r="K851" s="10"/>
      <c r="L851" s="23"/>
      <c r="M851" s="23"/>
      <c r="N851" s="23"/>
      <c r="O851" s="23"/>
      <c r="P851" s="23"/>
      <c r="Q851" s="23"/>
      <c r="R851" s="86"/>
      <c r="T851" s="235" t="str">
        <f t="shared" si="1402"/>
        <v xml:space="preserve"> </v>
      </c>
    </row>
    <row r="852" spans="1:20" ht="30" x14ac:dyDescent="0.25">
      <c r="A852" s="156">
        <v>106</v>
      </c>
      <c r="B852" s="3" t="s">
        <v>347</v>
      </c>
      <c r="C852" s="3" t="s">
        <v>348</v>
      </c>
      <c r="D852" s="4" t="s">
        <v>145</v>
      </c>
      <c r="E852" s="15"/>
      <c r="F852" s="10"/>
      <c r="G852" s="10"/>
      <c r="H852" s="26">
        <f>VLOOKUP($A852,'Model Inputs'!$A:$C,3,FALSE)</f>
        <v>11</v>
      </c>
      <c r="I852" s="10"/>
      <c r="J852" s="10">
        <f>SUBTOTAL(9,J853)</f>
        <v>550</v>
      </c>
      <c r="K852" s="10"/>
      <c r="L852" s="10">
        <v>1</v>
      </c>
      <c r="M852" s="10">
        <f>SUBTOTAL(9,M853)</f>
        <v>0</v>
      </c>
      <c r="N852" s="10">
        <f t="shared" ref="N852:Q852" si="1421">SUBTOTAL(9,N853)</f>
        <v>550</v>
      </c>
      <c r="O852" s="10">
        <f t="shared" si="1421"/>
        <v>0</v>
      </c>
      <c r="P852" s="10">
        <f t="shared" si="1421"/>
        <v>0</v>
      </c>
      <c r="Q852" s="10">
        <f t="shared" si="1421"/>
        <v>550</v>
      </c>
      <c r="R852" s="86"/>
      <c r="T852" s="235" t="str">
        <f t="shared" si="1402"/>
        <v xml:space="preserve"> </v>
      </c>
    </row>
    <row r="853" spans="1:20" x14ac:dyDescent="0.25">
      <c r="A853" s="157"/>
      <c r="B853" s="6">
        <v>1</v>
      </c>
      <c r="C853" s="9" t="s">
        <v>151</v>
      </c>
      <c r="D853" s="6" t="s">
        <v>31</v>
      </c>
      <c r="E853" s="17" t="str">
        <f>VLOOKUP(C853,Resources!B:G,3,FALSE)</f>
        <v>M</v>
      </c>
      <c r="F853" s="12">
        <v>1</v>
      </c>
      <c r="G853" s="12">
        <v>1</v>
      </c>
      <c r="H853" s="12">
        <f>H852</f>
        <v>11</v>
      </c>
      <c r="I853" s="12">
        <f>VLOOKUP(C853,Resources!B:G,6,FALSE)</f>
        <v>50</v>
      </c>
      <c r="J853" s="21">
        <f t="shared" ref="J853" si="1422">(H853/G853)*I853*F853</f>
        <v>550</v>
      </c>
      <c r="K853" s="21" t="str">
        <f t="shared" ref="K853" si="1423">IF(E853="M"," ",L853*F853)</f>
        <v xml:space="preserve"> </v>
      </c>
      <c r="L853" s="24" t="str">
        <f t="shared" ref="L853" si="1424">IF(E853="M"," ",H853/G853)</f>
        <v xml:space="preserve"> </v>
      </c>
      <c r="M853" s="24">
        <f>IF($E853="L",$J853,0)</f>
        <v>0</v>
      </c>
      <c r="N853" s="24">
        <f>IF($E853="M",$J853,0)</f>
        <v>550</v>
      </c>
      <c r="O853" s="24">
        <f>IF($E853="P",$J853,0)</f>
        <v>0</v>
      </c>
      <c r="P853" s="24">
        <f>IF($E853="S",$J853,0)</f>
        <v>0</v>
      </c>
      <c r="Q853" s="24">
        <f>SUM(M853:P853)</f>
        <v>550</v>
      </c>
      <c r="R853" s="87">
        <v>67</v>
      </c>
      <c r="T853" s="235" t="str">
        <f t="shared" si="1402"/>
        <v xml:space="preserve"> </v>
      </c>
    </row>
    <row r="854" spans="1:20" x14ac:dyDescent="0.25">
      <c r="F854" s="11"/>
      <c r="G854" s="11"/>
      <c r="H854" s="11"/>
      <c r="I854" s="11"/>
      <c r="J854" s="11"/>
      <c r="K854" s="11"/>
      <c r="R854" s="88"/>
      <c r="T854" s="235" t="str">
        <f t="shared" si="1402"/>
        <v xml:space="preserve"> </v>
      </c>
    </row>
    <row r="855" spans="1:20" ht="30" x14ac:dyDescent="0.25">
      <c r="A855" s="156">
        <v>107</v>
      </c>
      <c r="B855" s="3" t="s">
        <v>349</v>
      </c>
      <c r="C855" s="3" t="s">
        <v>350</v>
      </c>
      <c r="D855" s="4" t="s">
        <v>145</v>
      </c>
      <c r="E855" s="15"/>
      <c r="F855" s="10"/>
      <c r="G855" s="10"/>
      <c r="H855" s="26">
        <f>VLOOKUP($A855,'Model Inputs'!$A:$C,3,FALSE)</f>
        <v>1</v>
      </c>
      <c r="I855" s="10"/>
      <c r="J855" s="10">
        <f>SUBTOTAL(9,J856:J858)</f>
        <v>338.8</v>
      </c>
      <c r="K855" s="10"/>
      <c r="L855" s="10">
        <f>ROUNDUP(MAX(L856:L858),0)</f>
        <v>1</v>
      </c>
      <c r="M855" s="10">
        <f>SUBTOTAL(9,M856:M858)</f>
        <v>103.8</v>
      </c>
      <c r="N855" s="10">
        <f t="shared" ref="N855:Q855" si="1425">SUBTOTAL(9,N856:N858)</f>
        <v>140</v>
      </c>
      <c r="O855" s="10">
        <f t="shared" si="1425"/>
        <v>95</v>
      </c>
      <c r="P855" s="10">
        <f t="shared" si="1425"/>
        <v>0</v>
      </c>
      <c r="Q855" s="10">
        <f t="shared" si="1425"/>
        <v>338.8</v>
      </c>
      <c r="R855" s="86"/>
      <c r="T855" s="235" t="str">
        <f t="shared" si="1402"/>
        <v xml:space="preserve"> </v>
      </c>
    </row>
    <row r="856" spans="1:20" x14ac:dyDescent="0.25">
      <c r="A856" s="157"/>
      <c r="B856" s="6">
        <v>1</v>
      </c>
      <c r="C856" s="9" t="s">
        <v>154</v>
      </c>
      <c r="D856" s="6" t="s">
        <v>31</v>
      </c>
      <c r="E856" s="17" t="str">
        <f>VLOOKUP(C856,Resources!B:G,3,FALSE)</f>
        <v>M</v>
      </c>
      <c r="F856" s="12">
        <v>1</v>
      </c>
      <c r="G856" s="12">
        <v>1</v>
      </c>
      <c r="H856" s="12">
        <f>H855</f>
        <v>1</v>
      </c>
      <c r="I856" s="12">
        <f>VLOOKUP(C856,Resources!B:G,6,FALSE)</f>
        <v>140</v>
      </c>
      <c r="J856" s="21">
        <f t="shared" ref="J856:J858" si="1426">(H856/G856)*I856*F856</f>
        <v>140</v>
      </c>
      <c r="K856" s="21" t="str">
        <f t="shared" ref="K856:K858" si="1427">IF(E856="M"," ",L856*F856)</f>
        <v xml:space="preserve"> </v>
      </c>
      <c r="L856" s="24" t="str">
        <f t="shared" ref="L856:L858" si="1428">IF(E856="M"," ",H856/G856)</f>
        <v xml:space="preserve"> </v>
      </c>
      <c r="M856" s="24">
        <f t="shared" ref="M856:M858" si="1429">IF($E856="L",$J856,0)</f>
        <v>0</v>
      </c>
      <c r="N856" s="24">
        <f t="shared" ref="N856:N858" si="1430">IF($E856="M",$J856,0)</f>
        <v>140</v>
      </c>
      <c r="O856" s="24">
        <f t="shared" ref="O856:O858" si="1431">IF($E856="P",$J856,0)</f>
        <v>0</v>
      </c>
      <c r="P856" s="24">
        <f t="shared" ref="P856:P858" si="1432">IF($E856="S",$J856,0)</f>
        <v>0</v>
      </c>
      <c r="Q856" s="24">
        <f t="shared" ref="Q856:Q858" si="1433">SUM(M856:P856)</f>
        <v>140</v>
      </c>
      <c r="R856" s="87">
        <v>67</v>
      </c>
      <c r="T856" s="235" t="str">
        <f t="shared" si="1402"/>
        <v xml:space="preserve"> </v>
      </c>
    </row>
    <row r="857" spans="1:20" x14ac:dyDescent="0.25">
      <c r="A857" s="157"/>
      <c r="B857" s="6">
        <v>2</v>
      </c>
      <c r="C857" s="9" t="s">
        <v>82</v>
      </c>
      <c r="D857" s="6" t="s">
        <v>26</v>
      </c>
      <c r="E857" s="17" t="str">
        <f>VLOOKUP(C857,Resources!B:G,3,FALSE)</f>
        <v>P</v>
      </c>
      <c r="F857" s="12">
        <v>1</v>
      </c>
      <c r="G857" s="12">
        <v>1</v>
      </c>
      <c r="H857" s="12">
        <f>H855</f>
        <v>1</v>
      </c>
      <c r="I857" s="12">
        <f>VLOOKUP(C857,Resources!B:G,6,FALSE)</f>
        <v>95</v>
      </c>
      <c r="J857" s="21">
        <f t="shared" si="1426"/>
        <v>95</v>
      </c>
      <c r="K857" s="21">
        <f t="shared" si="1427"/>
        <v>1</v>
      </c>
      <c r="L857" s="24">
        <f t="shared" si="1428"/>
        <v>1</v>
      </c>
      <c r="M857" s="24">
        <f t="shared" si="1429"/>
        <v>0</v>
      </c>
      <c r="N857" s="24">
        <f t="shared" si="1430"/>
        <v>0</v>
      </c>
      <c r="O857" s="24">
        <f t="shared" si="1431"/>
        <v>95</v>
      </c>
      <c r="P857" s="24">
        <f t="shared" si="1432"/>
        <v>0</v>
      </c>
      <c r="Q857" s="24">
        <f t="shared" si="1433"/>
        <v>95</v>
      </c>
      <c r="R857" s="87">
        <v>67</v>
      </c>
      <c r="T857" s="235" t="str">
        <f t="shared" si="1402"/>
        <v xml:space="preserve"> </v>
      </c>
    </row>
    <row r="858" spans="1:20" x14ac:dyDescent="0.25">
      <c r="A858" s="157">
        <v>107.1</v>
      </c>
      <c r="B858" s="6">
        <v>3</v>
      </c>
      <c r="C858" s="9" t="s">
        <v>8</v>
      </c>
      <c r="D858" s="6" t="s">
        <v>26</v>
      </c>
      <c r="E858" s="17" t="str">
        <f>VLOOKUP(C858,Resources!B:G,3,FALSE)</f>
        <v>L</v>
      </c>
      <c r="F858" s="12">
        <v>2</v>
      </c>
      <c r="G858" s="26">
        <f>VLOOKUP($A858,'Model Inputs'!$A:$C,3,FALSE)</f>
        <v>1</v>
      </c>
      <c r="H858" s="12">
        <f>H855</f>
        <v>1</v>
      </c>
      <c r="I858" s="12">
        <f>VLOOKUP(C858,Resources!B:G,6,FALSE)</f>
        <v>51.9</v>
      </c>
      <c r="J858" s="21">
        <f t="shared" si="1426"/>
        <v>103.8</v>
      </c>
      <c r="K858" s="21">
        <f t="shared" si="1427"/>
        <v>2</v>
      </c>
      <c r="L858" s="24">
        <f t="shared" si="1428"/>
        <v>1</v>
      </c>
      <c r="M858" s="24">
        <f t="shared" si="1429"/>
        <v>103.8</v>
      </c>
      <c r="N858" s="24">
        <f t="shared" si="1430"/>
        <v>0</v>
      </c>
      <c r="O858" s="24">
        <f t="shared" si="1431"/>
        <v>0</v>
      </c>
      <c r="P858" s="24">
        <f t="shared" si="1432"/>
        <v>0</v>
      </c>
      <c r="Q858" s="24">
        <f t="shared" si="1433"/>
        <v>103.8</v>
      </c>
      <c r="R858" s="87">
        <v>67</v>
      </c>
      <c r="T858" s="235" t="str">
        <f t="shared" si="1402"/>
        <v xml:space="preserve"> </v>
      </c>
    </row>
    <row r="859" spans="1:20" x14ac:dyDescent="0.25">
      <c r="F859" s="11"/>
      <c r="G859" s="11"/>
      <c r="H859" s="11"/>
      <c r="I859" s="11"/>
      <c r="J859" s="11"/>
      <c r="K859" s="11"/>
      <c r="R859" s="88"/>
      <c r="T859" s="235" t="str">
        <f t="shared" si="1402"/>
        <v xml:space="preserve"> </v>
      </c>
    </row>
    <row r="860" spans="1:20" ht="45" x14ac:dyDescent="0.25">
      <c r="A860" s="156">
        <v>108</v>
      </c>
      <c r="B860" s="3" t="s">
        <v>351</v>
      </c>
      <c r="C860" s="3" t="s">
        <v>352</v>
      </c>
      <c r="D860" s="4" t="s">
        <v>18</v>
      </c>
      <c r="E860" s="15"/>
      <c r="F860" s="10"/>
      <c r="G860" s="10"/>
      <c r="H860" s="26">
        <f>VLOOKUP($A860,'Model Inputs'!$A:$C,3,FALSE)</f>
        <v>1</v>
      </c>
      <c r="I860" s="10"/>
      <c r="J860" s="10">
        <f>SUBTOTAL(9,J861)</f>
        <v>7500</v>
      </c>
      <c r="K860" s="10"/>
      <c r="L860" s="10">
        <f>ROUNDUP(L861/7500,0)</f>
        <v>1</v>
      </c>
      <c r="M860" s="10">
        <f>SUBTOTAL(9,M861)</f>
        <v>0</v>
      </c>
      <c r="N860" s="10">
        <f t="shared" ref="N860" si="1434">SUBTOTAL(9,N861)</f>
        <v>0</v>
      </c>
      <c r="O860" s="10">
        <f t="shared" ref="O860" si="1435">SUBTOTAL(9,O861)</f>
        <v>0</v>
      </c>
      <c r="P860" s="10">
        <f t="shared" ref="P860" si="1436">SUBTOTAL(9,P861)</f>
        <v>7500</v>
      </c>
      <c r="Q860" s="10">
        <f t="shared" ref="Q860" si="1437">SUBTOTAL(9,Q861)</f>
        <v>7500</v>
      </c>
      <c r="R860" s="86"/>
      <c r="T860" s="235" t="str">
        <f t="shared" si="1402"/>
        <v xml:space="preserve"> </v>
      </c>
    </row>
    <row r="861" spans="1:20" x14ac:dyDescent="0.25">
      <c r="A861" s="157"/>
      <c r="B861" s="6">
        <v>1</v>
      </c>
      <c r="C861" s="9" t="s">
        <v>353</v>
      </c>
      <c r="D861" s="6" t="s">
        <v>109</v>
      </c>
      <c r="E861" s="17" t="str">
        <f>VLOOKUP(C861,Resources!B:G,3,FALSE)</f>
        <v>S</v>
      </c>
      <c r="F861" s="12">
        <v>1</v>
      </c>
      <c r="G861" s="12">
        <v>1</v>
      </c>
      <c r="H861" s="12">
        <f>H860*7500</f>
        <v>7500</v>
      </c>
      <c r="I861" s="12">
        <f>VLOOKUP(C861,Resources!B:G,6,FALSE)</f>
        <v>1</v>
      </c>
      <c r="J861" s="21">
        <f t="shared" ref="J861" si="1438">(H861/G861)*I861*F861</f>
        <v>7500</v>
      </c>
      <c r="K861" s="21">
        <f t="shared" ref="K861" si="1439">IF(E861="M"," ",L861*F861)</f>
        <v>7500</v>
      </c>
      <c r="L861" s="24">
        <f t="shared" ref="L861" si="1440">IF(E861="M"," ",H861/G861)</f>
        <v>7500</v>
      </c>
      <c r="M861" s="24">
        <f>IF($E861="L",$J861,0)</f>
        <v>0</v>
      </c>
      <c r="N861" s="24">
        <f>IF($E861="M",$J861,0)</f>
        <v>0</v>
      </c>
      <c r="O861" s="24">
        <f>IF($E861="P",$J861,0)</f>
        <v>0</v>
      </c>
      <c r="P861" s="24">
        <f>IF($E861="S",$J861,0)</f>
        <v>7500</v>
      </c>
      <c r="Q861" s="24">
        <f>SUM(M861:P861)</f>
        <v>7500</v>
      </c>
      <c r="R861" s="87">
        <v>66</v>
      </c>
      <c r="T861" s="235" t="str">
        <f t="shared" si="1402"/>
        <v xml:space="preserve"> </v>
      </c>
    </row>
    <row r="862" spans="1:20" x14ac:dyDescent="0.25">
      <c r="F862" s="11"/>
      <c r="G862" s="11"/>
      <c r="H862" s="11"/>
      <c r="I862" s="11"/>
      <c r="J862" s="11"/>
      <c r="K862" s="11"/>
      <c r="R862" s="88"/>
      <c r="T862" s="235" t="str">
        <f t="shared" si="1402"/>
        <v xml:space="preserve"> </v>
      </c>
    </row>
    <row r="863" spans="1:20" ht="30" x14ac:dyDescent="0.25">
      <c r="A863" s="156"/>
      <c r="B863" s="3" t="s">
        <v>354</v>
      </c>
      <c r="C863" s="3" t="s">
        <v>355</v>
      </c>
      <c r="D863" s="4"/>
      <c r="E863" s="15"/>
      <c r="F863" s="10"/>
      <c r="G863" s="10"/>
      <c r="H863" s="10"/>
      <c r="I863" s="10"/>
      <c r="J863" s="10"/>
      <c r="K863" s="10"/>
      <c r="L863" s="23"/>
      <c r="M863" s="23"/>
      <c r="N863" s="23"/>
      <c r="O863" s="23"/>
      <c r="P863" s="23"/>
      <c r="Q863" s="23"/>
      <c r="R863" s="86"/>
      <c r="T863" s="235" t="str">
        <f t="shared" si="1402"/>
        <v xml:space="preserve"> </v>
      </c>
    </row>
    <row r="864" spans="1:20" ht="45" x14ac:dyDescent="0.25">
      <c r="A864" s="156">
        <v>109</v>
      </c>
      <c r="B864" s="3" t="s">
        <v>356</v>
      </c>
      <c r="C864" s="3" t="s">
        <v>601</v>
      </c>
      <c r="D864" s="4" t="s">
        <v>32</v>
      </c>
      <c r="E864" s="15"/>
      <c r="F864" s="10"/>
      <c r="G864" s="10"/>
      <c r="H864" s="26">
        <f>VLOOKUP($A864,'Model Inputs'!$A:$C,3,FALSE)</f>
        <v>3.6</v>
      </c>
      <c r="I864" s="10"/>
      <c r="J864" s="10">
        <f>SUBTOTAL(9,J866:J868,J870:J873,J875:J876,J878:J879,J881:J883)</f>
        <v>4014.904430139441</v>
      </c>
      <c r="K864" s="10"/>
      <c r="L864" s="10">
        <f>ROUNDUP(SUM(L870,L875,L878,L881)/Workhrs,0)</f>
        <v>1</v>
      </c>
      <c r="M864" s="10">
        <f>SUBTOTAL(9,M866:M868,M870:M873,M875:M876,M878:M879,M881:M883)</f>
        <v>1401.2999999999997</v>
      </c>
      <c r="N864" s="10">
        <f t="shared" ref="N864:Q864" si="1441">SUBTOTAL(9,N866:N868,N870:N873,N875:N876,N878:N879,N881:N883)</f>
        <v>1078.6044301394409</v>
      </c>
      <c r="O864" s="10">
        <f t="shared" si="1441"/>
        <v>1535</v>
      </c>
      <c r="P864" s="10">
        <f t="shared" si="1441"/>
        <v>0</v>
      </c>
      <c r="Q864" s="10">
        <f t="shared" si="1441"/>
        <v>4014.904430139441</v>
      </c>
      <c r="R864" s="86"/>
      <c r="T864" s="235" t="str">
        <f t="shared" si="1402"/>
        <v xml:space="preserve"> </v>
      </c>
    </row>
    <row r="865" spans="1:21" s="19" customFormat="1" x14ac:dyDescent="0.25">
      <c r="A865" s="159"/>
      <c r="B865" s="28">
        <v>1</v>
      </c>
      <c r="C865" s="29" t="s">
        <v>245</v>
      </c>
      <c r="D865" s="28"/>
      <c r="E865" s="30"/>
      <c r="F865" s="31"/>
      <c r="G865" s="31"/>
      <c r="H865" s="31"/>
      <c r="I865" s="31"/>
      <c r="J865" s="32"/>
      <c r="K865" s="32"/>
      <c r="L865" s="33"/>
      <c r="M865" s="33"/>
      <c r="N865" s="33"/>
      <c r="O865" s="33"/>
      <c r="P865" s="33"/>
      <c r="Q865" s="33"/>
      <c r="R865" s="89"/>
      <c r="T865" s="235" t="str">
        <f t="shared" si="1402"/>
        <v xml:space="preserve"> </v>
      </c>
      <c r="U865" s="236"/>
    </row>
    <row r="866" spans="1:21" s="18" customFormat="1" x14ac:dyDescent="0.25">
      <c r="A866" s="157"/>
      <c r="B866" s="6">
        <v>2</v>
      </c>
      <c r="C866" s="9" t="s">
        <v>246</v>
      </c>
      <c r="D866" s="6" t="s">
        <v>31</v>
      </c>
      <c r="E866" s="17" t="str">
        <f>VLOOKUP(C866,Resources!B:G,3,FALSE)</f>
        <v>M</v>
      </c>
      <c r="F866" s="12">
        <v>1</v>
      </c>
      <c r="G866" s="12">
        <v>1</v>
      </c>
      <c r="H866" s="12">
        <f>H864/1.2</f>
        <v>3</v>
      </c>
      <c r="I866" s="12">
        <f>VLOOKUP(C866,Resources!B:G,6,FALSE)</f>
        <v>247.5</v>
      </c>
      <c r="J866" s="21">
        <f t="shared" ref="J866:J868" si="1442">(H866/G866)*I866*F866</f>
        <v>742.5</v>
      </c>
      <c r="K866" s="21" t="str">
        <f t="shared" ref="K866:K868" si="1443">IF(E866="M"," ",L866*F866)</f>
        <v xml:space="preserve"> </v>
      </c>
      <c r="L866" s="24" t="str">
        <f t="shared" ref="L866:L868" si="1444">IF(E866="M"," ",H866/G866)</f>
        <v xml:space="preserve"> </v>
      </c>
      <c r="M866" s="24">
        <f t="shared" ref="M866:M868" si="1445">IF($E866="L",$J866,0)</f>
        <v>0</v>
      </c>
      <c r="N866" s="24">
        <f t="shared" ref="N866:N868" si="1446">IF($E866="M",$J866,0)</f>
        <v>742.5</v>
      </c>
      <c r="O866" s="24">
        <f t="shared" ref="O866:O868" si="1447">IF($E866="P",$J866,0)</f>
        <v>0</v>
      </c>
      <c r="P866" s="24">
        <f t="shared" ref="P866:P868" si="1448">IF($E866="S",$J866,0)</f>
        <v>0</v>
      </c>
      <c r="Q866" s="24">
        <f t="shared" ref="Q866:Q868" si="1449">SUM(M866:P866)</f>
        <v>742.5</v>
      </c>
      <c r="R866" s="87" t="s">
        <v>545</v>
      </c>
      <c r="T866" s="235" t="str">
        <f t="shared" si="1402"/>
        <v xml:space="preserve"> </v>
      </c>
      <c r="U866" s="232"/>
    </row>
    <row r="867" spans="1:21" s="18" customFormat="1" x14ac:dyDescent="0.25">
      <c r="A867" s="157"/>
      <c r="B867" s="6">
        <v>3</v>
      </c>
      <c r="C867" s="9" t="s">
        <v>189</v>
      </c>
      <c r="D867" s="6" t="s">
        <v>100</v>
      </c>
      <c r="E867" s="17" t="str">
        <f>VLOOKUP(C867,Resources!B:G,3,FALSE)</f>
        <v>M</v>
      </c>
      <c r="F867" s="12">
        <v>1</v>
      </c>
      <c r="G867" s="12">
        <v>1</v>
      </c>
      <c r="H867" s="12">
        <f>H864/2.7169</f>
        <v>1.3250395671537414</v>
      </c>
      <c r="I867" s="12">
        <f>VLOOKUP(C867,Resources!B:G,6,FALSE)</f>
        <v>28</v>
      </c>
      <c r="J867" s="21">
        <f t="shared" si="1442"/>
        <v>37.10110788030476</v>
      </c>
      <c r="K867" s="21" t="str">
        <f t="shared" si="1443"/>
        <v xml:space="preserve"> </v>
      </c>
      <c r="L867" s="24" t="str">
        <f t="shared" si="1444"/>
        <v xml:space="preserve"> </v>
      </c>
      <c r="M867" s="24">
        <f t="shared" si="1445"/>
        <v>0</v>
      </c>
      <c r="N867" s="24">
        <f t="shared" si="1446"/>
        <v>37.10110788030476</v>
      </c>
      <c r="O867" s="24">
        <f t="shared" si="1447"/>
        <v>0</v>
      </c>
      <c r="P867" s="24">
        <f t="shared" si="1448"/>
        <v>0</v>
      </c>
      <c r="Q867" s="24">
        <f t="shared" si="1449"/>
        <v>37.10110788030476</v>
      </c>
      <c r="R867" s="87" t="s">
        <v>542</v>
      </c>
      <c r="T867" s="235" t="str">
        <f t="shared" si="1402"/>
        <v>y</v>
      </c>
      <c r="U867" s="232"/>
    </row>
    <row r="868" spans="1:21" s="18" customFormat="1" x14ac:dyDescent="0.25">
      <c r="A868" s="157"/>
      <c r="B868" s="6">
        <v>4</v>
      </c>
      <c r="C868" s="9" t="s">
        <v>194</v>
      </c>
      <c r="D868" s="6" t="s">
        <v>180</v>
      </c>
      <c r="E868" s="17" t="str">
        <f>VLOOKUP(C868,Resources!B:G,3,FALSE)</f>
        <v>M</v>
      </c>
      <c r="F868" s="12">
        <v>1</v>
      </c>
      <c r="G868" s="12">
        <v>1</v>
      </c>
      <c r="H868" s="12">
        <f>H864/3.913</f>
        <v>0.92001022233580376</v>
      </c>
      <c r="I868" s="12">
        <f>VLOOKUP(C868,Resources!B:G,6,FALSE)</f>
        <v>325</v>
      </c>
      <c r="J868" s="21">
        <f t="shared" si="1442"/>
        <v>299.00332225913621</v>
      </c>
      <c r="K868" s="21" t="str">
        <f t="shared" si="1443"/>
        <v xml:space="preserve"> </v>
      </c>
      <c r="L868" s="24" t="str">
        <f t="shared" si="1444"/>
        <v xml:space="preserve"> </v>
      </c>
      <c r="M868" s="24">
        <f t="shared" si="1445"/>
        <v>0</v>
      </c>
      <c r="N868" s="24">
        <f t="shared" si="1446"/>
        <v>299.00332225913621</v>
      </c>
      <c r="O868" s="24">
        <f t="shared" si="1447"/>
        <v>0</v>
      </c>
      <c r="P868" s="24">
        <f t="shared" si="1448"/>
        <v>0</v>
      </c>
      <c r="Q868" s="24">
        <f t="shared" si="1449"/>
        <v>299.00332225913621</v>
      </c>
      <c r="R868" s="87" t="s">
        <v>543</v>
      </c>
      <c r="T868" s="235" t="str">
        <f t="shared" si="1402"/>
        <v xml:space="preserve"> </v>
      </c>
      <c r="U868" s="232"/>
    </row>
    <row r="869" spans="1:21" s="19" customFormat="1" x14ac:dyDescent="0.25">
      <c r="A869" s="159"/>
      <c r="B869" s="28">
        <v>5</v>
      </c>
      <c r="C869" s="29" t="s">
        <v>247</v>
      </c>
      <c r="D869" s="28"/>
      <c r="E869" s="30"/>
      <c r="F869" s="31"/>
      <c r="G869" s="31"/>
      <c r="H869" s="31"/>
      <c r="I869" s="31"/>
      <c r="J869" s="32"/>
      <c r="K869" s="32"/>
      <c r="L869" s="33"/>
      <c r="M869" s="33"/>
      <c r="N869" s="33"/>
      <c r="O869" s="33"/>
      <c r="P869" s="33"/>
      <c r="Q869" s="33"/>
      <c r="R869" s="89"/>
      <c r="T869" s="235" t="str">
        <f t="shared" si="1402"/>
        <v xml:space="preserve"> </v>
      </c>
      <c r="U869" s="236"/>
    </row>
    <row r="870" spans="1:21" s="18" customFormat="1" x14ac:dyDescent="0.25">
      <c r="A870" s="157">
        <v>109.1</v>
      </c>
      <c r="B870" s="6">
        <v>6</v>
      </c>
      <c r="C870" s="9" t="s">
        <v>70</v>
      </c>
      <c r="D870" s="6" t="s">
        <v>26</v>
      </c>
      <c r="E870" s="17" t="str">
        <f>VLOOKUP(C870,Resources!B:G,3,FALSE)</f>
        <v>P</v>
      </c>
      <c r="F870" s="12">
        <v>1</v>
      </c>
      <c r="G870" s="26">
        <f>VLOOKUP($A870,'Model Inputs'!$A:$C,3,FALSE)</f>
        <v>1.8</v>
      </c>
      <c r="H870" s="12">
        <f>H864</f>
        <v>3.6</v>
      </c>
      <c r="I870" s="12">
        <f>VLOOKUP(C870,Resources!B:G,6,FALSE)</f>
        <v>135</v>
      </c>
      <c r="J870" s="21">
        <f t="shared" ref="J870:J873" si="1450">(H870/G870)*I870*F870</f>
        <v>270</v>
      </c>
      <c r="K870" s="21">
        <f t="shared" ref="K870:K873" si="1451">IF(E870="M"," ",L870*F870)</f>
        <v>2</v>
      </c>
      <c r="L870" s="24">
        <f t="shared" ref="L870:L873" si="1452">IF(E870="M"," ",H870/G870)</f>
        <v>2</v>
      </c>
      <c r="M870" s="24">
        <f t="shared" ref="M870:M873" si="1453">IF($E870="L",$J870,0)</f>
        <v>0</v>
      </c>
      <c r="N870" s="24">
        <f t="shared" ref="N870:N873" si="1454">IF($E870="M",$J870,0)</f>
        <v>0</v>
      </c>
      <c r="O870" s="24">
        <f t="shared" ref="O870:O873" si="1455">IF($E870="P",$J870,0)</f>
        <v>270</v>
      </c>
      <c r="P870" s="24">
        <f t="shared" ref="P870:P873" si="1456">IF($E870="S",$J870,0)</f>
        <v>0</v>
      </c>
      <c r="Q870" s="24">
        <f t="shared" ref="Q870:Q873" si="1457">SUM(M870:P870)</f>
        <v>270</v>
      </c>
      <c r="R870" s="87">
        <v>181</v>
      </c>
      <c r="T870" s="235" t="str">
        <f t="shared" si="1402"/>
        <v xml:space="preserve"> </v>
      </c>
      <c r="U870" s="232"/>
    </row>
    <row r="871" spans="1:21" s="18" customFormat="1" x14ac:dyDescent="0.25">
      <c r="A871" s="157"/>
      <c r="B871" s="6">
        <v>7</v>
      </c>
      <c r="C871" s="9" t="s">
        <v>27</v>
      </c>
      <c r="D871" s="6" t="s">
        <v>26</v>
      </c>
      <c r="E871" s="17" t="str">
        <f>VLOOKUP(C871,Resources!B:G,3,FALSE)</f>
        <v>P</v>
      </c>
      <c r="F871" s="12">
        <v>1</v>
      </c>
      <c r="G871" s="12">
        <f>G870</f>
        <v>1.8</v>
      </c>
      <c r="H871" s="12">
        <f>H864</f>
        <v>3.6</v>
      </c>
      <c r="I871" s="12">
        <f>VLOOKUP(C871,Resources!B:G,6,FALSE)</f>
        <v>90</v>
      </c>
      <c r="J871" s="21">
        <f t="shared" si="1450"/>
        <v>180</v>
      </c>
      <c r="K871" s="21">
        <f t="shared" si="1451"/>
        <v>2</v>
      </c>
      <c r="L871" s="24">
        <f t="shared" si="1452"/>
        <v>2</v>
      </c>
      <c r="M871" s="24">
        <f t="shared" si="1453"/>
        <v>0</v>
      </c>
      <c r="N871" s="24">
        <f t="shared" si="1454"/>
        <v>0</v>
      </c>
      <c r="O871" s="24">
        <f t="shared" si="1455"/>
        <v>180</v>
      </c>
      <c r="P871" s="24">
        <f t="shared" si="1456"/>
        <v>0</v>
      </c>
      <c r="Q871" s="24">
        <f t="shared" si="1457"/>
        <v>180</v>
      </c>
      <c r="R871" s="87">
        <v>181</v>
      </c>
      <c r="T871" s="235" t="str">
        <f t="shared" si="1402"/>
        <v xml:space="preserve"> </v>
      </c>
      <c r="U871" s="232"/>
    </row>
    <row r="872" spans="1:21" s="18" customFormat="1" x14ac:dyDescent="0.25">
      <c r="A872" s="157"/>
      <c r="B872" s="6">
        <v>8</v>
      </c>
      <c r="C872" s="9" t="s">
        <v>28</v>
      </c>
      <c r="D872" s="6" t="s">
        <v>26</v>
      </c>
      <c r="E872" s="17" t="str">
        <f>VLOOKUP(C872,Resources!B:G,3,FALSE)</f>
        <v>P</v>
      </c>
      <c r="F872" s="12">
        <v>1</v>
      </c>
      <c r="G872" s="12">
        <f>G870</f>
        <v>1.8</v>
      </c>
      <c r="H872" s="12">
        <f>H864</f>
        <v>3.6</v>
      </c>
      <c r="I872" s="12">
        <f>VLOOKUP(C872,Resources!B:G,6,FALSE)</f>
        <v>95</v>
      </c>
      <c r="J872" s="21">
        <f t="shared" si="1450"/>
        <v>190</v>
      </c>
      <c r="K872" s="21">
        <f t="shared" si="1451"/>
        <v>2</v>
      </c>
      <c r="L872" s="24">
        <f t="shared" si="1452"/>
        <v>2</v>
      </c>
      <c r="M872" s="24">
        <f t="shared" si="1453"/>
        <v>0</v>
      </c>
      <c r="N872" s="24">
        <f t="shared" si="1454"/>
        <v>0</v>
      </c>
      <c r="O872" s="24">
        <f t="shared" si="1455"/>
        <v>190</v>
      </c>
      <c r="P872" s="24">
        <f t="shared" si="1456"/>
        <v>0</v>
      </c>
      <c r="Q872" s="24">
        <f t="shared" si="1457"/>
        <v>190</v>
      </c>
      <c r="R872" s="87">
        <v>181</v>
      </c>
      <c r="T872" s="235" t="str">
        <f t="shared" si="1402"/>
        <v xml:space="preserve"> </v>
      </c>
      <c r="U872" s="232"/>
    </row>
    <row r="873" spans="1:21" s="18" customFormat="1" x14ac:dyDescent="0.25">
      <c r="A873" s="157"/>
      <c r="B873" s="6">
        <v>9</v>
      </c>
      <c r="C873" s="9" t="s">
        <v>8</v>
      </c>
      <c r="D873" s="6" t="s">
        <v>26</v>
      </c>
      <c r="E873" s="17" t="str">
        <f>VLOOKUP(C873,Resources!B:G,3,FALSE)</f>
        <v>L</v>
      </c>
      <c r="F873" s="12">
        <v>3</v>
      </c>
      <c r="G873" s="12">
        <f>G870</f>
        <v>1.8</v>
      </c>
      <c r="H873" s="12">
        <f>H864</f>
        <v>3.6</v>
      </c>
      <c r="I873" s="12">
        <f>VLOOKUP(C873,Resources!B:G,6,FALSE)</f>
        <v>51.9</v>
      </c>
      <c r="J873" s="21">
        <f t="shared" si="1450"/>
        <v>311.39999999999998</v>
      </c>
      <c r="K873" s="21">
        <f t="shared" si="1451"/>
        <v>6</v>
      </c>
      <c r="L873" s="24">
        <f t="shared" si="1452"/>
        <v>2</v>
      </c>
      <c r="M873" s="24">
        <f t="shared" si="1453"/>
        <v>311.39999999999998</v>
      </c>
      <c r="N873" s="24">
        <f t="shared" si="1454"/>
        <v>0</v>
      </c>
      <c r="O873" s="24">
        <f t="shared" si="1455"/>
        <v>0</v>
      </c>
      <c r="P873" s="24">
        <f t="shared" si="1456"/>
        <v>0</v>
      </c>
      <c r="Q873" s="24">
        <f t="shared" si="1457"/>
        <v>311.39999999999998</v>
      </c>
      <c r="R873" s="87">
        <v>181</v>
      </c>
      <c r="T873" s="235" t="str">
        <f t="shared" si="1402"/>
        <v xml:space="preserve"> </v>
      </c>
      <c r="U873" s="232"/>
    </row>
    <row r="874" spans="1:21" s="19" customFormat="1" x14ac:dyDescent="0.25">
      <c r="A874" s="157"/>
      <c r="B874" s="28">
        <v>10</v>
      </c>
      <c r="C874" s="29" t="s">
        <v>248</v>
      </c>
      <c r="D874" s="28"/>
      <c r="E874" s="30"/>
      <c r="F874" s="31"/>
      <c r="G874" s="31"/>
      <c r="H874" s="31"/>
      <c r="I874" s="31"/>
      <c r="J874" s="32"/>
      <c r="K874" s="32"/>
      <c r="L874" s="33"/>
      <c r="M874" s="33"/>
      <c r="N874" s="33"/>
      <c r="O874" s="33"/>
      <c r="P874" s="33"/>
      <c r="Q874" s="33"/>
      <c r="R874" s="87"/>
      <c r="T874" s="235" t="str">
        <f t="shared" si="1402"/>
        <v xml:space="preserve"> </v>
      </c>
      <c r="U874" s="236"/>
    </row>
    <row r="875" spans="1:21" s="18" customFormat="1" x14ac:dyDescent="0.25">
      <c r="A875" s="157">
        <v>109.2</v>
      </c>
      <c r="B875" s="6">
        <v>11</v>
      </c>
      <c r="C875" s="9" t="s">
        <v>82</v>
      </c>
      <c r="D875" s="6" t="s">
        <v>26</v>
      </c>
      <c r="E875" s="17" t="str">
        <f>VLOOKUP(C875,Resources!B:G,3,FALSE)</f>
        <v>P</v>
      </c>
      <c r="F875" s="12">
        <v>1</v>
      </c>
      <c r="G875" s="26">
        <f>VLOOKUP($A875,'Model Inputs'!$A:$C,3,FALSE)</f>
        <v>0.9</v>
      </c>
      <c r="H875" s="12">
        <f>H864</f>
        <v>3.6</v>
      </c>
      <c r="I875" s="12">
        <f>VLOOKUP(C875,Resources!B:G,6,FALSE)</f>
        <v>95</v>
      </c>
      <c r="J875" s="21">
        <f t="shared" ref="J875:J876" si="1458">(H875/G875)*I875*F875</f>
        <v>380</v>
      </c>
      <c r="K875" s="21">
        <f t="shared" ref="K875:K876" si="1459">IF(E875="M"," ",L875*F875)</f>
        <v>4</v>
      </c>
      <c r="L875" s="24">
        <f t="shared" ref="L875:L876" si="1460">IF(E875="M"," ",H875/G875)</f>
        <v>4</v>
      </c>
      <c r="M875" s="24">
        <f t="shared" ref="M875:M876" si="1461">IF($E875="L",$J875,0)</f>
        <v>0</v>
      </c>
      <c r="N875" s="24">
        <f t="shared" ref="N875:N876" si="1462">IF($E875="M",$J875,0)</f>
        <v>0</v>
      </c>
      <c r="O875" s="24">
        <f t="shared" ref="O875:O876" si="1463">IF($E875="P",$J875,0)</f>
        <v>380</v>
      </c>
      <c r="P875" s="24">
        <f t="shared" ref="P875:P876" si="1464">IF($E875="S",$J875,0)</f>
        <v>0</v>
      </c>
      <c r="Q875" s="24">
        <f t="shared" ref="Q875:Q876" si="1465">SUM(M875:P875)</f>
        <v>380</v>
      </c>
      <c r="R875" s="87">
        <v>181</v>
      </c>
      <c r="T875" s="235" t="str">
        <f t="shared" si="1402"/>
        <v xml:space="preserve"> </v>
      </c>
      <c r="U875" s="232"/>
    </row>
    <row r="876" spans="1:21" s="18" customFormat="1" x14ac:dyDescent="0.25">
      <c r="A876" s="157"/>
      <c r="B876" s="6">
        <v>12</v>
      </c>
      <c r="C876" s="9" t="s">
        <v>8</v>
      </c>
      <c r="D876" s="6" t="s">
        <v>26</v>
      </c>
      <c r="E876" s="17" t="str">
        <f>VLOOKUP(C876,Resources!B:G,3,FALSE)</f>
        <v>L</v>
      </c>
      <c r="F876" s="12">
        <v>3</v>
      </c>
      <c r="G876" s="12">
        <f>G875</f>
        <v>0.9</v>
      </c>
      <c r="H876" s="12">
        <f>H864</f>
        <v>3.6</v>
      </c>
      <c r="I876" s="12">
        <f>VLOOKUP(C876,Resources!B:G,6,FALSE)</f>
        <v>51.9</v>
      </c>
      <c r="J876" s="21">
        <f t="shared" si="1458"/>
        <v>622.79999999999995</v>
      </c>
      <c r="K876" s="21">
        <f t="shared" si="1459"/>
        <v>12</v>
      </c>
      <c r="L876" s="24">
        <f t="shared" si="1460"/>
        <v>4</v>
      </c>
      <c r="M876" s="24">
        <f t="shared" si="1461"/>
        <v>622.79999999999995</v>
      </c>
      <c r="N876" s="24">
        <f t="shared" si="1462"/>
        <v>0</v>
      </c>
      <c r="O876" s="24">
        <f t="shared" si="1463"/>
        <v>0</v>
      </c>
      <c r="P876" s="24">
        <f t="shared" si="1464"/>
        <v>0</v>
      </c>
      <c r="Q876" s="24">
        <f t="shared" si="1465"/>
        <v>622.79999999999995</v>
      </c>
      <c r="R876" s="87">
        <v>181</v>
      </c>
      <c r="T876" s="235" t="str">
        <f t="shared" si="1402"/>
        <v xml:space="preserve"> </v>
      </c>
      <c r="U876" s="232"/>
    </row>
    <row r="877" spans="1:21" s="19" customFormat="1" x14ac:dyDescent="0.25">
      <c r="A877" s="157"/>
      <c r="B877" s="28">
        <v>13</v>
      </c>
      <c r="C877" s="29" t="s">
        <v>249</v>
      </c>
      <c r="D877" s="28"/>
      <c r="E877" s="30"/>
      <c r="F877" s="31"/>
      <c r="G877" s="31"/>
      <c r="H877" s="31"/>
      <c r="I877" s="31"/>
      <c r="J877" s="32"/>
      <c r="K877" s="32"/>
      <c r="L877" s="33"/>
      <c r="M877" s="33"/>
      <c r="N877" s="33"/>
      <c r="O877" s="33"/>
      <c r="P877" s="33"/>
      <c r="Q877" s="33"/>
      <c r="R877" s="87"/>
      <c r="T877" s="235" t="str">
        <f t="shared" si="1402"/>
        <v xml:space="preserve"> </v>
      </c>
      <c r="U877" s="236"/>
    </row>
    <row r="878" spans="1:21" s="18" customFormat="1" x14ac:dyDescent="0.25">
      <c r="A878" s="157">
        <v>109.3</v>
      </c>
      <c r="B878" s="6">
        <v>14</v>
      </c>
      <c r="C878" s="9" t="s">
        <v>70</v>
      </c>
      <c r="D878" s="6" t="s">
        <v>26</v>
      </c>
      <c r="E878" s="17" t="str">
        <f>VLOOKUP(C878,Resources!B:G,3,FALSE)</f>
        <v>P</v>
      </c>
      <c r="F878" s="12">
        <v>1</v>
      </c>
      <c r="G878" s="26">
        <f>VLOOKUP($A878,'Model Inputs'!$A:$C,3,FALSE)</f>
        <v>3</v>
      </c>
      <c r="H878" s="12">
        <f>H866</f>
        <v>3</v>
      </c>
      <c r="I878" s="12">
        <f>VLOOKUP(C878,Resources!B:G,6,FALSE)</f>
        <v>135</v>
      </c>
      <c r="J878" s="21">
        <f t="shared" ref="J878:J879" si="1466">(H878/G878)*I878*F878</f>
        <v>135</v>
      </c>
      <c r="K878" s="21">
        <f t="shared" ref="K878:K879" si="1467">IF(E878="M"," ",L878*F878)</f>
        <v>1</v>
      </c>
      <c r="L878" s="24">
        <f t="shared" ref="L878:L879" si="1468">IF(E878="M"," ",H878/G878)</f>
        <v>1</v>
      </c>
      <c r="M878" s="24">
        <f t="shared" ref="M878:M879" si="1469">IF($E878="L",$J878,0)</f>
        <v>0</v>
      </c>
      <c r="N878" s="24">
        <f t="shared" ref="N878:N879" si="1470">IF($E878="M",$J878,0)</f>
        <v>0</v>
      </c>
      <c r="O878" s="24">
        <f t="shared" ref="O878:O879" si="1471">IF($E878="P",$J878,0)</f>
        <v>135</v>
      </c>
      <c r="P878" s="24">
        <f t="shared" ref="P878:P879" si="1472">IF($E878="S",$J878,0)</f>
        <v>0</v>
      </c>
      <c r="Q878" s="24">
        <f t="shared" ref="Q878:Q879" si="1473">SUM(M878:P878)</f>
        <v>135</v>
      </c>
      <c r="R878" s="87">
        <v>181</v>
      </c>
      <c r="T878" s="235" t="str">
        <f t="shared" si="1402"/>
        <v xml:space="preserve"> </v>
      </c>
      <c r="U878" s="232"/>
    </row>
    <row r="879" spans="1:21" s="18" customFormat="1" x14ac:dyDescent="0.25">
      <c r="A879" s="157"/>
      <c r="B879" s="6">
        <v>15</v>
      </c>
      <c r="C879" s="9" t="s">
        <v>8</v>
      </c>
      <c r="D879" s="6" t="s">
        <v>26</v>
      </c>
      <c r="E879" s="17" t="str">
        <f>VLOOKUP(C879,Resources!B:G,3,FALSE)</f>
        <v>L</v>
      </c>
      <c r="F879" s="12">
        <v>3</v>
      </c>
      <c r="G879" s="12">
        <f>G878</f>
        <v>3</v>
      </c>
      <c r="H879" s="12">
        <f>H866</f>
        <v>3</v>
      </c>
      <c r="I879" s="12">
        <f>VLOOKUP(C879,Resources!B:G,6,FALSE)</f>
        <v>51.9</v>
      </c>
      <c r="J879" s="21">
        <f t="shared" si="1466"/>
        <v>155.69999999999999</v>
      </c>
      <c r="K879" s="21">
        <f t="shared" si="1467"/>
        <v>3</v>
      </c>
      <c r="L879" s="24">
        <f t="shared" si="1468"/>
        <v>1</v>
      </c>
      <c r="M879" s="24">
        <f t="shared" si="1469"/>
        <v>155.69999999999999</v>
      </c>
      <c r="N879" s="24">
        <f t="shared" si="1470"/>
        <v>0</v>
      </c>
      <c r="O879" s="24">
        <f t="shared" si="1471"/>
        <v>0</v>
      </c>
      <c r="P879" s="24">
        <f t="shared" si="1472"/>
        <v>0</v>
      </c>
      <c r="Q879" s="24">
        <f t="shared" si="1473"/>
        <v>155.69999999999999</v>
      </c>
      <c r="R879" s="87">
        <v>181</v>
      </c>
      <c r="T879" s="235" t="str">
        <f t="shared" si="1402"/>
        <v xml:space="preserve"> </v>
      </c>
      <c r="U879" s="232"/>
    </row>
    <row r="880" spans="1:21" s="19" customFormat="1" x14ac:dyDescent="0.25">
      <c r="A880" s="157"/>
      <c r="B880" s="28">
        <v>16</v>
      </c>
      <c r="C880" s="29" t="s">
        <v>197</v>
      </c>
      <c r="D880" s="28"/>
      <c r="E880" s="30"/>
      <c r="F880" s="31"/>
      <c r="G880" s="31"/>
      <c r="H880" s="31"/>
      <c r="I880" s="31"/>
      <c r="J880" s="32"/>
      <c r="K880" s="32"/>
      <c r="L880" s="33"/>
      <c r="M880" s="33"/>
      <c r="N880" s="33"/>
      <c r="O880" s="33"/>
      <c r="P880" s="33"/>
      <c r="Q880" s="33"/>
      <c r="R880" s="87"/>
      <c r="T880" s="235" t="str">
        <f t="shared" si="1402"/>
        <v xml:space="preserve"> </v>
      </c>
      <c r="U880" s="236"/>
    </row>
    <row r="881" spans="1:21" x14ac:dyDescent="0.25">
      <c r="A881" s="157">
        <v>109.4</v>
      </c>
      <c r="B881" s="6">
        <v>17</v>
      </c>
      <c r="C881" s="9" t="s">
        <v>82</v>
      </c>
      <c r="D881" s="6" t="s">
        <v>26</v>
      </c>
      <c r="E881" s="17" t="str">
        <f>VLOOKUP(C881,Resources!B:G,3,FALSE)</f>
        <v>P</v>
      </c>
      <c r="F881" s="12">
        <v>1</v>
      </c>
      <c r="G881" s="26">
        <f>VLOOKUP($A881,'Model Inputs'!$A:$C,3,FALSE)</f>
        <v>1.8</v>
      </c>
      <c r="H881" s="12">
        <f>H864</f>
        <v>3.6</v>
      </c>
      <c r="I881" s="12">
        <f>VLOOKUP(C881,Resources!B:G,6,FALSE)</f>
        <v>95</v>
      </c>
      <c r="J881" s="21">
        <f t="shared" ref="J881:J883" si="1474">(H881/G881)*I881*F881</f>
        <v>190</v>
      </c>
      <c r="K881" s="21">
        <f t="shared" ref="K881:K883" si="1475">IF(E881="M"," ",L881*F881)</f>
        <v>2</v>
      </c>
      <c r="L881" s="24">
        <f t="shared" ref="L881:L883" si="1476">IF(E881="M"," ",H881/G881)</f>
        <v>2</v>
      </c>
      <c r="M881" s="24">
        <f t="shared" ref="M881:M883" si="1477">IF($E881="L",$J881,0)</f>
        <v>0</v>
      </c>
      <c r="N881" s="24">
        <f t="shared" ref="N881:N883" si="1478">IF($E881="M",$J881,0)</f>
        <v>0</v>
      </c>
      <c r="O881" s="24">
        <f t="shared" ref="O881:O883" si="1479">IF($E881="P",$J881,0)</f>
        <v>190</v>
      </c>
      <c r="P881" s="24">
        <f t="shared" ref="P881:P883" si="1480">IF($E881="S",$J881,0)</f>
        <v>0</v>
      </c>
      <c r="Q881" s="24">
        <f t="shared" ref="Q881:Q883" si="1481">SUM(M881:P881)</f>
        <v>190</v>
      </c>
      <c r="R881" s="87">
        <v>181</v>
      </c>
      <c r="T881" s="235" t="str">
        <f t="shared" si="1402"/>
        <v xml:space="preserve"> </v>
      </c>
    </row>
    <row r="882" spans="1:21" x14ac:dyDescent="0.25">
      <c r="A882" s="157"/>
      <c r="B882" s="6">
        <v>18</v>
      </c>
      <c r="C882" s="9" t="s">
        <v>28</v>
      </c>
      <c r="D882" s="6" t="s">
        <v>26</v>
      </c>
      <c r="E882" s="17" t="str">
        <f>VLOOKUP(C882,Resources!B:G,3,FALSE)</f>
        <v>P</v>
      </c>
      <c r="F882" s="12">
        <v>1</v>
      </c>
      <c r="G882" s="12">
        <f>G881</f>
        <v>1.8</v>
      </c>
      <c r="H882" s="12">
        <f>H864</f>
        <v>3.6</v>
      </c>
      <c r="I882" s="12">
        <f>VLOOKUP(C882,Resources!B:G,6,FALSE)</f>
        <v>95</v>
      </c>
      <c r="J882" s="21">
        <f t="shared" si="1474"/>
        <v>190</v>
      </c>
      <c r="K882" s="21">
        <f t="shared" si="1475"/>
        <v>2</v>
      </c>
      <c r="L882" s="24">
        <f t="shared" si="1476"/>
        <v>2</v>
      </c>
      <c r="M882" s="24">
        <f t="shared" si="1477"/>
        <v>0</v>
      </c>
      <c r="N882" s="24">
        <f t="shared" si="1478"/>
        <v>0</v>
      </c>
      <c r="O882" s="24">
        <f t="shared" si="1479"/>
        <v>190</v>
      </c>
      <c r="P882" s="24">
        <f t="shared" si="1480"/>
        <v>0</v>
      </c>
      <c r="Q882" s="24">
        <f t="shared" si="1481"/>
        <v>190</v>
      </c>
      <c r="R882" s="87">
        <v>181</v>
      </c>
      <c r="T882" s="235" t="str">
        <f t="shared" si="1402"/>
        <v xml:space="preserve"> </v>
      </c>
    </row>
    <row r="883" spans="1:21" x14ac:dyDescent="0.25">
      <c r="A883" s="157"/>
      <c r="B883" s="6">
        <v>19</v>
      </c>
      <c r="C883" s="9" t="s">
        <v>8</v>
      </c>
      <c r="D883" s="6" t="s">
        <v>26</v>
      </c>
      <c r="E883" s="17" t="str">
        <f>VLOOKUP(C883,Resources!B:G,3,FALSE)</f>
        <v>L</v>
      </c>
      <c r="F883" s="12">
        <v>3</v>
      </c>
      <c r="G883" s="12">
        <f>G881</f>
        <v>1.8</v>
      </c>
      <c r="H883" s="12">
        <f>H864</f>
        <v>3.6</v>
      </c>
      <c r="I883" s="12">
        <f>VLOOKUP(C883,Resources!B:G,6,FALSE)</f>
        <v>51.9</v>
      </c>
      <c r="J883" s="21">
        <f t="shared" si="1474"/>
        <v>311.39999999999998</v>
      </c>
      <c r="K883" s="21">
        <f t="shared" si="1475"/>
        <v>6</v>
      </c>
      <c r="L883" s="24">
        <f t="shared" si="1476"/>
        <v>2</v>
      </c>
      <c r="M883" s="24">
        <f t="shared" si="1477"/>
        <v>311.39999999999998</v>
      </c>
      <c r="N883" s="24">
        <f t="shared" si="1478"/>
        <v>0</v>
      </c>
      <c r="O883" s="24">
        <f t="shared" si="1479"/>
        <v>0</v>
      </c>
      <c r="P883" s="24">
        <f t="shared" si="1480"/>
        <v>0</v>
      </c>
      <c r="Q883" s="24">
        <f t="shared" si="1481"/>
        <v>311.39999999999998</v>
      </c>
      <c r="R883" s="87">
        <v>181</v>
      </c>
      <c r="T883" s="235" t="str">
        <f t="shared" si="1402"/>
        <v xml:space="preserve"> </v>
      </c>
    </row>
    <row r="884" spans="1:21" x14ac:dyDescent="0.25">
      <c r="F884" s="11"/>
      <c r="G884" s="11"/>
      <c r="H884" s="11"/>
      <c r="I884" s="11"/>
      <c r="J884" s="11"/>
      <c r="K884" s="11"/>
      <c r="R884" s="88"/>
      <c r="T884" s="235" t="str">
        <f t="shared" si="1402"/>
        <v xml:space="preserve"> </v>
      </c>
    </row>
    <row r="885" spans="1:21" ht="45" x14ac:dyDescent="0.25">
      <c r="A885" s="156">
        <v>110</v>
      </c>
      <c r="B885" s="3" t="s">
        <v>357</v>
      </c>
      <c r="C885" s="3" t="s">
        <v>602</v>
      </c>
      <c r="D885" s="4" t="s">
        <v>145</v>
      </c>
      <c r="E885" s="15"/>
      <c r="F885" s="10"/>
      <c r="G885" s="10"/>
      <c r="H885" s="26">
        <f>VLOOKUP($A885,'Model Inputs'!$A:$C,3,FALSE)</f>
        <v>1</v>
      </c>
      <c r="I885" s="10"/>
      <c r="J885" s="10">
        <f>SUBTOTAL(9,J886:J887)</f>
        <v>947.8</v>
      </c>
      <c r="K885" s="10"/>
      <c r="L885" s="10">
        <f>ROUNDUP(MAX(L886:L887)/Workhrs,0)</f>
        <v>1</v>
      </c>
      <c r="M885" s="10">
        <f>SUBTOTAL(9,M886:M887)</f>
        <v>622.79999999999995</v>
      </c>
      <c r="N885" s="10">
        <f t="shared" ref="N885:Q885" si="1482">SUBTOTAL(9,N886:N887)</f>
        <v>325</v>
      </c>
      <c r="O885" s="10">
        <f t="shared" si="1482"/>
        <v>0</v>
      </c>
      <c r="P885" s="10">
        <f t="shared" si="1482"/>
        <v>0</v>
      </c>
      <c r="Q885" s="10">
        <f t="shared" si="1482"/>
        <v>947.8</v>
      </c>
      <c r="R885" s="86"/>
      <c r="T885" s="235" t="str">
        <f t="shared" si="1402"/>
        <v xml:space="preserve"> </v>
      </c>
    </row>
    <row r="886" spans="1:21" x14ac:dyDescent="0.25">
      <c r="A886" s="157"/>
      <c r="B886" s="6">
        <v>1</v>
      </c>
      <c r="C886" s="9" t="s">
        <v>194</v>
      </c>
      <c r="D886" s="6" t="s">
        <v>180</v>
      </c>
      <c r="E886" s="17" t="str">
        <f>VLOOKUP(C886,Resources!B:G,3,FALSE)</f>
        <v>M</v>
      </c>
      <c r="F886" s="12">
        <v>1</v>
      </c>
      <c r="G886" s="12">
        <v>1</v>
      </c>
      <c r="H886" s="12">
        <f>H885</f>
        <v>1</v>
      </c>
      <c r="I886" s="12">
        <f>VLOOKUP(C886,Resources!B:G,6,FALSE)</f>
        <v>325</v>
      </c>
      <c r="J886" s="21">
        <f t="shared" ref="J886:J887" si="1483">(H886/G886)*I886*F886</f>
        <v>325</v>
      </c>
      <c r="K886" s="21" t="str">
        <f t="shared" ref="K886:K887" si="1484">IF(E886="M"," ",L886*F886)</f>
        <v xml:space="preserve"> </v>
      </c>
      <c r="L886" s="24" t="str">
        <f t="shared" ref="L886:L887" si="1485">IF(E886="M"," ",H886/G886)</f>
        <v xml:space="preserve"> </v>
      </c>
      <c r="M886" s="24">
        <f t="shared" ref="M886:M887" si="1486">IF($E886="L",$J886,0)</f>
        <v>0</v>
      </c>
      <c r="N886" s="24">
        <f t="shared" ref="N886:N887" si="1487">IF($E886="M",$J886,0)</f>
        <v>325</v>
      </c>
      <c r="O886" s="24">
        <f t="shared" ref="O886:O887" si="1488">IF($E886="P",$J886,0)</f>
        <v>0</v>
      </c>
      <c r="P886" s="24">
        <f t="shared" ref="P886:P887" si="1489">IF($E886="S",$J886,0)</f>
        <v>0</v>
      </c>
      <c r="Q886" s="24">
        <f t="shared" ref="Q886:Q887" si="1490">SUM(M886:P886)</f>
        <v>325</v>
      </c>
      <c r="R886" s="87" t="s">
        <v>543</v>
      </c>
      <c r="T886" s="235" t="str">
        <f t="shared" si="1402"/>
        <v xml:space="preserve"> </v>
      </c>
    </row>
    <row r="887" spans="1:21" x14ac:dyDescent="0.25">
      <c r="A887" s="157">
        <v>110.1</v>
      </c>
      <c r="B887" s="6">
        <v>2</v>
      </c>
      <c r="C887" s="9" t="s">
        <v>8</v>
      </c>
      <c r="D887" s="6" t="s">
        <v>26</v>
      </c>
      <c r="E887" s="17" t="str">
        <f>VLOOKUP(C887,Resources!B:G,3,FALSE)</f>
        <v>L</v>
      </c>
      <c r="F887" s="12">
        <v>3</v>
      </c>
      <c r="G887" s="26">
        <f>VLOOKUP($A887,'Model Inputs'!$A:$C,3,FALSE)</f>
        <v>0.25</v>
      </c>
      <c r="H887" s="12">
        <f>H885</f>
        <v>1</v>
      </c>
      <c r="I887" s="12">
        <f>VLOOKUP(C887,Resources!B:G,6,FALSE)</f>
        <v>51.9</v>
      </c>
      <c r="J887" s="21">
        <f t="shared" si="1483"/>
        <v>622.79999999999995</v>
      </c>
      <c r="K887" s="21">
        <f t="shared" si="1484"/>
        <v>12</v>
      </c>
      <c r="L887" s="24">
        <f t="shared" si="1485"/>
        <v>4</v>
      </c>
      <c r="M887" s="24">
        <f t="shared" si="1486"/>
        <v>622.79999999999995</v>
      </c>
      <c r="N887" s="24">
        <f t="shared" si="1487"/>
        <v>0</v>
      </c>
      <c r="O887" s="24">
        <f t="shared" si="1488"/>
        <v>0</v>
      </c>
      <c r="P887" s="24">
        <f t="shared" si="1489"/>
        <v>0</v>
      </c>
      <c r="Q887" s="24">
        <f t="shared" si="1490"/>
        <v>622.79999999999995</v>
      </c>
      <c r="R887" s="87">
        <v>72</v>
      </c>
      <c r="T887" s="235" t="str">
        <f t="shared" si="1402"/>
        <v xml:space="preserve"> </v>
      </c>
    </row>
    <row r="888" spans="1:21" x14ac:dyDescent="0.25">
      <c r="F888" s="11"/>
      <c r="G888" s="11"/>
      <c r="H888" s="11"/>
      <c r="I888" s="11"/>
      <c r="J888" s="11"/>
      <c r="K888" s="11"/>
      <c r="R888" s="88"/>
      <c r="T888" s="235" t="str">
        <f t="shared" si="1402"/>
        <v xml:space="preserve"> </v>
      </c>
    </row>
    <row r="889" spans="1:21" ht="30" x14ac:dyDescent="0.25">
      <c r="A889" s="156"/>
      <c r="B889" s="3" t="s">
        <v>358</v>
      </c>
      <c r="C889" s="3" t="s">
        <v>359</v>
      </c>
      <c r="D889" s="4"/>
      <c r="E889" s="15"/>
      <c r="F889" s="10"/>
      <c r="G889" s="10"/>
      <c r="H889" s="10"/>
      <c r="I889" s="10"/>
      <c r="J889" s="10"/>
      <c r="K889" s="10"/>
      <c r="L889" s="23"/>
      <c r="M889" s="23"/>
      <c r="N889" s="23"/>
      <c r="O889" s="23"/>
      <c r="P889" s="23"/>
      <c r="Q889" s="23"/>
      <c r="R889" s="86"/>
      <c r="T889" s="235" t="str">
        <f t="shared" si="1402"/>
        <v xml:space="preserve"> </v>
      </c>
    </row>
    <row r="890" spans="1:21" ht="30" x14ac:dyDescent="0.25">
      <c r="A890" s="156"/>
      <c r="B890" s="3" t="s">
        <v>360</v>
      </c>
      <c r="C890" s="3" t="s">
        <v>16</v>
      </c>
      <c r="D890" s="4"/>
      <c r="E890" s="15"/>
      <c r="F890" s="10"/>
      <c r="G890" s="10"/>
      <c r="H890" s="10"/>
      <c r="I890" s="10"/>
      <c r="J890" s="10"/>
      <c r="K890" s="10"/>
      <c r="L890" s="23"/>
      <c r="M890" s="23"/>
      <c r="N890" s="23"/>
      <c r="O890" s="23"/>
      <c r="P890" s="23"/>
      <c r="Q890" s="23"/>
      <c r="R890" s="86"/>
      <c r="T890" s="235" t="str">
        <f t="shared" si="1402"/>
        <v xml:space="preserve"> </v>
      </c>
    </row>
    <row r="891" spans="1:21" ht="60" x14ac:dyDescent="0.25">
      <c r="A891" s="156"/>
      <c r="B891" s="3" t="s">
        <v>361</v>
      </c>
      <c r="C891" s="3" t="s">
        <v>603</v>
      </c>
      <c r="D891" s="4" t="s">
        <v>18</v>
      </c>
      <c r="E891" s="15"/>
      <c r="F891" s="10"/>
      <c r="G891" s="10"/>
      <c r="H891" s="10">
        <v>1</v>
      </c>
      <c r="I891" s="10"/>
      <c r="J891" s="10"/>
      <c r="K891" s="10"/>
      <c r="L891" s="23"/>
      <c r="M891" s="23"/>
      <c r="N891" s="23"/>
      <c r="O891" s="23"/>
      <c r="P891" s="23"/>
      <c r="Q891" s="23"/>
      <c r="R891" s="86"/>
      <c r="T891" s="235" t="str">
        <f t="shared" si="1402"/>
        <v xml:space="preserve"> </v>
      </c>
    </row>
    <row r="892" spans="1:21" x14ac:dyDescent="0.25">
      <c r="B892" s="5">
        <v>1</v>
      </c>
      <c r="C892" s="8" t="s">
        <v>263</v>
      </c>
      <c r="F892" s="11"/>
      <c r="G892" s="11"/>
      <c r="H892" s="11"/>
      <c r="I892" s="11"/>
      <c r="J892" s="11"/>
      <c r="K892" s="11"/>
      <c r="R892" s="88"/>
      <c r="T892" s="235" t="str">
        <f t="shared" si="1402"/>
        <v xml:space="preserve"> </v>
      </c>
    </row>
    <row r="893" spans="1:21" x14ac:dyDescent="0.25">
      <c r="F893" s="11"/>
      <c r="G893" s="11"/>
      <c r="H893" s="11"/>
      <c r="I893" s="11"/>
      <c r="J893" s="11"/>
      <c r="K893" s="11"/>
      <c r="R893" s="88"/>
      <c r="T893" s="235" t="str">
        <f t="shared" si="1402"/>
        <v xml:space="preserve"> </v>
      </c>
    </row>
    <row r="894" spans="1:21" ht="45" x14ac:dyDescent="0.25">
      <c r="A894" s="156">
        <v>111</v>
      </c>
      <c r="B894" s="3" t="s">
        <v>362</v>
      </c>
      <c r="C894" s="3" t="s">
        <v>30</v>
      </c>
      <c r="D894" s="4" t="s">
        <v>18</v>
      </c>
      <c r="E894" s="15"/>
      <c r="F894" s="10"/>
      <c r="G894" s="10"/>
      <c r="H894" s="26">
        <f>VLOOKUP($A894,'Model Inputs'!$A:$C,3,FALSE)</f>
        <v>1</v>
      </c>
      <c r="I894" s="10"/>
      <c r="J894" s="10">
        <f>SUBTOTAL(9,J895:J898)</f>
        <v>28325.046910652924</v>
      </c>
      <c r="K894" s="10"/>
      <c r="L894" s="10">
        <f>ROUNDUP(MAX(L895:L898)/Workhrs,0)</f>
        <v>13</v>
      </c>
      <c r="M894" s="10">
        <f>SUBTOTAL(9,M895:M898)</f>
        <v>8774.987000000001</v>
      </c>
      <c r="N894" s="10">
        <f t="shared" ref="N894:Q894" si="1491">SUBTOTAL(9,N895:N898)</f>
        <v>0</v>
      </c>
      <c r="O894" s="10">
        <f t="shared" si="1491"/>
        <v>0</v>
      </c>
      <c r="P894" s="10">
        <f t="shared" si="1491"/>
        <v>19550.059910652919</v>
      </c>
      <c r="Q894" s="10">
        <f t="shared" si="1491"/>
        <v>28325.046910652924</v>
      </c>
      <c r="R894" s="86"/>
      <c r="T894" s="235" t="str">
        <f t="shared" si="1402"/>
        <v xml:space="preserve"> </v>
      </c>
    </row>
    <row r="895" spans="1:21" s="18" customFormat="1" x14ac:dyDescent="0.25">
      <c r="A895" s="157"/>
      <c r="B895" s="6">
        <v>1</v>
      </c>
      <c r="C895" s="9" t="s">
        <v>21</v>
      </c>
      <c r="D895" s="6" t="s">
        <v>20</v>
      </c>
      <c r="E895" s="17" t="str">
        <f>VLOOKUP(C895,Resources!B:G,3,FALSE)</f>
        <v>L</v>
      </c>
      <c r="F895" s="12">
        <v>1</v>
      </c>
      <c r="G895" s="12">
        <v>1</v>
      </c>
      <c r="H895" s="12">
        <f>H894/2</f>
        <v>0.5</v>
      </c>
      <c r="I895" s="12">
        <f>VLOOKUP(C895,Resources!B:G,6,FALSE)</f>
        <v>3250</v>
      </c>
      <c r="J895" s="21">
        <f t="shared" ref="J895:J898" si="1492">(H895/G895)*I895*F895</f>
        <v>1625</v>
      </c>
      <c r="K895" s="21">
        <f t="shared" ref="K895:K898" si="1493">IF(E895="M"," ",L895*F895)</f>
        <v>0.5</v>
      </c>
      <c r="L895" s="24">
        <f t="shared" ref="L895:L898" si="1494">IF(E895="M"," ",H895/G895)</f>
        <v>0.5</v>
      </c>
      <c r="M895" s="24">
        <f t="shared" ref="M895:M898" si="1495">IF($E895="L",$J895,0)</f>
        <v>1625</v>
      </c>
      <c r="N895" s="24">
        <f t="shared" ref="N895:N898" si="1496">IF($E895="M",$J895,0)</f>
        <v>0</v>
      </c>
      <c r="O895" s="24">
        <f t="shared" ref="O895:O898" si="1497">IF($E895="P",$J895,0)</f>
        <v>0</v>
      </c>
      <c r="P895" s="24">
        <f t="shared" ref="P895:P898" si="1498">IF($E895="S",$J895,0)</f>
        <v>0</v>
      </c>
      <c r="Q895" s="24">
        <f t="shared" ref="Q895:Q898" si="1499">SUM(M895:P895)</f>
        <v>1625</v>
      </c>
      <c r="R895" s="87">
        <v>901</v>
      </c>
      <c r="T895" s="235" t="str">
        <f t="shared" si="1402"/>
        <v xml:space="preserve"> </v>
      </c>
      <c r="U895" s="232"/>
    </row>
    <row r="896" spans="1:21" s="18" customFormat="1" x14ac:dyDescent="0.25">
      <c r="A896" s="157"/>
      <c r="B896" s="6">
        <v>2</v>
      </c>
      <c r="C896" s="9" t="s">
        <v>265</v>
      </c>
      <c r="D896" s="6" t="s">
        <v>26</v>
      </c>
      <c r="E896" s="17" t="str">
        <f>VLOOKUP(C896,Resources!B:G,3,FALSE)</f>
        <v>L</v>
      </c>
      <c r="F896" s="12">
        <v>1</v>
      </c>
      <c r="G896" s="12">
        <v>1</v>
      </c>
      <c r="H896" s="12">
        <f>H894*12.2222*9</f>
        <v>109.99980000000001</v>
      </c>
      <c r="I896" s="12">
        <f>VLOOKUP(C896,Resources!B:G,6,FALSE)</f>
        <v>65</v>
      </c>
      <c r="J896" s="21">
        <f t="shared" si="1492"/>
        <v>7149.9870000000001</v>
      </c>
      <c r="K896" s="21">
        <f t="shared" si="1493"/>
        <v>109.99980000000001</v>
      </c>
      <c r="L896" s="24">
        <f t="shared" si="1494"/>
        <v>109.99980000000001</v>
      </c>
      <c r="M896" s="24">
        <f t="shared" si="1495"/>
        <v>7149.9870000000001</v>
      </c>
      <c r="N896" s="24">
        <f t="shared" si="1496"/>
        <v>0</v>
      </c>
      <c r="O896" s="24">
        <f t="shared" si="1497"/>
        <v>0</v>
      </c>
      <c r="P896" s="24">
        <f t="shared" si="1498"/>
        <v>0</v>
      </c>
      <c r="Q896" s="24">
        <f t="shared" si="1499"/>
        <v>7149.9870000000001</v>
      </c>
      <c r="R896" s="87">
        <v>141</v>
      </c>
      <c r="T896" s="235" t="str">
        <f t="shared" si="1402"/>
        <v xml:space="preserve"> </v>
      </c>
      <c r="U896" s="232"/>
    </row>
    <row r="897" spans="1:21" s="18" customFormat="1" x14ac:dyDescent="0.25">
      <c r="A897" s="157"/>
      <c r="B897" s="6">
        <v>3</v>
      </c>
      <c r="C897" s="9" t="s">
        <v>266</v>
      </c>
      <c r="D897" s="6" t="s">
        <v>26</v>
      </c>
      <c r="E897" s="17" t="str">
        <f>VLOOKUP(C897,Resources!B:G,3,FALSE)</f>
        <v>S</v>
      </c>
      <c r="F897" s="12">
        <v>1</v>
      </c>
      <c r="G897" s="12">
        <v>1</v>
      </c>
      <c r="H897" s="12">
        <f>H896</f>
        <v>109.99980000000001</v>
      </c>
      <c r="I897" s="12">
        <f>VLOOKUP(C897,Resources!B:G,6,FALSE)</f>
        <v>130</v>
      </c>
      <c r="J897" s="21">
        <f t="shared" si="1492"/>
        <v>14299.974</v>
      </c>
      <c r="K897" s="21">
        <f t="shared" si="1493"/>
        <v>109.99980000000001</v>
      </c>
      <c r="L897" s="24">
        <f t="shared" si="1494"/>
        <v>109.99980000000001</v>
      </c>
      <c r="M897" s="24">
        <f t="shared" si="1495"/>
        <v>0</v>
      </c>
      <c r="N897" s="24">
        <f t="shared" si="1496"/>
        <v>0</v>
      </c>
      <c r="O897" s="24">
        <f t="shared" si="1497"/>
        <v>0</v>
      </c>
      <c r="P897" s="24">
        <f t="shared" si="1498"/>
        <v>14299.974</v>
      </c>
      <c r="Q897" s="24">
        <f t="shared" si="1499"/>
        <v>14299.974</v>
      </c>
      <c r="R897" s="87">
        <v>141</v>
      </c>
      <c r="T897" s="235" t="str">
        <f t="shared" si="1402"/>
        <v xml:space="preserve"> </v>
      </c>
      <c r="U897" s="232"/>
    </row>
    <row r="898" spans="1:21" s="18" customFormat="1" x14ac:dyDescent="0.25">
      <c r="A898" s="157"/>
      <c r="B898" s="6">
        <v>4</v>
      </c>
      <c r="C898" s="9" t="s">
        <v>24</v>
      </c>
      <c r="D898" s="6" t="s">
        <v>25</v>
      </c>
      <c r="E898" s="17" t="str">
        <f>VLOOKUP(C898,Resources!B:G,3,FALSE)</f>
        <v>S</v>
      </c>
      <c r="F898" s="12">
        <v>3</v>
      </c>
      <c r="G898" s="12">
        <v>1</v>
      </c>
      <c r="H898" s="12">
        <f>H896/7.857</f>
        <v>14.000229095074456</v>
      </c>
      <c r="I898" s="12">
        <f>VLOOKUP(C898,Resources!B:G,6,FALSE)</f>
        <v>125</v>
      </c>
      <c r="J898" s="21">
        <f t="shared" si="1492"/>
        <v>5250.0859106529206</v>
      </c>
      <c r="K898" s="21">
        <f t="shared" si="1493"/>
        <v>42.000687285223364</v>
      </c>
      <c r="L898" s="24">
        <f t="shared" si="1494"/>
        <v>14.000229095074456</v>
      </c>
      <c r="M898" s="24">
        <f t="shared" si="1495"/>
        <v>0</v>
      </c>
      <c r="N898" s="24">
        <f t="shared" si="1496"/>
        <v>0</v>
      </c>
      <c r="O898" s="24">
        <f t="shared" si="1497"/>
        <v>0</v>
      </c>
      <c r="P898" s="24">
        <f t="shared" si="1498"/>
        <v>5250.0859106529206</v>
      </c>
      <c r="Q898" s="24">
        <f t="shared" si="1499"/>
        <v>5250.0859106529206</v>
      </c>
      <c r="R898" s="87">
        <v>911</v>
      </c>
      <c r="T898" s="235" t="str">
        <f t="shared" si="1402"/>
        <v xml:space="preserve"> </v>
      </c>
      <c r="U898" s="232"/>
    </row>
    <row r="899" spans="1:21" x14ac:dyDescent="0.25">
      <c r="F899" s="11"/>
      <c r="G899" s="11"/>
      <c r="H899" s="11"/>
      <c r="I899" s="11"/>
      <c r="J899" s="11"/>
      <c r="K899" s="11"/>
      <c r="R899" s="88"/>
      <c r="T899" s="235" t="str">
        <f t="shared" si="1402"/>
        <v xml:space="preserve"> </v>
      </c>
    </row>
    <row r="900" spans="1:21" ht="30" x14ac:dyDescent="0.25">
      <c r="A900" s="156">
        <v>112</v>
      </c>
      <c r="B900" s="3" t="s">
        <v>363</v>
      </c>
      <c r="C900" s="3" t="s">
        <v>34</v>
      </c>
      <c r="D900" s="4" t="s">
        <v>18</v>
      </c>
      <c r="E900" s="15"/>
      <c r="F900" s="10"/>
      <c r="G900" s="10"/>
      <c r="H900" s="26">
        <f>VLOOKUP($A900,'Model Inputs'!$A:$C,3,FALSE)</f>
        <v>1</v>
      </c>
      <c r="I900" s="10"/>
      <c r="J900" s="10">
        <f>SUBTOTAL(9,J901:J903)</f>
        <v>5180</v>
      </c>
      <c r="K900" s="10"/>
      <c r="L900" s="10">
        <f>ROUNDUP(MAX(L901:L903)/Workhrs,0)</f>
        <v>2</v>
      </c>
      <c r="M900" s="10">
        <f>SUBTOTAL(9,M901:M903)</f>
        <v>5180</v>
      </c>
      <c r="N900" s="10">
        <f t="shared" ref="N900:Q900" si="1500">SUBTOTAL(9,N901:N903)</f>
        <v>0</v>
      </c>
      <c r="O900" s="10">
        <f t="shared" si="1500"/>
        <v>0</v>
      </c>
      <c r="P900" s="10">
        <f t="shared" si="1500"/>
        <v>0</v>
      </c>
      <c r="Q900" s="10">
        <f t="shared" si="1500"/>
        <v>5180</v>
      </c>
      <c r="R900" s="86"/>
      <c r="T900" s="235" t="str">
        <f t="shared" si="1402"/>
        <v xml:space="preserve"> </v>
      </c>
    </row>
    <row r="901" spans="1:21" x14ac:dyDescent="0.25">
      <c r="A901" s="157"/>
      <c r="B901" s="6">
        <v>1</v>
      </c>
      <c r="C901" s="9" t="s">
        <v>35</v>
      </c>
      <c r="D901" s="6" t="s">
        <v>26</v>
      </c>
      <c r="E901" s="17" t="str">
        <f>VLOOKUP(C901,Resources!B:G,3,FALSE)</f>
        <v>L</v>
      </c>
      <c r="F901" s="12">
        <v>1</v>
      </c>
      <c r="G901" s="12">
        <v>1</v>
      </c>
      <c r="H901" s="12">
        <f>H900*8</f>
        <v>8</v>
      </c>
      <c r="I901" s="12">
        <f>VLOOKUP(C901,Resources!B:G,6,FALSE)</f>
        <v>185</v>
      </c>
      <c r="J901" s="21">
        <f t="shared" ref="J901:J903" si="1501">(H901/G901)*I901*F901</f>
        <v>1480</v>
      </c>
      <c r="K901" s="21">
        <f t="shared" ref="K901:K903" si="1502">IF(E901="M"," ",L901*F901)</f>
        <v>8</v>
      </c>
      <c r="L901" s="24">
        <f t="shared" ref="L901:L903" si="1503">IF(E901="M"," ",H901/G901)</f>
        <v>8</v>
      </c>
      <c r="M901" s="24">
        <f t="shared" ref="M901:M903" si="1504">IF($E901="L",$J901,0)</f>
        <v>1480</v>
      </c>
      <c r="N901" s="24">
        <f t="shared" ref="N901:N903" si="1505">IF($E901="M",$J901,0)</f>
        <v>0</v>
      </c>
      <c r="O901" s="24">
        <f t="shared" ref="O901:O903" si="1506">IF($E901="P",$J901,0)</f>
        <v>0</v>
      </c>
      <c r="P901" s="24">
        <f t="shared" ref="P901:P903" si="1507">IF($E901="S",$J901,0)</f>
        <v>0</v>
      </c>
      <c r="Q901" s="24">
        <f t="shared" ref="Q901:Q903" si="1508">SUM(M901:P901)</f>
        <v>1480</v>
      </c>
      <c r="R901" s="87">
        <v>11</v>
      </c>
      <c r="T901" s="235" t="str">
        <f t="shared" si="1402"/>
        <v xml:space="preserve"> </v>
      </c>
    </row>
    <row r="902" spans="1:21" x14ac:dyDescent="0.25">
      <c r="A902" s="157"/>
      <c r="B902" s="6">
        <v>2</v>
      </c>
      <c r="C902" s="9" t="s">
        <v>35</v>
      </c>
      <c r="D902" s="6" t="s">
        <v>26</v>
      </c>
      <c r="E902" s="17" t="str">
        <f>VLOOKUP(C902,Resources!B:G,3,FALSE)</f>
        <v>L</v>
      </c>
      <c r="F902" s="12">
        <v>1</v>
      </c>
      <c r="G902" s="12">
        <v>1</v>
      </c>
      <c r="H902" s="12">
        <f>H900*12</f>
        <v>12</v>
      </c>
      <c r="I902" s="12">
        <f>VLOOKUP(C902,Resources!B:G,6,FALSE)</f>
        <v>185</v>
      </c>
      <c r="J902" s="21">
        <f t="shared" si="1501"/>
        <v>2220</v>
      </c>
      <c r="K902" s="21">
        <f t="shared" si="1502"/>
        <v>12</v>
      </c>
      <c r="L902" s="24">
        <f t="shared" si="1503"/>
        <v>12</v>
      </c>
      <c r="M902" s="24">
        <f t="shared" si="1504"/>
        <v>2220</v>
      </c>
      <c r="N902" s="24">
        <f t="shared" si="1505"/>
        <v>0</v>
      </c>
      <c r="O902" s="24">
        <f t="shared" si="1506"/>
        <v>0</v>
      </c>
      <c r="P902" s="24">
        <f t="shared" si="1507"/>
        <v>0</v>
      </c>
      <c r="Q902" s="24">
        <f t="shared" si="1508"/>
        <v>2220</v>
      </c>
      <c r="R902" s="87">
        <v>11</v>
      </c>
      <c r="T902" s="235" t="str">
        <f t="shared" si="1402"/>
        <v xml:space="preserve"> </v>
      </c>
    </row>
    <row r="903" spans="1:21" x14ac:dyDescent="0.25">
      <c r="A903" s="157"/>
      <c r="B903" s="6">
        <v>3</v>
      </c>
      <c r="C903" s="9" t="s">
        <v>35</v>
      </c>
      <c r="D903" s="6" t="s">
        <v>26</v>
      </c>
      <c r="E903" s="17" t="str">
        <f>VLOOKUP(C903,Resources!B:G,3,FALSE)</f>
        <v>L</v>
      </c>
      <c r="F903" s="12">
        <v>1</v>
      </c>
      <c r="G903" s="12">
        <v>1</v>
      </c>
      <c r="H903" s="12">
        <f>H900*8</f>
        <v>8</v>
      </c>
      <c r="I903" s="12">
        <f>VLOOKUP(C903,Resources!B:G,6,FALSE)</f>
        <v>185</v>
      </c>
      <c r="J903" s="21">
        <f t="shared" si="1501"/>
        <v>1480</v>
      </c>
      <c r="K903" s="21">
        <f t="shared" si="1502"/>
        <v>8</v>
      </c>
      <c r="L903" s="24">
        <f t="shared" si="1503"/>
        <v>8</v>
      </c>
      <c r="M903" s="24">
        <f t="shared" si="1504"/>
        <v>1480</v>
      </c>
      <c r="N903" s="24">
        <f t="shared" si="1505"/>
        <v>0</v>
      </c>
      <c r="O903" s="24">
        <f t="shared" si="1506"/>
        <v>0</v>
      </c>
      <c r="P903" s="24">
        <f t="shared" si="1507"/>
        <v>0</v>
      </c>
      <c r="Q903" s="24">
        <f t="shared" si="1508"/>
        <v>1480</v>
      </c>
      <c r="R903" s="87">
        <v>11</v>
      </c>
      <c r="T903" s="235" t="str">
        <f t="shared" si="1402"/>
        <v xml:space="preserve"> </v>
      </c>
    </row>
    <row r="904" spans="1:21" x14ac:dyDescent="0.25">
      <c r="F904" s="11"/>
      <c r="G904" s="11"/>
      <c r="H904" s="11"/>
      <c r="I904" s="11"/>
      <c r="J904" s="11"/>
      <c r="K904" s="11"/>
      <c r="R904" s="88"/>
      <c r="T904" s="235" t="str">
        <f t="shared" ref="T904:T967" si="1509">IF(R904=$U$7,"y"," ")</f>
        <v xml:space="preserve"> </v>
      </c>
    </row>
    <row r="905" spans="1:21" ht="45" x14ac:dyDescent="0.25">
      <c r="A905" s="156"/>
      <c r="B905" s="3" t="s">
        <v>364</v>
      </c>
      <c r="C905" s="3" t="s">
        <v>37</v>
      </c>
      <c r="D905" s="4"/>
      <c r="E905" s="15"/>
      <c r="F905" s="10"/>
      <c r="G905" s="10"/>
      <c r="H905" s="10"/>
      <c r="I905" s="10"/>
      <c r="J905" s="10"/>
      <c r="K905" s="10"/>
      <c r="L905" s="23"/>
      <c r="M905" s="23"/>
      <c r="N905" s="23"/>
      <c r="O905" s="23"/>
      <c r="P905" s="23"/>
      <c r="Q905" s="23"/>
      <c r="R905" s="86"/>
      <c r="T905" s="235" t="str">
        <f t="shared" si="1509"/>
        <v xml:space="preserve"> </v>
      </c>
    </row>
    <row r="906" spans="1:21" ht="45" x14ac:dyDescent="0.25">
      <c r="A906" s="156">
        <v>113</v>
      </c>
      <c r="B906" s="3" t="s">
        <v>365</v>
      </c>
      <c r="C906" s="3" t="s">
        <v>39</v>
      </c>
      <c r="D906" s="4" t="s">
        <v>18</v>
      </c>
      <c r="E906" s="15"/>
      <c r="F906" s="10"/>
      <c r="G906" s="10"/>
      <c r="H906" s="26">
        <f>VLOOKUP($A906,'Model Inputs'!$A:$C,3,FALSE)</f>
        <v>1</v>
      </c>
      <c r="I906" s="10"/>
      <c r="J906" s="10">
        <f>SUBTOTAL(9,J907)</f>
        <v>2800</v>
      </c>
      <c r="K906" s="10"/>
      <c r="L906" s="10">
        <v>1</v>
      </c>
      <c r="M906" s="10">
        <f>SUBTOTAL(9,M907)</f>
        <v>0</v>
      </c>
      <c r="N906" s="10">
        <f t="shared" ref="N906:Q906" si="1510">SUBTOTAL(9,N907)</f>
        <v>0</v>
      </c>
      <c r="O906" s="10">
        <f t="shared" si="1510"/>
        <v>0</v>
      </c>
      <c r="P906" s="10">
        <f t="shared" si="1510"/>
        <v>2800</v>
      </c>
      <c r="Q906" s="10">
        <f t="shared" si="1510"/>
        <v>2800</v>
      </c>
      <c r="R906" s="86"/>
      <c r="T906" s="235" t="str">
        <f t="shared" si="1509"/>
        <v xml:space="preserve"> </v>
      </c>
    </row>
    <row r="907" spans="1:21" s="18" customFormat="1" x14ac:dyDescent="0.25">
      <c r="A907" s="157"/>
      <c r="B907" s="6">
        <v>1</v>
      </c>
      <c r="C907" s="9" t="s">
        <v>40</v>
      </c>
      <c r="D907" s="6" t="s">
        <v>18</v>
      </c>
      <c r="E907" s="17" t="str">
        <f>VLOOKUP(C907,Resources!B:G,3,FALSE)</f>
        <v>S</v>
      </c>
      <c r="F907" s="12">
        <v>1</v>
      </c>
      <c r="G907" s="12">
        <v>1</v>
      </c>
      <c r="H907" s="12">
        <f>H906*2800</f>
        <v>2800</v>
      </c>
      <c r="I907" s="12">
        <f>VLOOKUP(C907,Resources!B:G,6,FALSE)</f>
        <v>1</v>
      </c>
      <c r="J907" s="21">
        <f t="shared" ref="J907" si="1511">(H907/G907)*I907*F907</f>
        <v>2800</v>
      </c>
      <c r="K907" s="21">
        <f t="shared" ref="K907" si="1512">IF(E907="M"," ",L907*F907)</f>
        <v>2800</v>
      </c>
      <c r="L907" s="24">
        <f t="shared" ref="L907" si="1513">IF(E907="M"," ",H907/G907)</f>
        <v>2800</v>
      </c>
      <c r="M907" s="24">
        <f>IF($E907="L",$J907,0)</f>
        <v>0</v>
      </c>
      <c r="N907" s="24">
        <f>IF($E907="M",$J907,0)</f>
        <v>0</v>
      </c>
      <c r="O907" s="24">
        <f>IF($E907="P",$J907,0)</f>
        <v>0</v>
      </c>
      <c r="P907" s="24">
        <f>IF($E907="S",$J907,0)</f>
        <v>2800</v>
      </c>
      <c r="Q907" s="24">
        <f>SUM(M907:P907)</f>
        <v>2800</v>
      </c>
      <c r="R907" s="87">
        <v>904</v>
      </c>
      <c r="T907" s="235" t="str">
        <f t="shared" si="1509"/>
        <v xml:space="preserve"> </v>
      </c>
      <c r="U907" s="232"/>
    </row>
    <row r="908" spans="1:21" x14ac:dyDescent="0.25">
      <c r="F908" s="11"/>
      <c r="G908" s="11"/>
      <c r="H908" s="11"/>
      <c r="I908" s="11"/>
      <c r="J908" s="11"/>
      <c r="K908" s="11"/>
      <c r="R908" s="88"/>
      <c r="T908" s="235" t="str">
        <f t="shared" si="1509"/>
        <v xml:space="preserve"> </v>
      </c>
    </row>
    <row r="909" spans="1:21" ht="30" x14ac:dyDescent="0.25">
      <c r="A909" s="156">
        <v>114</v>
      </c>
      <c r="B909" s="3" t="s">
        <v>366</v>
      </c>
      <c r="C909" s="3" t="s">
        <v>42</v>
      </c>
      <c r="D909" s="4" t="s">
        <v>18</v>
      </c>
      <c r="E909" s="15"/>
      <c r="F909" s="10"/>
      <c r="G909" s="10"/>
      <c r="H909" s="26">
        <f>VLOOKUP($A909,'Model Inputs'!$A:$C,3,FALSE)</f>
        <v>1</v>
      </c>
      <c r="I909" s="10"/>
      <c r="J909" s="10">
        <f>SUBTOTAL(9,J910:J911)</f>
        <v>3200</v>
      </c>
      <c r="K909" s="10"/>
      <c r="L909" s="10">
        <f>ROUNDUP(MAX(L910:L911)/Workhrs,0)</f>
        <v>1</v>
      </c>
      <c r="M909" s="10">
        <f>SUBTOTAL(9,M910:M911)</f>
        <v>1600</v>
      </c>
      <c r="N909" s="10">
        <f t="shared" ref="N909:Q909" si="1514">SUBTOTAL(9,N910:N911)</f>
        <v>0</v>
      </c>
      <c r="O909" s="10">
        <f t="shared" si="1514"/>
        <v>0</v>
      </c>
      <c r="P909" s="10">
        <f t="shared" si="1514"/>
        <v>1600</v>
      </c>
      <c r="Q909" s="10">
        <f t="shared" si="1514"/>
        <v>3200</v>
      </c>
      <c r="R909" s="86"/>
      <c r="T909" s="235" t="str">
        <f t="shared" si="1509"/>
        <v xml:space="preserve"> </v>
      </c>
    </row>
    <row r="910" spans="1:21" x14ac:dyDescent="0.25">
      <c r="A910" s="157"/>
      <c r="B910" s="6">
        <v>1</v>
      </c>
      <c r="C910" s="9" t="s">
        <v>43</v>
      </c>
      <c r="D910" s="6" t="s">
        <v>20</v>
      </c>
      <c r="E910" s="17" t="str">
        <f>VLOOKUP(C910,Resources!B:G,3,FALSE)</f>
        <v>L</v>
      </c>
      <c r="F910" s="12">
        <v>1</v>
      </c>
      <c r="G910" s="12">
        <v>1</v>
      </c>
      <c r="H910" s="12">
        <f>H909/2</f>
        <v>0.5</v>
      </c>
      <c r="I910" s="12">
        <f>VLOOKUP(C910,Resources!B:G,6,FALSE)</f>
        <v>3200</v>
      </c>
      <c r="J910" s="21">
        <f t="shared" ref="J910:J911" si="1515">(H910/G910)*I910*F910</f>
        <v>1600</v>
      </c>
      <c r="K910" s="21">
        <f t="shared" ref="K910:K911" si="1516">IF(E910="M"," ",L910*F910)</f>
        <v>0.5</v>
      </c>
      <c r="L910" s="24">
        <f t="shared" ref="L910:L911" si="1517">IF(E910="M"," ",H910/G910)</f>
        <v>0.5</v>
      </c>
      <c r="M910" s="24">
        <f t="shared" ref="M910:M911" si="1518">IF($E910="L",$J910,0)</f>
        <v>1600</v>
      </c>
      <c r="N910" s="24">
        <f t="shared" ref="N910:N911" si="1519">IF($E910="M",$J910,0)</f>
        <v>0</v>
      </c>
      <c r="O910" s="24">
        <f t="shared" ref="O910:O911" si="1520">IF($E910="P",$J910,0)</f>
        <v>0</v>
      </c>
      <c r="P910" s="24">
        <f t="shared" ref="P910:P911" si="1521">IF($E910="S",$J910,0)</f>
        <v>0</v>
      </c>
      <c r="Q910" s="24">
        <f t="shared" ref="Q910:Q911" si="1522">SUM(M910:P910)</f>
        <v>1600</v>
      </c>
      <c r="R910" s="87">
        <v>901</v>
      </c>
      <c r="T910" s="235" t="str">
        <f t="shared" si="1509"/>
        <v xml:space="preserve"> </v>
      </c>
    </row>
    <row r="911" spans="1:21" x14ac:dyDescent="0.25">
      <c r="A911" s="157"/>
      <c r="B911" s="6">
        <v>2</v>
      </c>
      <c r="C911" s="9" t="s">
        <v>44</v>
      </c>
      <c r="D911" s="6" t="s">
        <v>26</v>
      </c>
      <c r="E911" s="17" t="str">
        <f>VLOOKUP(C911,Resources!B:G,3,FALSE)</f>
        <v>S</v>
      </c>
      <c r="F911" s="12">
        <v>1</v>
      </c>
      <c r="G911" s="12">
        <v>1</v>
      </c>
      <c r="H911" s="12">
        <f>H909*8</f>
        <v>8</v>
      </c>
      <c r="I911" s="12">
        <f>VLOOKUP(C911,Resources!B:G,6,FALSE)</f>
        <v>200</v>
      </c>
      <c r="J911" s="21">
        <f t="shared" si="1515"/>
        <v>1600</v>
      </c>
      <c r="K911" s="21">
        <f t="shared" si="1516"/>
        <v>8</v>
      </c>
      <c r="L911" s="24">
        <f t="shared" si="1517"/>
        <v>8</v>
      </c>
      <c r="M911" s="24">
        <f t="shared" si="1518"/>
        <v>0</v>
      </c>
      <c r="N911" s="24">
        <f t="shared" si="1519"/>
        <v>0</v>
      </c>
      <c r="O911" s="24">
        <f t="shared" si="1520"/>
        <v>0</v>
      </c>
      <c r="P911" s="24">
        <f t="shared" si="1521"/>
        <v>1600</v>
      </c>
      <c r="Q911" s="24">
        <f t="shared" si="1522"/>
        <v>1600</v>
      </c>
      <c r="R911" s="87">
        <v>15</v>
      </c>
      <c r="T911" s="235" t="str">
        <f t="shared" si="1509"/>
        <v xml:space="preserve"> </v>
      </c>
    </row>
    <row r="912" spans="1:21" x14ac:dyDescent="0.25">
      <c r="F912" s="11"/>
      <c r="G912" s="11"/>
      <c r="H912" s="11"/>
      <c r="I912" s="11"/>
      <c r="J912" s="11"/>
      <c r="K912" s="11"/>
      <c r="R912" s="88"/>
      <c r="T912" s="235" t="str">
        <f t="shared" si="1509"/>
        <v xml:space="preserve"> </v>
      </c>
    </row>
    <row r="913" spans="1:20" ht="30" x14ac:dyDescent="0.25">
      <c r="A913" s="156">
        <v>115</v>
      </c>
      <c r="B913" s="3" t="s">
        <v>367</v>
      </c>
      <c r="C913" s="3" t="s">
        <v>46</v>
      </c>
      <c r="D913" s="4" t="s">
        <v>18</v>
      </c>
      <c r="E913" s="15"/>
      <c r="F913" s="10"/>
      <c r="G913" s="10"/>
      <c r="H913" s="26">
        <f>VLOOKUP($A913,'Model Inputs'!$A:$C,3,FALSE)</f>
        <v>1</v>
      </c>
      <c r="I913" s="10"/>
      <c r="J913" s="10">
        <f>SUBTOTAL(9,J914:J916)</f>
        <v>5920</v>
      </c>
      <c r="K913" s="10"/>
      <c r="L913" s="10">
        <f>ROUNDUP(SUM(L914:L916)/Workhrs,0)</f>
        <v>4</v>
      </c>
      <c r="M913" s="10">
        <f>SUBTOTAL(9,M914:M916)</f>
        <v>5920</v>
      </c>
      <c r="N913" s="10">
        <f t="shared" ref="N913:Q913" si="1523">SUBTOTAL(9,N914:N916)</f>
        <v>0</v>
      </c>
      <c r="O913" s="10">
        <f t="shared" si="1523"/>
        <v>0</v>
      </c>
      <c r="P913" s="10">
        <f t="shared" si="1523"/>
        <v>0</v>
      </c>
      <c r="Q913" s="10">
        <f t="shared" si="1523"/>
        <v>5920</v>
      </c>
      <c r="R913" s="86"/>
      <c r="T913" s="235" t="str">
        <f t="shared" si="1509"/>
        <v xml:space="preserve"> </v>
      </c>
    </row>
    <row r="914" spans="1:20" x14ac:dyDescent="0.25">
      <c r="A914" s="157"/>
      <c r="B914" s="6">
        <v>1</v>
      </c>
      <c r="C914" s="9" t="s">
        <v>35</v>
      </c>
      <c r="D914" s="6" t="s">
        <v>26</v>
      </c>
      <c r="E914" s="17" t="str">
        <f>VLOOKUP(C914,Resources!B:G,3,FALSE)</f>
        <v>L</v>
      </c>
      <c r="F914" s="12">
        <v>1</v>
      </c>
      <c r="G914" s="12">
        <v>1</v>
      </c>
      <c r="H914" s="12">
        <f>H913*18</f>
        <v>18</v>
      </c>
      <c r="I914" s="12">
        <f>VLOOKUP(C914,Resources!B:G,6,FALSE)</f>
        <v>185</v>
      </c>
      <c r="J914" s="21">
        <f t="shared" ref="J914:J916" si="1524">(H914/G914)*I914*F914</f>
        <v>3330</v>
      </c>
      <c r="K914" s="21">
        <f t="shared" ref="K914:K916" si="1525">IF(E914="M"," ",L914*F914)</f>
        <v>18</v>
      </c>
      <c r="L914" s="24">
        <f t="shared" ref="L914:L916" si="1526">IF(E914="M"," ",H914/G914)</f>
        <v>18</v>
      </c>
      <c r="M914" s="24">
        <f t="shared" ref="M914:M916" si="1527">IF($E914="L",$J914,0)</f>
        <v>3330</v>
      </c>
      <c r="N914" s="24">
        <f t="shared" ref="N914:N916" si="1528">IF($E914="M",$J914,0)</f>
        <v>0</v>
      </c>
      <c r="O914" s="24">
        <f t="shared" ref="O914:O916" si="1529">IF($E914="P",$J914,0)</f>
        <v>0</v>
      </c>
      <c r="P914" s="24">
        <f t="shared" ref="P914:P916" si="1530">IF($E914="S",$J914,0)</f>
        <v>0</v>
      </c>
      <c r="Q914" s="24">
        <f t="shared" ref="Q914:Q916" si="1531">SUM(M914:P914)</f>
        <v>3330</v>
      </c>
      <c r="R914" s="87">
        <v>11</v>
      </c>
      <c r="T914" s="235" t="str">
        <f t="shared" si="1509"/>
        <v xml:space="preserve"> </v>
      </c>
    </row>
    <row r="915" spans="1:20" x14ac:dyDescent="0.25">
      <c r="A915" s="157"/>
      <c r="B915" s="6">
        <v>2</v>
      </c>
      <c r="C915" s="9" t="s">
        <v>35</v>
      </c>
      <c r="D915" s="6" t="s">
        <v>26</v>
      </c>
      <c r="E915" s="17" t="str">
        <f>VLOOKUP(C915,Resources!B:G,3,FALSE)</f>
        <v>L</v>
      </c>
      <c r="F915" s="12">
        <v>1</v>
      </c>
      <c r="G915" s="12">
        <v>1</v>
      </c>
      <c r="H915" s="12">
        <f>H913*6</f>
        <v>6</v>
      </c>
      <c r="I915" s="12">
        <f>VLOOKUP(C915,Resources!B:G,6,FALSE)</f>
        <v>185</v>
      </c>
      <c r="J915" s="21">
        <f t="shared" si="1524"/>
        <v>1110</v>
      </c>
      <c r="K915" s="21">
        <f t="shared" si="1525"/>
        <v>6</v>
      </c>
      <c r="L915" s="24">
        <f t="shared" si="1526"/>
        <v>6</v>
      </c>
      <c r="M915" s="24">
        <f t="shared" si="1527"/>
        <v>1110</v>
      </c>
      <c r="N915" s="24">
        <f t="shared" si="1528"/>
        <v>0</v>
      </c>
      <c r="O915" s="24">
        <f t="shared" si="1529"/>
        <v>0</v>
      </c>
      <c r="P915" s="24">
        <f t="shared" si="1530"/>
        <v>0</v>
      </c>
      <c r="Q915" s="24">
        <f t="shared" si="1531"/>
        <v>1110</v>
      </c>
      <c r="R915" s="87">
        <v>11</v>
      </c>
      <c r="T915" s="235" t="str">
        <f t="shared" si="1509"/>
        <v xml:space="preserve"> </v>
      </c>
    </row>
    <row r="916" spans="1:20" x14ac:dyDescent="0.25">
      <c r="A916" s="157"/>
      <c r="B916" s="6">
        <v>3</v>
      </c>
      <c r="C916" s="9" t="s">
        <v>35</v>
      </c>
      <c r="D916" s="6" t="s">
        <v>26</v>
      </c>
      <c r="E916" s="17" t="str">
        <f>VLOOKUP(C916,Resources!B:G,3,FALSE)</f>
        <v>L</v>
      </c>
      <c r="F916" s="12">
        <v>1</v>
      </c>
      <c r="G916" s="12">
        <v>1</v>
      </c>
      <c r="H916" s="12">
        <f>H913*8</f>
        <v>8</v>
      </c>
      <c r="I916" s="12">
        <f>VLOOKUP(C916,Resources!B:G,6,FALSE)</f>
        <v>185</v>
      </c>
      <c r="J916" s="21">
        <f t="shared" si="1524"/>
        <v>1480</v>
      </c>
      <c r="K916" s="21">
        <f t="shared" si="1525"/>
        <v>8</v>
      </c>
      <c r="L916" s="24">
        <f t="shared" si="1526"/>
        <v>8</v>
      </c>
      <c r="M916" s="24">
        <f t="shared" si="1527"/>
        <v>1480</v>
      </c>
      <c r="N916" s="24">
        <f t="shared" si="1528"/>
        <v>0</v>
      </c>
      <c r="O916" s="24">
        <f t="shared" si="1529"/>
        <v>0</v>
      </c>
      <c r="P916" s="24">
        <f t="shared" si="1530"/>
        <v>0</v>
      </c>
      <c r="Q916" s="24">
        <f t="shared" si="1531"/>
        <v>1480</v>
      </c>
      <c r="R916" s="87">
        <v>11</v>
      </c>
      <c r="T916" s="235" t="str">
        <f t="shared" si="1509"/>
        <v xml:space="preserve"> </v>
      </c>
    </row>
    <row r="917" spans="1:20" x14ac:dyDescent="0.25">
      <c r="F917" s="11"/>
      <c r="G917" s="11"/>
      <c r="H917" s="11"/>
      <c r="I917" s="11"/>
      <c r="J917" s="11"/>
      <c r="K917" s="11"/>
      <c r="R917" s="88"/>
      <c r="T917" s="235" t="str">
        <f t="shared" si="1509"/>
        <v xml:space="preserve"> </v>
      </c>
    </row>
    <row r="918" spans="1:20" ht="30" x14ac:dyDescent="0.25">
      <c r="A918" s="156"/>
      <c r="B918" s="3" t="s">
        <v>368</v>
      </c>
      <c r="C918" s="3" t="s">
        <v>48</v>
      </c>
      <c r="D918" s="4"/>
      <c r="E918" s="15"/>
      <c r="F918" s="10"/>
      <c r="G918" s="10"/>
      <c r="H918" s="10"/>
      <c r="I918" s="10"/>
      <c r="J918" s="10"/>
      <c r="K918" s="10"/>
      <c r="L918" s="23"/>
      <c r="M918" s="23"/>
      <c r="N918" s="23"/>
      <c r="O918" s="23"/>
      <c r="P918" s="23"/>
      <c r="Q918" s="23"/>
      <c r="R918" s="86"/>
      <c r="T918" s="235" t="str">
        <f t="shared" si="1509"/>
        <v xml:space="preserve"> </v>
      </c>
    </row>
    <row r="919" spans="1:20" ht="30" x14ac:dyDescent="0.25">
      <c r="A919" s="156">
        <v>116</v>
      </c>
      <c r="B919" s="3" t="s">
        <v>369</v>
      </c>
      <c r="C919" s="3" t="s">
        <v>585</v>
      </c>
      <c r="D919" s="4" t="s">
        <v>50</v>
      </c>
      <c r="E919" s="15"/>
      <c r="F919" s="10"/>
      <c r="G919" s="10"/>
      <c r="H919" s="26">
        <f>VLOOKUP($A919,'Model Inputs'!$A:$C,3,FALSE)</f>
        <v>4</v>
      </c>
      <c r="I919" s="10"/>
      <c r="J919" s="10">
        <f>SUBTOTAL(9,J920:J921)</f>
        <v>846.66666666666663</v>
      </c>
      <c r="K919" s="10"/>
      <c r="L919" s="10">
        <v>0</v>
      </c>
      <c r="M919" s="10">
        <f>SUBTOTAL(9,M920:M921)</f>
        <v>0</v>
      </c>
      <c r="N919" s="10">
        <f t="shared" ref="N919:Q919" si="1532">SUBTOTAL(9,N920:N921)</f>
        <v>0</v>
      </c>
      <c r="O919" s="10">
        <f t="shared" si="1532"/>
        <v>0</v>
      </c>
      <c r="P919" s="10">
        <f t="shared" si="1532"/>
        <v>846.66666666666663</v>
      </c>
      <c r="Q919" s="10">
        <f t="shared" si="1532"/>
        <v>846.66666666666663</v>
      </c>
      <c r="R919" s="86"/>
      <c r="T919" s="235" t="str">
        <f t="shared" si="1509"/>
        <v xml:space="preserve"> </v>
      </c>
    </row>
    <row r="920" spans="1:20" x14ac:dyDescent="0.25">
      <c r="A920" s="157"/>
      <c r="B920" s="6">
        <v>1</v>
      </c>
      <c r="C920" s="9" t="s">
        <v>51</v>
      </c>
      <c r="D920" s="6" t="s">
        <v>52</v>
      </c>
      <c r="E920" s="17" t="str">
        <f>VLOOKUP(C920,Resources!B:G,3,FALSE)</f>
        <v>S</v>
      </c>
      <c r="F920" s="12">
        <v>250</v>
      </c>
      <c r="G920" s="12">
        <v>1</v>
      </c>
      <c r="H920" s="12">
        <f>H919/3</f>
        <v>1.3333333333333333</v>
      </c>
      <c r="I920" s="12">
        <f>VLOOKUP(C920,Resources!B:G,6,FALSE)</f>
        <v>2</v>
      </c>
      <c r="J920" s="21">
        <f t="shared" ref="J920:J921" si="1533">(H920/G920)*I920*F920</f>
        <v>666.66666666666663</v>
      </c>
      <c r="K920" s="21">
        <f t="shared" ref="K920:K921" si="1534">IF(E920="M"," ",L920*F920)</f>
        <v>333.33333333333331</v>
      </c>
      <c r="L920" s="24">
        <f t="shared" ref="L920:L921" si="1535">IF(E920="M"," ",H920/G920)</f>
        <v>1.3333333333333333</v>
      </c>
      <c r="M920" s="24">
        <f t="shared" ref="M920:M921" si="1536">IF($E920="L",$J920,0)</f>
        <v>0</v>
      </c>
      <c r="N920" s="24">
        <f t="shared" ref="N920:N921" si="1537">IF($E920="M",$J920,0)</f>
        <v>0</v>
      </c>
      <c r="O920" s="24">
        <f t="shared" ref="O920:O921" si="1538">IF($E920="P",$J920,0)</f>
        <v>0</v>
      </c>
      <c r="P920" s="24">
        <f t="shared" ref="P920:P921" si="1539">IF($E920="S",$J920,0)</f>
        <v>666.66666666666663</v>
      </c>
      <c r="Q920" s="24">
        <f t="shared" ref="Q920:Q921" si="1540">SUM(M920:P920)</f>
        <v>666.66666666666663</v>
      </c>
      <c r="R920" s="87">
        <v>13</v>
      </c>
      <c r="T920" s="235" t="str">
        <f t="shared" si="1509"/>
        <v xml:space="preserve"> </v>
      </c>
    </row>
    <row r="921" spans="1:20" x14ac:dyDescent="0.25">
      <c r="A921" s="157"/>
      <c r="B921" s="6">
        <v>2</v>
      </c>
      <c r="C921" s="9" t="s">
        <v>56</v>
      </c>
      <c r="D921" s="6" t="s">
        <v>31</v>
      </c>
      <c r="E921" s="17" t="str">
        <f>VLOOKUP(C921,Resources!B:G,3,FALSE)</f>
        <v>S</v>
      </c>
      <c r="F921" s="12">
        <v>1</v>
      </c>
      <c r="G921" s="12">
        <v>1</v>
      </c>
      <c r="H921" s="12">
        <f>H919</f>
        <v>4</v>
      </c>
      <c r="I921" s="12">
        <f>VLOOKUP(C921,Resources!B:G,6,FALSE)</f>
        <v>45</v>
      </c>
      <c r="J921" s="21">
        <f t="shared" si="1533"/>
        <v>180</v>
      </c>
      <c r="K921" s="21">
        <f t="shared" si="1534"/>
        <v>4</v>
      </c>
      <c r="L921" s="24">
        <f t="shared" si="1535"/>
        <v>4</v>
      </c>
      <c r="M921" s="24">
        <f t="shared" si="1536"/>
        <v>0</v>
      </c>
      <c r="N921" s="24">
        <f t="shared" si="1537"/>
        <v>0</v>
      </c>
      <c r="O921" s="24">
        <f t="shared" si="1538"/>
        <v>0</v>
      </c>
      <c r="P921" s="24">
        <f t="shared" si="1539"/>
        <v>180</v>
      </c>
      <c r="Q921" s="24">
        <f t="shared" si="1540"/>
        <v>180</v>
      </c>
      <c r="R921" s="87">
        <v>13</v>
      </c>
      <c r="T921" s="235" t="str">
        <f t="shared" si="1509"/>
        <v xml:space="preserve"> </v>
      </c>
    </row>
    <row r="922" spans="1:20" x14ac:dyDescent="0.25">
      <c r="F922" s="11"/>
      <c r="G922" s="11"/>
      <c r="H922" s="11"/>
      <c r="I922" s="11"/>
      <c r="J922" s="11"/>
      <c r="K922" s="11"/>
      <c r="R922" s="88"/>
      <c r="T922" s="235" t="str">
        <f t="shared" si="1509"/>
        <v xml:space="preserve"> </v>
      </c>
    </row>
    <row r="923" spans="1:20" ht="30" x14ac:dyDescent="0.25">
      <c r="A923" s="156">
        <v>117</v>
      </c>
      <c r="B923" s="3" t="s">
        <v>370</v>
      </c>
      <c r="C923" s="3" t="s">
        <v>275</v>
      </c>
      <c r="D923" s="4" t="s">
        <v>50</v>
      </c>
      <c r="E923" s="15"/>
      <c r="F923" s="10"/>
      <c r="G923" s="10"/>
      <c r="H923" s="26">
        <f>VLOOKUP($A923,'Model Inputs'!$A:$C,3,FALSE)</f>
        <v>4</v>
      </c>
      <c r="I923" s="10"/>
      <c r="J923" s="10">
        <f>SUBTOTAL(9,J924:J925)</f>
        <v>846.66666666666663</v>
      </c>
      <c r="K923" s="10"/>
      <c r="L923" s="10">
        <v>0</v>
      </c>
      <c r="M923" s="10">
        <f>SUBTOTAL(9,M924:M925)</f>
        <v>0</v>
      </c>
      <c r="N923" s="10">
        <f t="shared" ref="N923" si="1541">SUBTOTAL(9,N924:N925)</f>
        <v>0</v>
      </c>
      <c r="O923" s="10">
        <f t="shared" ref="O923" si="1542">SUBTOTAL(9,O924:O925)</f>
        <v>0</v>
      </c>
      <c r="P923" s="10">
        <f t="shared" ref="P923" si="1543">SUBTOTAL(9,P924:P925)</f>
        <v>846.66666666666663</v>
      </c>
      <c r="Q923" s="10">
        <f t="shared" ref="Q923" si="1544">SUBTOTAL(9,Q924:Q925)</f>
        <v>846.66666666666663</v>
      </c>
      <c r="R923" s="86"/>
      <c r="T923" s="235" t="str">
        <f t="shared" si="1509"/>
        <v xml:space="preserve"> </v>
      </c>
    </row>
    <row r="924" spans="1:20" x14ac:dyDescent="0.25">
      <c r="A924" s="157"/>
      <c r="B924" s="6">
        <v>1</v>
      </c>
      <c r="C924" s="9" t="s">
        <v>51</v>
      </c>
      <c r="D924" s="6" t="s">
        <v>52</v>
      </c>
      <c r="E924" s="17" t="str">
        <f>VLOOKUP(C924,Resources!B:G,3,FALSE)</f>
        <v>S</v>
      </c>
      <c r="F924" s="12">
        <v>250</v>
      </c>
      <c r="G924" s="12">
        <v>1</v>
      </c>
      <c r="H924" s="12">
        <f>H923/3</f>
        <v>1.3333333333333333</v>
      </c>
      <c r="I924" s="12">
        <f>VLOOKUP(C924,Resources!B:G,6,FALSE)</f>
        <v>2</v>
      </c>
      <c r="J924" s="21">
        <f t="shared" ref="J924:J925" si="1545">(H924/G924)*I924*F924</f>
        <v>666.66666666666663</v>
      </c>
      <c r="K924" s="21">
        <f t="shared" ref="K924:K925" si="1546">IF(E924="M"," ",L924*F924)</f>
        <v>333.33333333333331</v>
      </c>
      <c r="L924" s="24">
        <f t="shared" ref="L924:L925" si="1547">IF(E924="M"," ",H924/G924)</f>
        <v>1.3333333333333333</v>
      </c>
      <c r="M924" s="24">
        <f t="shared" ref="M924:M925" si="1548">IF($E924="L",$J924,0)</f>
        <v>0</v>
      </c>
      <c r="N924" s="24">
        <f t="shared" ref="N924:N925" si="1549">IF($E924="M",$J924,0)</f>
        <v>0</v>
      </c>
      <c r="O924" s="24">
        <f t="shared" ref="O924:O925" si="1550">IF($E924="P",$J924,0)</f>
        <v>0</v>
      </c>
      <c r="P924" s="24">
        <f t="shared" ref="P924:P925" si="1551">IF($E924="S",$J924,0)</f>
        <v>666.66666666666663</v>
      </c>
      <c r="Q924" s="24">
        <f t="shared" ref="Q924:Q925" si="1552">SUM(M924:P924)</f>
        <v>666.66666666666663</v>
      </c>
      <c r="R924" s="87">
        <v>13</v>
      </c>
      <c r="T924" s="235" t="str">
        <f t="shared" si="1509"/>
        <v xml:space="preserve"> </v>
      </c>
    </row>
    <row r="925" spans="1:20" x14ac:dyDescent="0.25">
      <c r="A925" s="157"/>
      <c r="B925" s="6">
        <v>2</v>
      </c>
      <c r="C925" s="9" t="s">
        <v>56</v>
      </c>
      <c r="D925" s="6" t="s">
        <v>31</v>
      </c>
      <c r="E925" s="17" t="str">
        <f>VLOOKUP(C925,Resources!B:G,3,FALSE)</f>
        <v>S</v>
      </c>
      <c r="F925" s="12">
        <v>1</v>
      </c>
      <c r="G925" s="12">
        <v>1</v>
      </c>
      <c r="H925" s="12">
        <f>H923</f>
        <v>4</v>
      </c>
      <c r="I925" s="12">
        <f>VLOOKUP(C925,Resources!B:G,6,FALSE)</f>
        <v>45</v>
      </c>
      <c r="J925" s="21">
        <f t="shared" si="1545"/>
        <v>180</v>
      </c>
      <c r="K925" s="21">
        <f t="shared" si="1546"/>
        <v>4</v>
      </c>
      <c r="L925" s="24">
        <f t="shared" si="1547"/>
        <v>4</v>
      </c>
      <c r="M925" s="24">
        <f t="shared" si="1548"/>
        <v>0</v>
      </c>
      <c r="N925" s="24">
        <f t="shared" si="1549"/>
        <v>0</v>
      </c>
      <c r="O925" s="24">
        <f t="shared" si="1550"/>
        <v>0</v>
      </c>
      <c r="P925" s="24">
        <f t="shared" si="1551"/>
        <v>180</v>
      </c>
      <c r="Q925" s="24">
        <f t="shared" si="1552"/>
        <v>180</v>
      </c>
      <c r="R925" s="87">
        <v>13</v>
      </c>
      <c r="T925" s="235" t="str">
        <f t="shared" si="1509"/>
        <v xml:space="preserve"> </v>
      </c>
    </row>
    <row r="926" spans="1:20" x14ac:dyDescent="0.25">
      <c r="F926" s="11"/>
      <c r="G926" s="11"/>
      <c r="H926" s="11"/>
      <c r="I926" s="11"/>
      <c r="J926" s="11"/>
      <c r="K926" s="11"/>
      <c r="R926" s="88"/>
      <c r="T926" s="235" t="str">
        <f t="shared" si="1509"/>
        <v xml:space="preserve"> </v>
      </c>
    </row>
    <row r="927" spans="1:20" ht="30" x14ac:dyDescent="0.25">
      <c r="A927" s="156">
        <v>118</v>
      </c>
      <c r="B927" s="3" t="s">
        <v>371</v>
      </c>
      <c r="C927" s="3" t="s">
        <v>60</v>
      </c>
      <c r="D927" s="4" t="s">
        <v>50</v>
      </c>
      <c r="E927" s="15"/>
      <c r="F927" s="10"/>
      <c r="G927" s="10"/>
      <c r="H927" s="26">
        <f>VLOOKUP($A927,'Model Inputs'!$A:$C,3,FALSE)</f>
        <v>2</v>
      </c>
      <c r="I927" s="10"/>
      <c r="J927" s="10">
        <f>SUBTOTAL(9,J928:J929)</f>
        <v>423.33333333333331</v>
      </c>
      <c r="K927" s="10"/>
      <c r="L927" s="10">
        <v>0</v>
      </c>
      <c r="M927" s="10">
        <f>SUBTOTAL(9,M928:M929)</f>
        <v>0</v>
      </c>
      <c r="N927" s="10">
        <f t="shared" ref="N927" si="1553">SUBTOTAL(9,N928:N929)</f>
        <v>0</v>
      </c>
      <c r="O927" s="10">
        <f t="shared" ref="O927" si="1554">SUBTOTAL(9,O928:O929)</f>
        <v>0</v>
      </c>
      <c r="P927" s="10">
        <f t="shared" ref="P927" si="1555">SUBTOTAL(9,P928:P929)</f>
        <v>423.33333333333331</v>
      </c>
      <c r="Q927" s="10">
        <f t="shared" ref="Q927" si="1556">SUBTOTAL(9,Q928:Q929)</f>
        <v>423.33333333333331</v>
      </c>
      <c r="R927" s="86"/>
      <c r="T927" s="235" t="str">
        <f t="shared" si="1509"/>
        <v xml:space="preserve"> </v>
      </c>
    </row>
    <row r="928" spans="1:20" x14ac:dyDescent="0.25">
      <c r="A928" s="157"/>
      <c r="B928" s="6">
        <v>1</v>
      </c>
      <c r="C928" s="9" t="s">
        <v>51</v>
      </c>
      <c r="D928" s="6" t="s">
        <v>52</v>
      </c>
      <c r="E928" s="17" t="str">
        <f>VLOOKUP(C928,Resources!B:G,3,FALSE)</f>
        <v>S</v>
      </c>
      <c r="F928" s="12">
        <v>250</v>
      </c>
      <c r="G928" s="12">
        <v>1</v>
      </c>
      <c r="H928" s="12">
        <f>H927/3</f>
        <v>0.66666666666666663</v>
      </c>
      <c r="I928" s="12">
        <f>VLOOKUP(C928,Resources!B:G,6,FALSE)</f>
        <v>2</v>
      </c>
      <c r="J928" s="21">
        <f t="shared" ref="J928:J929" si="1557">(H928/G928)*I928*F928</f>
        <v>333.33333333333331</v>
      </c>
      <c r="K928" s="21">
        <f t="shared" ref="K928:K929" si="1558">IF(E928="M"," ",L928*F928)</f>
        <v>166.66666666666666</v>
      </c>
      <c r="L928" s="24">
        <f t="shared" ref="L928:L929" si="1559">IF(E928="M"," ",H928/G928)</f>
        <v>0.66666666666666663</v>
      </c>
      <c r="M928" s="24">
        <f t="shared" ref="M928:M929" si="1560">IF($E928="L",$J928,0)</f>
        <v>0</v>
      </c>
      <c r="N928" s="24">
        <f t="shared" ref="N928:N929" si="1561">IF($E928="M",$J928,0)</f>
        <v>0</v>
      </c>
      <c r="O928" s="24">
        <f t="shared" ref="O928:O929" si="1562">IF($E928="P",$J928,0)</f>
        <v>0</v>
      </c>
      <c r="P928" s="24">
        <f t="shared" ref="P928:P929" si="1563">IF($E928="S",$J928,0)</f>
        <v>333.33333333333331</v>
      </c>
      <c r="Q928" s="24">
        <f t="shared" ref="Q928:Q929" si="1564">SUM(M928:P928)</f>
        <v>333.33333333333331</v>
      </c>
      <c r="R928" s="87">
        <v>13</v>
      </c>
      <c r="T928" s="235" t="str">
        <f t="shared" si="1509"/>
        <v xml:space="preserve"> </v>
      </c>
    </row>
    <row r="929" spans="1:20" x14ac:dyDescent="0.25">
      <c r="A929" s="157"/>
      <c r="B929" s="6">
        <v>2</v>
      </c>
      <c r="C929" s="9" t="s">
        <v>56</v>
      </c>
      <c r="D929" s="6" t="s">
        <v>31</v>
      </c>
      <c r="E929" s="17" t="str">
        <f>VLOOKUP(C929,Resources!B:G,3,FALSE)</f>
        <v>S</v>
      </c>
      <c r="F929" s="12">
        <v>1</v>
      </c>
      <c r="G929" s="12">
        <v>1</v>
      </c>
      <c r="H929" s="12">
        <f>H927</f>
        <v>2</v>
      </c>
      <c r="I929" s="12">
        <f>VLOOKUP(C929,Resources!B:G,6,FALSE)</f>
        <v>45</v>
      </c>
      <c r="J929" s="21">
        <f t="shared" si="1557"/>
        <v>90</v>
      </c>
      <c r="K929" s="21">
        <f t="shared" si="1558"/>
        <v>2</v>
      </c>
      <c r="L929" s="24">
        <f t="shared" si="1559"/>
        <v>2</v>
      </c>
      <c r="M929" s="24">
        <f t="shared" si="1560"/>
        <v>0</v>
      </c>
      <c r="N929" s="24">
        <f t="shared" si="1561"/>
        <v>0</v>
      </c>
      <c r="O929" s="24">
        <f t="shared" si="1562"/>
        <v>0</v>
      </c>
      <c r="P929" s="24">
        <f t="shared" si="1563"/>
        <v>90</v>
      </c>
      <c r="Q929" s="24">
        <f t="shared" si="1564"/>
        <v>90</v>
      </c>
      <c r="R929" s="87">
        <v>13</v>
      </c>
      <c r="T929" s="235" t="str">
        <f t="shared" si="1509"/>
        <v xml:space="preserve"> </v>
      </c>
    </row>
    <row r="930" spans="1:20" x14ac:dyDescent="0.25">
      <c r="F930" s="11"/>
      <c r="G930" s="11"/>
      <c r="H930" s="11"/>
      <c r="I930" s="11"/>
      <c r="J930" s="11"/>
      <c r="K930" s="11"/>
      <c r="R930" s="88"/>
      <c r="T930" s="235" t="str">
        <f t="shared" si="1509"/>
        <v xml:space="preserve"> </v>
      </c>
    </row>
    <row r="931" spans="1:20" ht="45" x14ac:dyDescent="0.25">
      <c r="A931" s="156">
        <v>119</v>
      </c>
      <c r="B931" s="3" t="s">
        <v>372</v>
      </c>
      <c r="C931" s="3" t="s">
        <v>278</v>
      </c>
      <c r="D931" s="4" t="s">
        <v>50</v>
      </c>
      <c r="E931" s="15"/>
      <c r="F931" s="10"/>
      <c r="G931" s="10"/>
      <c r="H931" s="26">
        <f>VLOOKUP($A931,'Model Inputs'!$A:$C,3,FALSE)</f>
        <v>1</v>
      </c>
      <c r="I931" s="10"/>
      <c r="J931" s="10">
        <f>SUBTOTAL(9,J932:J934)</f>
        <v>1290</v>
      </c>
      <c r="K931" s="10"/>
      <c r="L931" s="10">
        <v>0</v>
      </c>
      <c r="M931" s="10">
        <f>SUBTOTAL(9,M932:M934)</f>
        <v>0</v>
      </c>
      <c r="N931" s="10">
        <f t="shared" ref="N931" si="1565">SUBTOTAL(9,N932:N934)</f>
        <v>0</v>
      </c>
      <c r="O931" s="10">
        <f t="shared" ref="O931" si="1566">SUBTOTAL(9,O932:O934)</f>
        <v>0</v>
      </c>
      <c r="P931" s="10">
        <f t="shared" ref="P931" si="1567">SUBTOTAL(9,P932:P934)</f>
        <v>1290</v>
      </c>
      <c r="Q931" s="10">
        <f t="shared" ref="Q931" si="1568">SUBTOTAL(9,Q932:Q934)</f>
        <v>1290</v>
      </c>
      <c r="R931" s="86"/>
      <c r="T931" s="235" t="str">
        <f t="shared" si="1509"/>
        <v xml:space="preserve"> </v>
      </c>
    </row>
    <row r="932" spans="1:20" x14ac:dyDescent="0.25">
      <c r="A932" s="157"/>
      <c r="B932" s="6">
        <v>1</v>
      </c>
      <c r="C932" s="9" t="s">
        <v>51</v>
      </c>
      <c r="D932" s="6" t="s">
        <v>52</v>
      </c>
      <c r="E932" s="17" t="str">
        <f>VLOOKUP(C932,Resources!B:G,3,FALSE)</f>
        <v>S</v>
      </c>
      <c r="F932" s="12">
        <v>250</v>
      </c>
      <c r="G932" s="12">
        <v>1</v>
      </c>
      <c r="H932" s="12">
        <f>H931</f>
        <v>1</v>
      </c>
      <c r="I932" s="12">
        <f>VLOOKUP(C932,Resources!B:G,6,FALSE)</f>
        <v>2</v>
      </c>
      <c r="J932" s="21">
        <f t="shared" ref="J932:J934" si="1569">(H932/G932)*I932*F932</f>
        <v>500</v>
      </c>
      <c r="K932" s="21">
        <f t="shared" ref="K932:K934" si="1570">IF(E932="M"," ",L932*F932)</f>
        <v>250</v>
      </c>
      <c r="L932" s="24">
        <f t="shared" ref="L932:L934" si="1571">IF(E932="M"," ",H932/G932)</f>
        <v>1</v>
      </c>
      <c r="M932" s="24">
        <f t="shared" ref="M932:M934" si="1572">IF($E932="L",$J932,0)</f>
        <v>0</v>
      </c>
      <c r="N932" s="24">
        <f t="shared" ref="N932:N934" si="1573">IF($E932="M",$J932,0)</f>
        <v>0</v>
      </c>
      <c r="O932" s="24">
        <f t="shared" ref="O932:O934" si="1574">IF($E932="P",$J932,0)</f>
        <v>0</v>
      </c>
      <c r="P932" s="24">
        <f t="shared" ref="P932:P934" si="1575">IF($E932="S",$J932,0)</f>
        <v>500</v>
      </c>
      <c r="Q932" s="24">
        <f t="shared" ref="Q932:Q934" si="1576">SUM(M932:P932)</f>
        <v>500</v>
      </c>
      <c r="R932" s="87">
        <v>13</v>
      </c>
      <c r="T932" s="235" t="str">
        <f t="shared" si="1509"/>
        <v xml:space="preserve"> </v>
      </c>
    </row>
    <row r="933" spans="1:20" x14ac:dyDescent="0.25">
      <c r="A933" s="157"/>
      <c r="B933" s="6">
        <v>2</v>
      </c>
      <c r="C933" s="9" t="s">
        <v>63</v>
      </c>
      <c r="D933" s="6" t="s">
        <v>31</v>
      </c>
      <c r="E933" s="17" t="str">
        <f>VLOOKUP(C933,Resources!B:G,3,FALSE)</f>
        <v>S</v>
      </c>
      <c r="F933" s="12">
        <v>1</v>
      </c>
      <c r="G933" s="12">
        <v>1</v>
      </c>
      <c r="H933" s="12">
        <f>H931</f>
        <v>1</v>
      </c>
      <c r="I933" s="12">
        <f>VLOOKUP(C933,Resources!B:G,6,FALSE)</f>
        <v>390</v>
      </c>
      <c r="J933" s="21">
        <f t="shared" si="1569"/>
        <v>390</v>
      </c>
      <c r="K933" s="21">
        <f t="shared" si="1570"/>
        <v>1</v>
      </c>
      <c r="L933" s="24">
        <f t="shared" si="1571"/>
        <v>1</v>
      </c>
      <c r="M933" s="24">
        <f t="shared" si="1572"/>
        <v>0</v>
      </c>
      <c r="N933" s="24">
        <f t="shared" si="1573"/>
        <v>0</v>
      </c>
      <c r="O933" s="24">
        <f t="shared" si="1574"/>
        <v>0</v>
      </c>
      <c r="P933" s="24">
        <f t="shared" si="1575"/>
        <v>390</v>
      </c>
      <c r="Q933" s="24">
        <f t="shared" si="1576"/>
        <v>390</v>
      </c>
      <c r="R933" s="87">
        <v>13</v>
      </c>
      <c r="T933" s="235" t="str">
        <f t="shared" si="1509"/>
        <v xml:space="preserve"> </v>
      </c>
    </row>
    <row r="934" spans="1:20" x14ac:dyDescent="0.25">
      <c r="A934" s="157"/>
      <c r="B934" s="6">
        <v>3</v>
      </c>
      <c r="C934" s="9" t="s">
        <v>53</v>
      </c>
      <c r="D934" s="6" t="s">
        <v>31</v>
      </c>
      <c r="E934" s="17" t="str">
        <f>VLOOKUP(C934,Resources!B:G,3,FALSE)</f>
        <v>S</v>
      </c>
      <c r="F934" s="12">
        <v>1</v>
      </c>
      <c r="G934" s="12">
        <v>1</v>
      </c>
      <c r="H934" s="12">
        <f>H931</f>
        <v>1</v>
      </c>
      <c r="I934" s="12">
        <f>VLOOKUP(C934,Resources!B:G,6,FALSE)</f>
        <v>400</v>
      </c>
      <c r="J934" s="21">
        <f t="shared" si="1569"/>
        <v>400</v>
      </c>
      <c r="K934" s="21">
        <f t="shared" si="1570"/>
        <v>1</v>
      </c>
      <c r="L934" s="24">
        <f t="shared" si="1571"/>
        <v>1</v>
      </c>
      <c r="M934" s="24">
        <f t="shared" si="1572"/>
        <v>0</v>
      </c>
      <c r="N934" s="24">
        <f t="shared" si="1573"/>
        <v>0</v>
      </c>
      <c r="O934" s="24">
        <f t="shared" si="1574"/>
        <v>0</v>
      </c>
      <c r="P934" s="24">
        <f t="shared" si="1575"/>
        <v>400</v>
      </c>
      <c r="Q934" s="24">
        <f t="shared" si="1576"/>
        <v>400</v>
      </c>
      <c r="R934" s="87">
        <v>13</v>
      </c>
      <c r="T934" s="235" t="str">
        <f t="shared" si="1509"/>
        <v xml:space="preserve"> </v>
      </c>
    </row>
    <row r="935" spans="1:20" x14ac:dyDescent="0.25">
      <c r="F935" s="11"/>
      <c r="G935" s="11"/>
      <c r="H935" s="11"/>
      <c r="I935" s="11"/>
      <c r="J935" s="11"/>
      <c r="K935" s="11"/>
      <c r="R935" s="88"/>
      <c r="T935" s="235" t="str">
        <f t="shared" si="1509"/>
        <v xml:space="preserve"> </v>
      </c>
    </row>
    <row r="936" spans="1:20" ht="30" x14ac:dyDescent="0.25">
      <c r="A936" s="156">
        <v>120</v>
      </c>
      <c r="B936" s="3" t="s">
        <v>373</v>
      </c>
      <c r="C936" s="3" t="s">
        <v>280</v>
      </c>
      <c r="D936" s="4" t="s">
        <v>50</v>
      </c>
      <c r="E936" s="15"/>
      <c r="F936" s="10"/>
      <c r="G936" s="10"/>
      <c r="H936" s="26">
        <f>VLOOKUP($A936,'Model Inputs'!$A:$C,3,FALSE)</f>
        <v>1</v>
      </c>
      <c r="I936" s="10"/>
      <c r="J936" s="10">
        <f>SUBTOTAL(9,J937:J939)</f>
        <v>1290</v>
      </c>
      <c r="K936" s="10"/>
      <c r="L936" s="10">
        <v>0</v>
      </c>
      <c r="M936" s="10">
        <f>SUBTOTAL(9,M937:M939)</f>
        <v>0</v>
      </c>
      <c r="N936" s="10">
        <f t="shared" ref="N936" si="1577">SUBTOTAL(9,N937:N939)</f>
        <v>0</v>
      </c>
      <c r="O936" s="10">
        <f t="shared" ref="O936" si="1578">SUBTOTAL(9,O937:O939)</f>
        <v>0</v>
      </c>
      <c r="P936" s="10">
        <f t="shared" ref="P936" si="1579">SUBTOTAL(9,P937:P939)</f>
        <v>1290</v>
      </c>
      <c r="Q936" s="10">
        <f t="shared" ref="Q936" si="1580">SUBTOTAL(9,Q937:Q939)</f>
        <v>1290</v>
      </c>
      <c r="R936" s="86"/>
      <c r="T936" s="235" t="str">
        <f t="shared" si="1509"/>
        <v xml:space="preserve"> </v>
      </c>
    </row>
    <row r="937" spans="1:20" x14ac:dyDescent="0.25">
      <c r="A937" s="157"/>
      <c r="B937" s="6">
        <v>1</v>
      </c>
      <c r="C937" s="9" t="s">
        <v>51</v>
      </c>
      <c r="D937" s="6" t="s">
        <v>52</v>
      </c>
      <c r="E937" s="17" t="str">
        <f>VLOOKUP(C937,Resources!B:G,3,FALSE)</f>
        <v>S</v>
      </c>
      <c r="F937" s="12">
        <v>250</v>
      </c>
      <c r="G937" s="12">
        <v>1</v>
      </c>
      <c r="H937" s="12">
        <f>H936</f>
        <v>1</v>
      </c>
      <c r="I937" s="12">
        <f>VLOOKUP(C937,Resources!B:G,6,FALSE)</f>
        <v>2</v>
      </c>
      <c r="J937" s="21">
        <f t="shared" ref="J937:J939" si="1581">(H937/G937)*I937*F937</f>
        <v>500</v>
      </c>
      <c r="K937" s="21">
        <f t="shared" ref="K937:K939" si="1582">IF(E937="M"," ",L937*F937)</f>
        <v>250</v>
      </c>
      <c r="L937" s="24">
        <f t="shared" ref="L937:L939" si="1583">IF(E937="M"," ",H937/G937)</f>
        <v>1</v>
      </c>
      <c r="M937" s="24">
        <f t="shared" ref="M937:M939" si="1584">IF($E937="L",$J937,0)</f>
        <v>0</v>
      </c>
      <c r="N937" s="24">
        <f t="shared" ref="N937:N939" si="1585">IF($E937="M",$J937,0)</f>
        <v>0</v>
      </c>
      <c r="O937" s="24">
        <f t="shared" ref="O937:O939" si="1586">IF($E937="P",$J937,0)</f>
        <v>0</v>
      </c>
      <c r="P937" s="24">
        <f t="shared" ref="P937:P939" si="1587">IF($E937="S",$J937,0)</f>
        <v>500</v>
      </c>
      <c r="Q937" s="24">
        <f t="shared" ref="Q937:Q939" si="1588">SUM(M937:P937)</f>
        <v>500</v>
      </c>
      <c r="R937" s="87">
        <v>13</v>
      </c>
      <c r="T937" s="235" t="str">
        <f t="shared" si="1509"/>
        <v xml:space="preserve"> </v>
      </c>
    </row>
    <row r="938" spans="1:20" x14ac:dyDescent="0.25">
      <c r="A938" s="157"/>
      <c r="B938" s="6">
        <v>2</v>
      </c>
      <c r="C938" s="9" t="s">
        <v>63</v>
      </c>
      <c r="D938" s="6" t="s">
        <v>31</v>
      </c>
      <c r="E938" s="17" t="str">
        <f>VLOOKUP(C938,Resources!B:G,3,FALSE)</f>
        <v>S</v>
      </c>
      <c r="F938" s="12">
        <v>1</v>
      </c>
      <c r="G938" s="12">
        <v>1</v>
      </c>
      <c r="H938" s="12">
        <f>H936</f>
        <v>1</v>
      </c>
      <c r="I938" s="12">
        <f>VLOOKUP(C938,Resources!B:G,6,FALSE)</f>
        <v>390</v>
      </c>
      <c r="J938" s="21">
        <f t="shared" si="1581"/>
        <v>390</v>
      </c>
      <c r="K938" s="21">
        <f t="shared" si="1582"/>
        <v>1</v>
      </c>
      <c r="L938" s="24">
        <f t="shared" si="1583"/>
        <v>1</v>
      </c>
      <c r="M938" s="24">
        <f t="shared" si="1584"/>
        <v>0</v>
      </c>
      <c r="N938" s="24">
        <f t="shared" si="1585"/>
        <v>0</v>
      </c>
      <c r="O938" s="24">
        <f t="shared" si="1586"/>
        <v>0</v>
      </c>
      <c r="P938" s="24">
        <f t="shared" si="1587"/>
        <v>390</v>
      </c>
      <c r="Q938" s="24">
        <f t="shared" si="1588"/>
        <v>390</v>
      </c>
      <c r="R938" s="87">
        <v>13</v>
      </c>
      <c r="T938" s="235" t="str">
        <f t="shared" si="1509"/>
        <v xml:space="preserve"> </v>
      </c>
    </row>
    <row r="939" spans="1:20" x14ac:dyDescent="0.25">
      <c r="A939" s="157"/>
      <c r="B939" s="6">
        <v>3</v>
      </c>
      <c r="C939" s="9" t="s">
        <v>53</v>
      </c>
      <c r="D939" s="6" t="s">
        <v>31</v>
      </c>
      <c r="E939" s="17" t="str">
        <f>VLOOKUP(C939,Resources!B:G,3,FALSE)</f>
        <v>S</v>
      </c>
      <c r="F939" s="12">
        <v>1</v>
      </c>
      <c r="G939" s="12">
        <v>1</v>
      </c>
      <c r="H939" s="12">
        <f>H936</f>
        <v>1</v>
      </c>
      <c r="I939" s="12">
        <f>VLOOKUP(C939,Resources!B:G,6,FALSE)</f>
        <v>400</v>
      </c>
      <c r="J939" s="21">
        <f t="shared" si="1581"/>
        <v>400</v>
      </c>
      <c r="K939" s="21">
        <f t="shared" si="1582"/>
        <v>1</v>
      </c>
      <c r="L939" s="24">
        <f t="shared" si="1583"/>
        <v>1</v>
      </c>
      <c r="M939" s="24">
        <f t="shared" si="1584"/>
        <v>0</v>
      </c>
      <c r="N939" s="24">
        <f t="shared" si="1585"/>
        <v>0</v>
      </c>
      <c r="O939" s="24">
        <f t="shared" si="1586"/>
        <v>0</v>
      </c>
      <c r="P939" s="24">
        <f t="shared" si="1587"/>
        <v>400</v>
      </c>
      <c r="Q939" s="24">
        <f t="shared" si="1588"/>
        <v>400</v>
      </c>
      <c r="R939" s="87">
        <v>13</v>
      </c>
      <c r="T939" s="235" t="str">
        <f t="shared" si="1509"/>
        <v xml:space="preserve"> </v>
      </c>
    </row>
    <row r="940" spans="1:20" x14ac:dyDescent="0.25">
      <c r="F940" s="11"/>
      <c r="G940" s="11"/>
      <c r="H940" s="11"/>
      <c r="I940" s="11"/>
      <c r="J940" s="11"/>
      <c r="K940" s="11"/>
      <c r="R940" s="88"/>
      <c r="T940" s="235" t="str">
        <f t="shared" si="1509"/>
        <v xml:space="preserve"> </v>
      </c>
    </row>
    <row r="941" spans="1:20" ht="30" x14ac:dyDescent="0.25">
      <c r="A941" s="156"/>
      <c r="B941" s="3" t="s">
        <v>374</v>
      </c>
      <c r="C941" s="3"/>
      <c r="D941" s="4"/>
      <c r="E941" s="15"/>
      <c r="F941" s="10"/>
      <c r="G941" s="10"/>
      <c r="H941" s="10"/>
      <c r="I941" s="10"/>
      <c r="J941" s="10"/>
      <c r="K941" s="10"/>
      <c r="L941" s="23"/>
      <c r="M941" s="23"/>
      <c r="N941" s="23"/>
      <c r="O941" s="23"/>
      <c r="P941" s="23"/>
      <c r="Q941" s="23"/>
      <c r="R941" s="86"/>
      <c r="T941" s="235" t="str">
        <f t="shared" si="1509"/>
        <v xml:space="preserve"> </v>
      </c>
    </row>
    <row r="942" spans="1:20" ht="45" x14ac:dyDescent="0.25">
      <c r="A942" s="156">
        <v>121</v>
      </c>
      <c r="B942" s="3" t="s">
        <v>375</v>
      </c>
      <c r="C942" s="3" t="s">
        <v>282</v>
      </c>
      <c r="D942" s="4" t="s">
        <v>18</v>
      </c>
      <c r="E942" s="15"/>
      <c r="F942" s="10"/>
      <c r="G942" s="10"/>
      <c r="H942" s="26">
        <f>VLOOKUP($A942,'Model Inputs'!$A:$C,3,FALSE)</f>
        <v>1</v>
      </c>
      <c r="I942" s="10"/>
      <c r="J942" s="10">
        <f>SUBTOTAL(9,J943:J947)</f>
        <v>5321.3963963963961</v>
      </c>
      <c r="K942" s="10"/>
      <c r="L942" s="10">
        <f>ROUNDUP(MAX(L943:L945,L947)/Workhrs,0)</f>
        <v>2</v>
      </c>
      <c r="M942" s="10">
        <f>SUBTOTAL(9,M943:M947)</f>
        <v>1402.7027027027027</v>
      </c>
      <c r="N942" s="10">
        <f t="shared" ref="N942:Q942" si="1589">SUBTOTAL(9,N943:N947)</f>
        <v>0</v>
      </c>
      <c r="O942" s="10">
        <f t="shared" si="1589"/>
        <v>3693.6936936936936</v>
      </c>
      <c r="P942" s="10">
        <f t="shared" si="1589"/>
        <v>225</v>
      </c>
      <c r="Q942" s="10">
        <f t="shared" si="1589"/>
        <v>5321.3963963963961</v>
      </c>
      <c r="R942" s="86"/>
      <c r="T942" s="235" t="str">
        <f t="shared" si="1509"/>
        <v xml:space="preserve"> </v>
      </c>
    </row>
    <row r="943" spans="1:20" x14ac:dyDescent="0.25">
      <c r="A943" s="157">
        <v>121.1</v>
      </c>
      <c r="B943" s="6">
        <v>1</v>
      </c>
      <c r="C943" s="9" t="s">
        <v>70</v>
      </c>
      <c r="D943" s="6" t="s">
        <v>26</v>
      </c>
      <c r="E943" s="17" t="str">
        <f>VLOOKUP(C943,Resources!B:G,3,FALSE)</f>
        <v>P</v>
      </c>
      <c r="F943" s="12">
        <v>1</v>
      </c>
      <c r="G943" s="26">
        <f>VLOOKUP($A943,'Model Inputs'!$A:$C,3,FALSE)</f>
        <v>0.111</v>
      </c>
      <c r="H943" s="12">
        <f>H942</f>
        <v>1</v>
      </c>
      <c r="I943" s="12">
        <f>VLOOKUP(C943,Resources!B:G,6,FALSE)</f>
        <v>135</v>
      </c>
      <c r="J943" s="21">
        <f t="shared" ref="J943:J947" si="1590">(H943/G943)*I943*F943</f>
        <v>1216.2162162162163</v>
      </c>
      <c r="K943" s="21">
        <f t="shared" ref="K943:K947" si="1591">IF(E943="M"," ",L943*F943)</f>
        <v>9.0090090090090094</v>
      </c>
      <c r="L943" s="24">
        <f t="shared" ref="L943:L947" si="1592">IF(E943="M"," ",H943/G943)</f>
        <v>9.0090090090090094</v>
      </c>
      <c r="M943" s="24">
        <f t="shared" ref="M943:M947" si="1593">IF($E943="L",$J943,0)</f>
        <v>0</v>
      </c>
      <c r="N943" s="24">
        <f t="shared" ref="N943:N947" si="1594">IF($E943="M",$J943,0)</f>
        <v>0</v>
      </c>
      <c r="O943" s="24">
        <f t="shared" ref="O943:O947" si="1595">IF($E943="P",$J943,0)</f>
        <v>1216.2162162162163</v>
      </c>
      <c r="P943" s="24">
        <f t="shared" ref="P943:P947" si="1596">IF($E943="S",$J943,0)</f>
        <v>0</v>
      </c>
      <c r="Q943" s="24">
        <f t="shared" ref="Q943:Q947" si="1597">SUM(M943:P943)</f>
        <v>1216.2162162162163</v>
      </c>
      <c r="R943" s="87">
        <v>21</v>
      </c>
      <c r="T943" s="235" t="str">
        <f t="shared" si="1509"/>
        <v xml:space="preserve"> </v>
      </c>
    </row>
    <row r="944" spans="1:20" x14ac:dyDescent="0.25">
      <c r="A944" s="157"/>
      <c r="B944" s="6">
        <v>2</v>
      </c>
      <c r="C944" s="9" t="s">
        <v>27</v>
      </c>
      <c r="D944" s="6" t="s">
        <v>26</v>
      </c>
      <c r="E944" s="17" t="str">
        <f>VLOOKUP(C944,Resources!B:G,3,FALSE)</f>
        <v>P</v>
      </c>
      <c r="F944" s="12">
        <v>2</v>
      </c>
      <c r="G944" s="12">
        <f>G943</f>
        <v>0.111</v>
      </c>
      <c r="H944" s="12">
        <f>H942</f>
        <v>1</v>
      </c>
      <c r="I944" s="12">
        <f>VLOOKUP(C944,Resources!B:G,6,FALSE)</f>
        <v>90</v>
      </c>
      <c r="J944" s="21">
        <f t="shared" si="1590"/>
        <v>1621.6216216216217</v>
      </c>
      <c r="K944" s="21">
        <f t="shared" si="1591"/>
        <v>18.018018018018019</v>
      </c>
      <c r="L944" s="24">
        <f t="shared" si="1592"/>
        <v>9.0090090090090094</v>
      </c>
      <c r="M944" s="24">
        <f t="shared" si="1593"/>
        <v>0</v>
      </c>
      <c r="N944" s="24">
        <f t="shared" si="1594"/>
        <v>0</v>
      </c>
      <c r="O944" s="24">
        <f t="shared" si="1595"/>
        <v>1621.6216216216217</v>
      </c>
      <c r="P944" s="24">
        <f t="shared" si="1596"/>
        <v>0</v>
      </c>
      <c r="Q944" s="24">
        <f t="shared" si="1597"/>
        <v>1621.6216216216217</v>
      </c>
      <c r="R944" s="87">
        <v>21</v>
      </c>
      <c r="T944" s="235" t="str">
        <f t="shared" si="1509"/>
        <v xml:space="preserve"> </v>
      </c>
    </row>
    <row r="945" spans="1:21" x14ac:dyDescent="0.25">
      <c r="A945" s="157"/>
      <c r="B945" s="6">
        <v>3</v>
      </c>
      <c r="C945" s="9" t="s">
        <v>28</v>
      </c>
      <c r="D945" s="6" t="s">
        <v>26</v>
      </c>
      <c r="E945" s="17" t="str">
        <f>VLOOKUP(C945,Resources!B:G,3,FALSE)</f>
        <v>P</v>
      </c>
      <c r="F945" s="12">
        <v>1</v>
      </c>
      <c r="G945" s="12">
        <f>G943</f>
        <v>0.111</v>
      </c>
      <c r="H945" s="12">
        <f>H942</f>
        <v>1</v>
      </c>
      <c r="I945" s="12">
        <f>VLOOKUP(C945,Resources!B:G,6,FALSE)</f>
        <v>95</v>
      </c>
      <c r="J945" s="21">
        <f t="shared" si="1590"/>
        <v>855.85585585585591</v>
      </c>
      <c r="K945" s="21">
        <f t="shared" si="1591"/>
        <v>9.0090090090090094</v>
      </c>
      <c r="L945" s="24">
        <f t="shared" si="1592"/>
        <v>9.0090090090090094</v>
      </c>
      <c r="M945" s="24">
        <f t="shared" si="1593"/>
        <v>0</v>
      </c>
      <c r="N945" s="24">
        <f t="shared" si="1594"/>
        <v>0</v>
      </c>
      <c r="O945" s="24">
        <f t="shared" si="1595"/>
        <v>855.85585585585591</v>
      </c>
      <c r="P945" s="24">
        <f t="shared" si="1596"/>
        <v>0</v>
      </c>
      <c r="Q945" s="24">
        <f t="shared" si="1597"/>
        <v>855.85585585585591</v>
      </c>
      <c r="R945" s="87">
        <v>21</v>
      </c>
      <c r="T945" s="235" t="str">
        <f t="shared" si="1509"/>
        <v xml:space="preserve"> </v>
      </c>
    </row>
    <row r="946" spans="1:21" x14ac:dyDescent="0.25">
      <c r="A946" s="157"/>
      <c r="B946" s="6">
        <v>4</v>
      </c>
      <c r="C946" s="9" t="s">
        <v>283</v>
      </c>
      <c r="D946" s="6" t="s">
        <v>100</v>
      </c>
      <c r="E946" s="17" t="str">
        <f>VLOOKUP(C946,Resources!B:G,3,FALSE)</f>
        <v>S</v>
      </c>
      <c r="F946" s="12">
        <v>1</v>
      </c>
      <c r="G946" s="12">
        <v>1</v>
      </c>
      <c r="H946" s="12">
        <f>H942*15</f>
        <v>15</v>
      </c>
      <c r="I946" s="12">
        <f>VLOOKUP(C946,Resources!B:G,6,FALSE)</f>
        <v>15</v>
      </c>
      <c r="J946" s="21">
        <f t="shared" si="1590"/>
        <v>225</v>
      </c>
      <c r="K946" s="21">
        <f t="shared" si="1591"/>
        <v>15</v>
      </c>
      <c r="L946" s="24">
        <f t="shared" si="1592"/>
        <v>15</v>
      </c>
      <c r="M946" s="24">
        <f t="shared" si="1593"/>
        <v>0</v>
      </c>
      <c r="N946" s="24">
        <f t="shared" si="1594"/>
        <v>0</v>
      </c>
      <c r="O946" s="24">
        <f t="shared" si="1595"/>
        <v>0</v>
      </c>
      <c r="P946" s="24">
        <f t="shared" si="1596"/>
        <v>225</v>
      </c>
      <c r="Q946" s="24">
        <f t="shared" si="1597"/>
        <v>225</v>
      </c>
      <c r="R946" s="87">
        <v>21</v>
      </c>
      <c r="T946" s="235" t="str">
        <f t="shared" si="1509"/>
        <v xml:space="preserve"> </v>
      </c>
    </row>
    <row r="947" spans="1:21" x14ac:dyDescent="0.25">
      <c r="A947" s="157"/>
      <c r="B947" s="6">
        <v>5</v>
      </c>
      <c r="C947" s="9" t="s">
        <v>8</v>
      </c>
      <c r="D947" s="6" t="s">
        <v>26</v>
      </c>
      <c r="E947" s="17" t="str">
        <f>VLOOKUP(C947,Resources!B:G,3,FALSE)</f>
        <v>L</v>
      </c>
      <c r="F947" s="12">
        <v>3</v>
      </c>
      <c r="G947" s="12">
        <f>G943</f>
        <v>0.111</v>
      </c>
      <c r="H947" s="12">
        <f>H942</f>
        <v>1</v>
      </c>
      <c r="I947" s="12">
        <f>VLOOKUP(C947,Resources!B:G,6,FALSE)</f>
        <v>51.9</v>
      </c>
      <c r="J947" s="21">
        <f t="shared" si="1590"/>
        <v>1402.7027027027027</v>
      </c>
      <c r="K947" s="21">
        <f t="shared" si="1591"/>
        <v>27.027027027027028</v>
      </c>
      <c r="L947" s="24">
        <f t="shared" si="1592"/>
        <v>9.0090090090090094</v>
      </c>
      <c r="M947" s="24">
        <f t="shared" si="1593"/>
        <v>1402.7027027027027</v>
      </c>
      <c r="N947" s="24">
        <f t="shared" si="1594"/>
        <v>0</v>
      </c>
      <c r="O947" s="24">
        <f t="shared" si="1595"/>
        <v>0</v>
      </c>
      <c r="P947" s="24">
        <f t="shared" si="1596"/>
        <v>0</v>
      </c>
      <c r="Q947" s="24">
        <f t="shared" si="1597"/>
        <v>1402.7027027027027</v>
      </c>
      <c r="R947" s="87">
        <v>21</v>
      </c>
      <c r="T947" s="235" t="str">
        <f t="shared" si="1509"/>
        <v xml:space="preserve"> </v>
      </c>
    </row>
    <row r="948" spans="1:21" x14ac:dyDescent="0.25">
      <c r="F948" s="11"/>
      <c r="G948" s="11"/>
      <c r="H948" s="11"/>
      <c r="I948" s="11"/>
      <c r="J948" s="11"/>
      <c r="K948" s="11"/>
      <c r="R948" s="88"/>
      <c r="T948" s="235" t="str">
        <f t="shared" si="1509"/>
        <v xml:space="preserve"> </v>
      </c>
    </row>
    <row r="949" spans="1:21" ht="30" x14ac:dyDescent="0.25">
      <c r="A949" s="156"/>
      <c r="B949" s="3" t="s">
        <v>376</v>
      </c>
      <c r="C949" s="3"/>
      <c r="D949" s="4"/>
      <c r="E949" s="15"/>
      <c r="F949" s="10"/>
      <c r="G949" s="10"/>
      <c r="H949" s="10"/>
      <c r="I949" s="10"/>
      <c r="J949" s="10"/>
      <c r="K949" s="10"/>
      <c r="L949" s="23"/>
      <c r="M949" s="23"/>
      <c r="N949" s="23"/>
      <c r="O949" s="23"/>
      <c r="P949" s="23"/>
      <c r="Q949" s="23"/>
      <c r="R949" s="86"/>
      <c r="T949" s="235" t="str">
        <f t="shared" si="1509"/>
        <v xml:space="preserve"> </v>
      </c>
    </row>
    <row r="950" spans="1:21" ht="30" x14ac:dyDescent="0.25">
      <c r="A950" s="156"/>
      <c r="B950" s="3" t="s">
        <v>377</v>
      </c>
      <c r="C950" s="3" t="s">
        <v>378</v>
      </c>
      <c r="D950" s="4"/>
      <c r="E950" s="15"/>
      <c r="F950" s="10"/>
      <c r="G950" s="10"/>
      <c r="H950" s="10"/>
      <c r="I950" s="10"/>
      <c r="J950" s="10"/>
      <c r="K950" s="10"/>
      <c r="L950" s="23"/>
      <c r="M950" s="23"/>
      <c r="N950" s="23"/>
      <c r="O950" s="23"/>
      <c r="P950" s="23"/>
      <c r="Q950" s="23"/>
      <c r="R950" s="86"/>
      <c r="T950" s="235" t="str">
        <f t="shared" si="1509"/>
        <v xml:space="preserve"> </v>
      </c>
    </row>
    <row r="951" spans="1:21" ht="45" x14ac:dyDescent="0.25">
      <c r="A951" s="156">
        <v>122</v>
      </c>
      <c r="B951" s="3" t="s">
        <v>379</v>
      </c>
      <c r="C951" s="3" t="s">
        <v>604</v>
      </c>
      <c r="D951" s="4" t="s">
        <v>74</v>
      </c>
      <c r="E951" s="15"/>
      <c r="F951" s="10"/>
      <c r="G951" s="10"/>
      <c r="H951" s="26">
        <f>VLOOKUP($A951,'Model Inputs'!$A:$C,3,FALSE)</f>
        <v>396</v>
      </c>
      <c r="I951" s="10"/>
      <c r="J951" s="10">
        <f>SUBTOTAL(9,J952:J956)</f>
        <v>4967.1000000000004</v>
      </c>
      <c r="K951" s="10"/>
      <c r="L951" s="10">
        <f>ROUNDUP(MAX(L952:L956)/Workhrs,0)</f>
        <v>1</v>
      </c>
      <c r="M951" s="10">
        <f>SUBTOTAL(9,M952:M956)</f>
        <v>467.09999999999997</v>
      </c>
      <c r="N951" s="10">
        <f t="shared" ref="N951" si="1598">SUBTOTAL(9,N952:N956)</f>
        <v>0</v>
      </c>
      <c r="O951" s="10">
        <f t="shared" ref="O951" si="1599">SUBTOTAL(9,O952:O956)</f>
        <v>4500</v>
      </c>
      <c r="P951" s="10">
        <f t="shared" ref="P951" si="1600">SUBTOTAL(9,P952:P956)</f>
        <v>0</v>
      </c>
      <c r="Q951" s="10">
        <f t="shared" ref="Q951" si="1601">SUBTOTAL(9,Q952:Q956)</f>
        <v>4967.1000000000004</v>
      </c>
      <c r="R951" s="86"/>
      <c r="T951" s="235" t="str">
        <f t="shared" si="1509"/>
        <v xml:space="preserve"> </v>
      </c>
    </row>
    <row r="952" spans="1:21" s="18" customFormat="1" x14ac:dyDescent="0.25">
      <c r="A952" s="157"/>
      <c r="B952" s="6">
        <v>1</v>
      </c>
      <c r="C952" s="9" t="s">
        <v>75</v>
      </c>
      <c r="D952" s="6"/>
      <c r="E952" s="17"/>
      <c r="F952" s="12"/>
      <c r="G952" s="12"/>
      <c r="H952" s="12"/>
      <c r="I952" s="12"/>
      <c r="J952" s="21"/>
      <c r="K952" s="21"/>
      <c r="L952" s="24"/>
      <c r="M952" s="24"/>
      <c r="N952" s="24"/>
      <c r="O952" s="24"/>
      <c r="P952" s="24"/>
      <c r="Q952" s="24"/>
      <c r="R952" s="87"/>
      <c r="T952" s="235" t="str">
        <f t="shared" si="1509"/>
        <v xml:space="preserve"> </v>
      </c>
      <c r="U952" s="232"/>
    </row>
    <row r="953" spans="1:21" x14ac:dyDescent="0.25">
      <c r="A953" s="157">
        <v>122.1</v>
      </c>
      <c r="B953" s="6">
        <v>2</v>
      </c>
      <c r="C953" s="9" t="s">
        <v>70</v>
      </c>
      <c r="D953" s="6" t="s">
        <v>26</v>
      </c>
      <c r="E953" s="17" t="str">
        <f>VLOOKUP(C953,Resources!B:G,3,FALSE)</f>
        <v>P</v>
      </c>
      <c r="F953" s="12">
        <v>1</v>
      </c>
      <c r="G953" s="26">
        <f>VLOOKUP($A953,'Model Inputs'!$A:$C,3,FALSE)</f>
        <v>44</v>
      </c>
      <c r="H953" s="12">
        <f>H951</f>
        <v>396</v>
      </c>
      <c r="I953" s="12">
        <f>VLOOKUP(C953,Resources!B:G,6,FALSE)</f>
        <v>135</v>
      </c>
      <c r="J953" s="21">
        <f t="shared" ref="J953:J956" si="1602">(H953/G953)*I953*F953</f>
        <v>1215</v>
      </c>
      <c r="K953" s="21">
        <f t="shared" ref="K953:K956" si="1603">IF(E953="M"," ",L953*F953)</f>
        <v>9</v>
      </c>
      <c r="L953" s="24">
        <f t="shared" ref="L953:L956" si="1604">IF(E953="M"," ",H953/G953)</f>
        <v>9</v>
      </c>
      <c r="M953" s="24">
        <f t="shared" ref="M953:M956" si="1605">IF($E953="L",$J953,0)</f>
        <v>0</v>
      </c>
      <c r="N953" s="24">
        <f t="shared" ref="N953:N956" si="1606">IF($E953="M",$J953,0)</f>
        <v>0</v>
      </c>
      <c r="O953" s="24">
        <f t="shared" ref="O953:O956" si="1607">IF($E953="P",$J953,0)</f>
        <v>1215</v>
      </c>
      <c r="P953" s="24">
        <f t="shared" ref="P953:P956" si="1608">IF($E953="S",$J953,0)</f>
        <v>0</v>
      </c>
      <c r="Q953" s="24">
        <f t="shared" ref="Q953:Q956" si="1609">SUM(M953:P953)</f>
        <v>1215</v>
      </c>
      <c r="R953" s="87">
        <v>53</v>
      </c>
      <c r="T953" s="235" t="str">
        <f t="shared" si="1509"/>
        <v xml:space="preserve"> </v>
      </c>
    </row>
    <row r="954" spans="1:21" x14ac:dyDescent="0.25">
      <c r="A954" s="157"/>
      <c r="B954" s="6">
        <v>3</v>
      </c>
      <c r="C954" s="9" t="s">
        <v>27</v>
      </c>
      <c r="D954" s="6" t="s">
        <v>26</v>
      </c>
      <c r="E954" s="17" t="str">
        <f>VLOOKUP(C954,Resources!B:G,3,FALSE)</f>
        <v>P</v>
      </c>
      <c r="F954" s="12">
        <v>3</v>
      </c>
      <c r="G954" s="12">
        <f>G953</f>
        <v>44</v>
      </c>
      <c r="H954" s="12">
        <f>H951</f>
        <v>396</v>
      </c>
      <c r="I954" s="12">
        <f>VLOOKUP(C954,Resources!B:G,6,FALSE)</f>
        <v>90</v>
      </c>
      <c r="J954" s="21">
        <f t="shared" si="1602"/>
        <v>2430</v>
      </c>
      <c r="K954" s="21">
        <f t="shared" si="1603"/>
        <v>27</v>
      </c>
      <c r="L954" s="24">
        <f t="shared" si="1604"/>
        <v>9</v>
      </c>
      <c r="M954" s="24">
        <f t="shared" si="1605"/>
        <v>0</v>
      </c>
      <c r="N954" s="24">
        <f t="shared" si="1606"/>
        <v>0</v>
      </c>
      <c r="O954" s="24">
        <f t="shared" si="1607"/>
        <v>2430</v>
      </c>
      <c r="P954" s="24">
        <f t="shared" si="1608"/>
        <v>0</v>
      </c>
      <c r="Q954" s="24">
        <f t="shared" si="1609"/>
        <v>2430</v>
      </c>
      <c r="R954" s="87">
        <v>53</v>
      </c>
      <c r="T954" s="235" t="str">
        <f t="shared" si="1509"/>
        <v xml:space="preserve"> </v>
      </c>
    </row>
    <row r="955" spans="1:21" x14ac:dyDescent="0.25">
      <c r="A955" s="157"/>
      <c r="B955" s="6">
        <v>4</v>
      </c>
      <c r="C955" s="9" t="s">
        <v>28</v>
      </c>
      <c r="D955" s="6" t="s">
        <v>26</v>
      </c>
      <c r="E955" s="17" t="str">
        <f>VLOOKUP(C955,Resources!B:G,3,FALSE)</f>
        <v>P</v>
      </c>
      <c r="F955" s="12">
        <v>1</v>
      </c>
      <c r="G955" s="12">
        <f>G953</f>
        <v>44</v>
      </c>
      <c r="H955" s="12">
        <f>H951</f>
        <v>396</v>
      </c>
      <c r="I955" s="12">
        <f>VLOOKUP(C955,Resources!B:G,6,FALSE)</f>
        <v>95</v>
      </c>
      <c r="J955" s="21">
        <f t="shared" si="1602"/>
        <v>855</v>
      </c>
      <c r="K955" s="21">
        <f t="shared" si="1603"/>
        <v>9</v>
      </c>
      <c r="L955" s="24">
        <f t="shared" si="1604"/>
        <v>9</v>
      </c>
      <c r="M955" s="24">
        <f t="shared" si="1605"/>
        <v>0</v>
      </c>
      <c r="N955" s="24">
        <f t="shared" si="1606"/>
        <v>0</v>
      </c>
      <c r="O955" s="24">
        <f t="shared" si="1607"/>
        <v>855</v>
      </c>
      <c r="P955" s="24">
        <f t="shared" si="1608"/>
        <v>0</v>
      </c>
      <c r="Q955" s="24">
        <f t="shared" si="1609"/>
        <v>855</v>
      </c>
      <c r="R955" s="87">
        <v>53</v>
      </c>
      <c r="T955" s="235" t="str">
        <f t="shared" si="1509"/>
        <v xml:space="preserve"> </v>
      </c>
    </row>
    <row r="956" spans="1:21" x14ac:dyDescent="0.25">
      <c r="A956" s="157"/>
      <c r="B956" s="6">
        <v>5</v>
      </c>
      <c r="C956" s="9" t="s">
        <v>8</v>
      </c>
      <c r="D956" s="6" t="s">
        <v>26</v>
      </c>
      <c r="E956" s="17" t="str">
        <f>VLOOKUP(C956,Resources!B:G,3,FALSE)</f>
        <v>L</v>
      </c>
      <c r="F956" s="12">
        <v>1</v>
      </c>
      <c r="G956" s="12">
        <f>G953</f>
        <v>44</v>
      </c>
      <c r="H956" s="12">
        <f>H951</f>
        <v>396</v>
      </c>
      <c r="I956" s="12">
        <f>VLOOKUP(C956,Resources!B:G,6,FALSE)</f>
        <v>51.9</v>
      </c>
      <c r="J956" s="21">
        <f t="shared" si="1602"/>
        <v>467.09999999999997</v>
      </c>
      <c r="K956" s="21">
        <f t="shared" si="1603"/>
        <v>9</v>
      </c>
      <c r="L956" s="24">
        <f t="shared" si="1604"/>
        <v>9</v>
      </c>
      <c r="M956" s="24">
        <f t="shared" si="1605"/>
        <v>467.09999999999997</v>
      </c>
      <c r="N956" s="24">
        <f t="shared" si="1606"/>
        <v>0</v>
      </c>
      <c r="O956" s="24">
        <f t="shared" si="1607"/>
        <v>0</v>
      </c>
      <c r="P956" s="24">
        <f t="shared" si="1608"/>
        <v>0</v>
      </c>
      <c r="Q956" s="24">
        <f t="shared" si="1609"/>
        <v>467.09999999999997</v>
      </c>
      <c r="R956" s="87">
        <v>53</v>
      </c>
      <c r="T956" s="235" t="str">
        <f t="shared" si="1509"/>
        <v xml:space="preserve"> </v>
      </c>
    </row>
    <row r="957" spans="1:21" x14ac:dyDescent="0.25">
      <c r="F957" s="11"/>
      <c r="G957" s="11"/>
      <c r="H957" s="11"/>
      <c r="I957" s="11"/>
      <c r="J957" s="11"/>
      <c r="K957" s="11"/>
      <c r="R957" s="88"/>
      <c r="T957" s="235" t="str">
        <f t="shared" si="1509"/>
        <v xml:space="preserve"> </v>
      </c>
    </row>
    <row r="958" spans="1:21" ht="30" x14ac:dyDescent="0.25">
      <c r="A958" s="156">
        <v>123</v>
      </c>
      <c r="B958" s="3" t="s">
        <v>380</v>
      </c>
      <c r="C958" s="3" t="s">
        <v>80</v>
      </c>
      <c r="D958" s="4" t="s">
        <v>74</v>
      </c>
      <c r="E958" s="15"/>
      <c r="F958" s="10"/>
      <c r="G958" s="10"/>
      <c r="H958" s="26">
        <f>VLOOKUP($A958,'Model Inputs'!$A:$C,3,FALSE)</f>
        <v>50</v>
      </c>
      <c r="I958" s="10"/>
      <c r="J958" s="10">
        <f>SUBTOTAL(9,J959:J964)</f>
        <v>3143.5</v>
      </c>
      <c r="K958" s="10"/>
      <c r="L958" s="10">
        <f>ROUNDUP(MAX(L959:L964)/Workhrs,0)</f>
        <v>1</v>
      </c>
      <c r="M958" s="10">
        <f>SUBTOTAL(9,M959:M964)</f>
        <v>778.5</v>
      </c>
      <c r="N958" s="10">
        <f t="shared" ref="N958:Q958" si="1610">SUBTOTAL(9,N959:N964)</f>
        <v>0</v>
      </c>
      <c r="O958" s="10">
        <f t="shared" si="1610"/>
        <v>2365</v>
      </c>
      <c r="P958" s="10">
        <f t="shared" si="1610"/>
        <v>0</v>
      </c>
      <c r="Q958" s="10">
        <f t="shared" si="1610"/>
        <v>3143.5</v>
      </c>
      <c r="R958" s="86"/>
      <c r="T958" s="235" t="str">
        <f t="shared" si="1509"/>
        <v xml:space="preserve"> </v>
      </c>
    </row>
    <row r="959" spans="1:21" x14ac:dyDescent="0.25">
      <c r="A959" s="157">
        <v>123.1</v>
      </c>
      <c r="B959" s="6">
        <v>1</v>
      </c>
      <c r="C959" s="9" t="s">
        <v>70</v>
      </c>
      <c r="D959" s="6" t="s">
        <v>26</v>
      </c>
      <c r="E959" s="17" t="str">
        <f>VLOOKUP(C959,Resources!B:G,3,FALSE)</f>
        <v>P</v>
      </c>
      <c r="F959" s="12">
        <v>1</v>
      </c>
      <c r="G959" s="26">
        <f>VLOOKUP($A959,'Model Inputs'!$A:$C,3,FALSE)</f>
        <v>10</v>
      </c>
      <c r="H959" s="12">
        <f>H958</f>
        <v>50</v>
      </c>
      <c r="I959" s="12">
        <f>VLOOKUP(C959,Resources!B:G,6,FALSE)</f>
        <v>135</v>
      </c>
      <c r="J959" s="21">
        <f t="shared" ref="J959:J964" si="1611">(H959/G959)*I959*F959</f>
        <v>675</v>
      </c>
      <c r="K959" s="21">
        <f t="shared" ref="K959:K964" si="1612">IF(E959="M"," ",L959*F959)</f>
        <v>5</v>
      </c>
      <c r="L959" s="24">
        <f t="shared" ref="L959:L964" si="1613">IF(E959="M"," ",H959/G959)</f>
        <v>5</v>
      </c>
      <c r="M959" s="24">
        <f t="shared" ref="M959:M964" si="1614">IF($E959="L",$J959,0)</f>
        <v>0</v>
      </c>
      <c r="N959" s="24">
        <f t="shared" ref="N959:N964" si="1615">IF($E959="M",$J959,0)</f>
        <v>0</v>
      </c>
      <c r="O959" s="24">
        <f t="shared" ref="O959:O964" si="1616">IF($E959="P",$J959,0)</f>
        <v>675</v>
      </c>
      <c r="P959" s="24">
        <f t="shared" ref="P959:P964" si="1617">IF($E959="S",$J959,0)</f>
        <v>0</v>
      </c>
      <c r="Q959" s="24">
        <f t="shared" ref="Q959:Q964" si="1618">SUM(M959:P959)</f>
        <v>675</v>
      </c>
      <c r="R959" s="87">
        <v>57</v>
      </c>
      <c r="T959" s="235" t="str">
        <f t="shared" si="1509"/>
        <v xml:space="preserve"> </v>
      </c>
    </row>
    <row r="960" spans="1:21" x14ac:dyDescent="0.25">
      <c r="A960" s="157"/>
      <c r="B960" s="6">
        <v>2</v>
      </c>
      <c r="C960" s="9" t="s">
        <v>27</v>
      </c>
      <c r="D960" s="6" t="s">
        <v>26</v>
      </c>
      <c r="E960" s="17" t="str">
        <f>VLOOKUP(C960,Resources!B:G,3,FALSE)</f>
        <v>P</v>
      </c>
      <c r="F960" s="12">
        <v>1</v>
      </c>
      <c r="G960" s="12">
        <f>G959</f>
        <v>10</v>
      </c>
      <c r="H960" s="12">
        <f>H958</f>
        <v>50</v>
      </c>
      <c r="I960" s="12">
        <f>VLOOKUP(C960,Resources!B:G,6,FALSE)</f>
        <v>90</v>
      </c>
      <c r="J960" s="21">
        <f t="shared" si="1611"/>
        <v>450</v>
      </c>
      <c r="K960" s="21">
        <f t="shared" si="1612"/>
        <v>5</v>
      </c>
      <c r="L960" s="24">
        <f t="shared" si="1613"/>
        <v>5</v>
      </c>
      <c r="M960" s="24">
        <f t="shared" si="1614"/>
        <v>0</v>
      </c>
      <c r="N960" s="24">
        <f t="shared" si="1615"/>
        <v>0</v>
      </c>
      <c r="O960" s="24">
        <f t="shared" si="1616"/>
        <v>450</v>
      </c>
      <c r="P960" s="24">
        <f t="shared" si="1617"/>
        <v>0</v>
      </c>
      <c r="Q960" s="24">
        <f t="shared" si="1618"/>
        <v>450</v>
      </c>
      <c r="R960" s="87">
        <v>57</v>
      </c>
      <c r="T960" s="235" t="str">
        <f t="shared" si="1509"/>
        <v xml:space="preserve"> </v>
      </c>
    </row>
    <row r="961" spans="1:20" x14ac:dyDescent="0.25">
      <c r="A961" s="157"/>
      <c r="B961" s="6">
        <v>3</v>
      </c>
      <c r="C961" s="9" t="s">
        <v>81</v>
      </c>
      <c r="D961" s="6" t="s">
        <v>26</v>
      </c>
      <c r="E961" s="17" t="str">
        <f>VLOOKUP(C961,Resources!B:G,3,FALSE)</f>
        <v>P</v>
      </c>
      <c r="F961" s="12">
        <v>1</v>
      </c>
      <c r="G961" s="12">
        <f>G959</f>
        <v>10</v>
      </c>
      <c r="H961" s="12">
        <f>H958</f>
        <v>50</v>
      </c>
      <c r="I961" s="12">
        <f>VLOOKUP(C961,Resources!B:G,6,FALSE)</f>
        <v>58</v>
      </c>
      <c r="J961" s="21">
        <f t="shared" si="1611"/>
        <v>290</v>
      </c>
      <c r="K961" s="21">
        <f t="shared" si="1612"/>
        <v>5</v>
      </c>
      <c r="L961" s="24">
        <f t="shared" si="1613"/>
        <v>5</v>
      </c>
      <c r="M961" s="24">
        <f t="shared" si="1614"/>
        <v>0</v>
      </c>
      <c r="N961" s="24">
        <f t="shared" si="1615"/>
        <v>0</v>
      </c>
      <c r="O961" s="24">
        <f t="shared" si="1616"/>
        <v>290</v>
      </c>
      <c r="P961" s="24">
        <f t="shared" si="1617"/>
        <v>0</v>
      </c>
      <c r="Q961" s="24">
        <f t="shared" si="1618"/>
        <v>290</v>
      </c>
      <c r="R961" s="87">
        <v>57</v>
      </c>
      <c r="T961" s="235" t="str">
        <f t="shared" si="1509"/>
        <v xml:space="preserve"> </v>
      </c>
    </row>
    <row r="962" spans="1:20" x14ac:dyDescent="0.25">
      <c r="A962" s="157"/>
      <c r="B962" s="6">
        <v>4</v>
      </c>
      <c r="C962" s="9" t="s">
        <v>28</v>
      </c>
      <c r="D962" s="6" t="s">
        <v>26</v>
      </c>
      <c r="E962" s="17" t="str">
        <f>VLOOKUP(C962,Resources!B:G,3,FALSE)</f>
        <v>P</v>
      </c>
      <c r="F962" s="12">
        <v>1</v>
      </c>
      <c r="G962" s="12">
        <f>G959</f>
        <v>10</v>
      </c>
      <c r="H962" s="12">
        <f>H958</f>
        <v>50</v>
      </c>
      <c r="I962" s="12">
        <f>VLOOKUP(C962,Resources!B:G,6,FALSE)</f>
        <v>95</v>
      </c>
      <c r="J962" s="21">
        <f t="shared" si="1611"/>
        <v>475</v>
      </c>
      <c r="K962" s="21">
        <f t="shared" si="1612"/>
        <v>5</v>
      </c>
      <c r="L962" s="24">
        <f t="shared" si="1613"/>
        <v>5</v>
      </c>
      <c r="M962" s="24">
        <f t="shared" si="1614"/>
        <v>0</v>
      </c>
      <c r="N962" s="24">
        <f t="shared" si="1615"/>
        <v>0</v>
      </c>
      <c r="O962" s="24">
        <f t="shared" si="1616"/>
        <v>475</v>
      </c>
      <c r="P962" s="24">
        <f t="shared" si="1617"/>
        <v>0</v>
      </c>
      <c r="Q962" s="24">
        <f t="shared" si="1618"/>
        <v>475</v>
      </c>
      <c r="R962" s="87">
        <v>57</v>
      </c>
      <c r="T962" s="235" t="str">
        <f t="shared" si="1509"/>
        <v xml:space="preserve"> </v>
      </c>
    </row>
    <row r="963" spans="1:20" x14ac:dyDescent="0.25">
      <c r="A963" s="157"/>
      <c r="B963" s="6">
        <v>5</v>
      </c>
      <c r="C963" s="9" t="s">
        <v>8</v>
      </c>
      <c r="D963" s="6" t="s">
        <v>26</v>
      </c>
      <c r="E963" s="17" t="str">
        <f>VLOOKUP(C963,Resources!B:G,3,FALSE)</f>
        <v>L</v>
      </c>
      <c r="F963" s="12">
        <v>3</v>
      </c>
      <c r="G963" s="12">
        <f>G959</f>
        <v>10</v>
      </c>
      <c r="H963" s="12">
        <f>H958</f>
        <v>50</v>
      </c>
      <c r="I963" s="12">
        <f>VLOOKUP(C963,Resources!B:G,6,FALSE)</f>
        <v>51.9</v>
      </c>
      <c r="J963" s="21">
        <f t="shared" si="1611"/>
        <v>778.5</v>
      </c>
      <c r="K963" s="21">
        <f t="shared" si="1612"/>
        <v>15</v>
      </c>
      <c r="L963" s="24">
        <f t="shared" si="1613"/>
        <v>5</v>
      </c>
      <c r="M963" s="24">
        <f t="shared" si="1614"/>
        <v>778.5</v>
      </c>
      <c r="N963" s="24">
        <f t="shared" si="1615"/>
        <v>0</v>
      </c>
      <c r="O963" s="24">
        <f t="shared" si="1616"/>
        <v>0</v>
      </c>
      <c r="P963" s="24">
        <f t="shared" si="1617"/>
        <v>0</v>
      </c>
      <c r="Q963" s="24">
        <f t="shared" si="1618"/>
        <v>778.5</v>
      </c>
      <c r="R963" s="87">
        <v>57</v>
      </c>
      <c r="T963" s="235" t="str">
        <f t="shared" si="1509"/>
        <v xml:space="preserve"> </v>
      </c>
    </row>
    <row r="964" spans="1:20" x14ac:dyDescent="0.25">
      <c r="A964" s="157"/>
      <c r="B964" s="6">
        <v>6</v>
      </c>
      <c r="C964" s="9" t="s">
        <v>82</v>
      </c>
      <c r="D964" s="6" t="s">
        <v>26</v>
      </c>
      <c r="E964" s="17" t="str">
        <f>VLOOKUP(C964,Resources!B:G,3,FALSE)</f>
        <v>P</v>
      </c>
      <c r="F964" s="12">
        <v>1</v>
      </c>
      <c r="G964" s="12">
        <f>G959</f>
        <v>10</v>
      </c>
      <c r="H964" s="12">
        <f>H958</f>
        <v>50</v>
      </c>
      <c r="I964" s="12">
        <f>VLOOKUP(C964,Resources!B:G,6,FALSE)</f>
        <v>95</v>
      </c>
      <c r="J964" s="21">
        <f t="shared" si="1611"/>
        <v>475</v>
      </c>
      <c r="K964" s="21">
        <f t="shared" si="1612"/>
        <v>5</v>
      </c>
      <c r="L964" s="24">
        <f t="shared" si="1613"/>
        <v>5</v>
      </c>
      <c r="M964" s="24">
        <f t="shared" si="1614"/>
        <v>0</v>
      </c>
      <c r="N964" s="24">
        <f t="shared" si="1615"/>
        <v>0</v>
      </c>
      <c r="O964" s="24">
        <f t="shared" si="1616"/>
        <v>475</v>
      </c>
      <c r="P964" s="24">
        <f t="shared" si="1617"/>
        <v>0</v>
      </c>
      <c r="Q964" s="24">
        <f t="shared" si="1618"/>
        <v>475</v>
      </c>
      <c r="R964" s="87">
        <v>57</v>
      </c>
      <c r="T964" s="235" t="str">
        <f t="shared" si="1509"/>
        <v xml:space="preserve"> </v>
      </c>
    </row>
    <row r="965" spans="1:20" x14ac:dyDescent="0.25">
      <c r="F965" s="11"/>
      <c r="G965" s="11"/>
      <c r="H965" s="11"/>
      <c r="I965" s="11"/>
      <c r="J965" s="11"/>
      <c r="K965" s="11"/>
      <c r="R965" s="88"/>
      <c r="T965" s="235" t="str">
        <f t="shared" si="1509"/>
        <v xml:space="preserve"> </v>
      </c>
    </row>
    <row r="966" spans="1:20" ht="30" x14ac:dyDescent="0.25">
      <c r="A966" s="156"/>
      <c r="B966" s="3" t="s">
        <v>381</v>
      </c>
      <c r="C966" s="3"/>
      <c r="D966" s="4"/>
      <c r="E966" s="15"/>
      <c r="F966" s="10"/>
      <c r="G966" s="10"/>
      <c r="H966" s="10"/>
      <c r="I966" s="10"/>
      <c r="J966" s="10"/>
      <c r="K966" s="10"/>
      <c r="L966" s="23"/>
      <c r="M966" s="23"/>
      <c r="N966" s="23"/>
      <c r="O966" s="23"/>
      <c r="P966" s="23"/>
      <c r="Q966" s="23"/>
      <c r="R966" s="86"/>
      <c r="T966" s="235" t="str">
        <f t="shared" si="1509"/>
        <v xml:space="preserve"> </v>
      </c>
    </row>
    <row r="967" spans="1:20" ht="60" x14ac:dyDescent="0.25">
      <c r="A967" s="156"/>
      <c r="B967" s="3" t="s">
        <v>382</v>
      </c>
      <c r="C967" s="3" t="s">
        <v>383</v>
      </c>
      <c r="D967" s="4"/>
      <c r="E967" s="15"/>
      <c r="F967" s="10"/>
      <c r="G967" s="10"/>
      <c r="H967" s="10"/>
      <c r="I967" s="10"/>
      <c r="J967" s="10"/>
      <c r="K967" s="10"/>
      <c r="L967" s="23"/>
      <c r="M967" s="23"/>
      <c r="N967" s="23"/>
      <c r="O967" s="23"/>
      <c r="P967" s="23"/>
      <c r="Q967" s="23"/>
      <c r="R967" s="86"/>
      <c r="T967" s="235" t="str">
        <f t="shared" si="1509"/>
        <v xml:space="preserve"> </v>
      </c>
    </row>
    <row r="968" spans="1:20" ht="75" x14ac:dyDescent="0.25">
      <c r="A968" s="156">
        <v>124</v>
      </c>
      <c r="B968" s="3" t="s">
        <v>384</v>
      </c>
      <c r="C968" s="3" t="s">
        <v>605</v>
      </c>
      <c r="D968" s="4" t="s">
        <v>88</v>
      </c>
      <c r="E968" s="15"/>
      <c r="F968" s="10"/>
      <c r="G968" s="10"/>
      <c r="H968" s="26">
        <f>VLOOKUP($A968,'Model Inputs'!$A:$C,3,FALSE)</f>
        <v>434</v>
      </c>
      <c r="I968" s="10"/>
      <c r="J968" s="10">
        <f>SUBTOTAL(9,J969:J975)</f>
        <v>1270.2456666666665</v>
      </c>
      <c r="K968" s="10"/>
      <c r="L968" s="10">
        <f>ROUNDUP(MAX(L969:L975)/Workhrs,0)</f>
        <v>1</v>
      </c>
      <c r="M968" s="10">
        <f>SUBTOTAL(9,M969:M975)</f>
        <v>337.86899999999997</v>
      </c>
      <c r="N968" s="10">
        <f t="shared" ref="N968:Q968" si="1619">SUBTOTAL(9,N969:N975)</f>
        <v>0</v>
      </c>
      <c r="O968" s="10">
        <f t="shared" si="1619"/>
        <v>932.37666666666667</v>
      </c>
      <c r="P968" s="10">
        <f t="shared" si="1619"/>
        <v>0</v>
      </c>
      <c r="Q968" s="10">
        <f t="shared" si="1619"/>
        <v>1270.2456666666665</v>
      </c>
      <c r="R968" s="86"/>
      <c r="T968" s="235" t="str">
        <f t="shared" ref="T968:T1031" si="1620">IF(R968=$U$7,"y"," ")</f>
        <v xml:space="preserve"> </v>
      </c>
    </row>
    <row r="969" spans="1:20" x14ac:dyDescent="0.25">
      <c r="A969" s="157">
        <v>124.1</v>
      </c>
      <c r="B969" s="6">
        <v>1</v>
      </c>
      <c r="C969" s="9" t="s">
        <v>78</v>
      </c>
      <c r="D969" s="6" t="s">
        <v>26</v>
      </c>
      <c r="E969" s="17" t="str">
        <f>VLOOKUP(C969,Resources!B:G,3,FALSE)</f>
        <v>P</v>
      </c>
      <c r="F969" s="12">
        <v>1</v>
      </c>
      <c r="G969" s="26">
        <f>VLOOKUP($A969,'Model Inputs'!$A:$C,3,FALSE)</f>
        <v>200</v>
      </c>
      <c r="H969" s="12">
        <f>H968</f>
        <v>434</v>
      </c>
      <c r="I969" s="12">
        <f>VLOOKUP(C969,Resources!B:G,6,FALSE)</f>
        <v>160</v>
      </c>
      <c r="J969" s="21">
        <f t="shared" ref="J969:J975" si="1621">(H969/G969)*I969*F969</f>
        <v>347.2</v>
      </c>
      <c r="K969" s="21">
        <f t="shared" ref="K969:K975" si="1622">IF(E969="M"," ",L969*F969)</f>
        <v>2.17</v>
      </c>
      <c r="L969" s="24">
        <f t="shared" ref="L969:L975" si="1623">IF(E969="M"," ",H969/G969)</f>
        <v>2.17</v>
      </c>
      <c r="M969" s="24">
        <f t="shared" ref="M969:M975" si="1624">IF($E969="L",$J969,0)</f>
        <v>0</v>
      </c>
      <c r="N969" s="24">
        <f t="shared" ref="N969:N975" si="1625">IF($E969="M",$J969,0)</f>
        <v>0</v>
      </c>
      <c r="O969" s="24">
        <f t="shared" ref="O969:O975" si="1626">IF($E969="P",$J969,0)</f>
        <v>347.2</v>
      </c>
      <c r="P969" s="24">
        <f t="shared" ref="P969:P975" si="1627">IF($E969="S",$J969,0)</f>
        <v>0</v>
      </c>
      <c r="Q969" s="24">
        <f t="shared" ref="Q969:Q975" si="1628">SUM(M969:P969)</f>
        <v>347.2</v>
      </c>
      <c r="R969" s="87">
        <v>61</v>
      </c>
      <c r="T969" s="235" t="str">
        <f t="shared" si="1620"/>
        <v xml:space="preserve"> </v>
      </c>
    </row>
    <row r="970" spans="1:20" x14ac:dyDescent="0.25">
      <c r="A970" s="157"/>
      <c r="B970" s="6">
        <v>2</v>
      </c>
      <c r="C970" s="9" t="s">
        <v>89</v>
      </c>
      <c r="D970" s="6" t="s">
        <v>26</v>
      </c>
      <c r="E970" s="17" t="str">
        <f>VLOOKUP(C970,Resources!B:G,3,FALSE)</f>
        <v>P</v>
      </c>
      <c r="F970" s="12">
        <v>1</v>
      </c>
      <c r="G970" s="12">
        <f>G969</f>
        <v>200</v>
      </c>
      <c r="H970" s="12">
        <f>H968</f>
        <v>434</v>
      </c>
      <c r="I970" s="12">
        <f>VLOOKUP(C970,Resources!B:G,6,FALSE)</f>
        <v>55</v>
      </c>
      <c r="J970" s="21">
        <f t="shared" si="1621"/>
        <v>119.35</v>
      </c>
      <c r="K970" s="21">
        <f t="shared" si="1622"/>
        <v>2.17</v>
      </c>
      <c r="L970" s="24">
        <f t="shared" si="1623"/>
        <v>2.17</v>
      </c>
      <c r="M970" s="24">
        <f t="shared" si="1624"/>
        <v>0</v>
      </c>
      <c r="N970" s="24">
        <f t="shared" si="1625"/>
        <v>0</v>
      </c>
      <c r="O970" s="24">
        <f t="shared" si="1626"/>
        <v>119.35</v>
      </c>
      <c r="P970" s="24">
        <f t="shared" si="1627"/>
        <v>0</v>
      </c>
      <c r="Q970" s="24">
        <f t="shared" si="1628"/>
        <v>119.35</v>
      </c>
      <c r="R970" s="87">
        <v>61</v>
      </c>
      <c r="T970" s="235" t="str">
        <f t="shared" si="1620"/>
        <v xml:space="preserve"> </v>
      </c>
    </row>
    <row r="971" spans="1:20" x14ac:dyDescent="0.25">
      <c r="A971" s="157"/>
      <c r="B971" s="6">
        <v>3</v>
      </c>
      <c r="C971" s="9" t="s">
        <v>81</v>
      </c>
      <c r="D971" s="6" t="s">
        <v>26</v>
      </c>
      <c r="E971" s="17" t="str">
        <f>VLOOKUP(C971,Resources!B:G,3,FALSE)</f>
        <v>P</v>
      </c>
      <c r="F971" s="12">
        <v>1</v>
      </c>
      <c r="G971" s="12">
        <f>G969</f>
        <v>200</v>
      </c>
      <c r="H971" s="12">
        <f>H968</f>
        <v>434</v>
      </c>
      <c r="I971" s="12">
        <f>VLOOKUP(C971,Resources!B:G,6,FALSE)</f>
        <v>58</v>
      </c>
      <c r="J971" s="21">
        <f t="shared" si="1621"/>
        <v>125.86</v>
      </c>
      <c r="K971" s="21">
        <f t="shared" si="1622"/>
        <v>2.17</v>
      </c>
      <c r="L971" s="24">
        <f t="shared" si="1623"/>
        <v>2.17</v>
      </c>
      <c r="M971" s="24">
        <f t="shared" si="1624"/>
        <v>0</v>
      </c>
      <c r="N971" s="24">
        <f t="shared" si="1625"/>
        <v>0</v>
      </c>
      <c r="O971" s="24">
        <f t="shared" si="1626"/>
        <v>125.86</v>
      </c>
      <c r="P971" s="24">
        <f t="shared" si="1627"/>
        <v>0</v>
      </c>
      <c r="Q971" s="24">
        <f t="shared" si="1628"/>
        <v>125.86</v>
      </c>
      <c r="R971" s="87">
        <v>61</v>
      </c>
      <c r="T971" s="235" t="str">
        <f t="shared" si="1620"/>
        <v xml:space="preserve"> </v>
      </c>
    </row>
    <row r="972" spans="1:20" x14ac:dyDescent="0.25">
      <c r="A972" s="157"/>
      <c r="B972" s="6">
        <v>4</v>
      </c>
      <c r="C972" s="9" t="s">
        <v>28</v>
      </c>
      <c r="D972" s="6" t="s">
        <v>26</v>
      </c>
      <c r="E972" s="17" t="str">
        <f>VLOOKUP(C972,Resources!B:G,3,FALSE)</f>
        <v>P</v>
      </c>
      <c r="F972" s="12">
        <v>1</v>
      </c>
      <c r="G972" s="12">
        <f>G969</f>
        <v>200</v>
      </c>
      <c r="H972" s="12">
        <f>H968</f>
        <v>434</v>
      </c>
      <c r="I972" s="12">
        <f>VLOOKUP(C972,Resources!B:G,6,FALSE)</f>
        <v>95</v>
      </c>
      <c r="J972" s="21">
        <f t="shared" si="1621"/>
        <v>206.15</v>
      </c>
      <c r="K972" s="21">
        <f t="shared" si="1622"/>
        <v>2.17</v>
      </c>
      <c r="L972" s="24">
        <f t="shared" si="1623"/>
        <v>2.17</v>
      </c>
      <c r="M972" s="24">
        <f t="shared" si="1624"/>
        <v>0</v>
      </c>
      <c r="N972" s="24">
        <f t="shared" si="1625"/>
        <v>0</v>
      </c>
      <c r="O972" s="24">
        <f t="shared" si="1626"/>
        <v>206.15</v>
      </c>
      <c r="P972" s="24">
        <f t="shared" si="1627"/>
        <v>0</v>
      </c>
      <c r="Q972" s="24">
        <f t="shared" si="1628"/>
        <v>206.15</v>
      </c>
      <c r="R972" s="87">
        <v>61</v>
      </c>
      <c r="T972" s="235" t="str">
        <f t="shared" si="1620"/>
        <v xml:space="preserve"> </v>
      </c>
    </row>
    <row r="973" spans="1:20" x14ac:dyDescent="0.25">
      <c r="A973" s="157"/>
      <c r="B973" s="6">
        <v>5</v>
      </c>
      <c r="C973" s="9" t="s">
        <v>8</v>
      </c>
      <c r="D973" s="6" t="s">
        <v>26</v>
      </c>
      <c r="E973" s="17" t="str">
        <f>VLOOKUP(C973,Resources!B:G,3,FALSE)</f>
        <v>L</v>
      </c>
      <c r="F973" s="12">
        <v>3</v>
      </c>
      <c r="G973" s="12">
        <f>G969</f>
        <v>200</v>
      </c>
      <c r="H973" s="12">
        <f>H968</f>
        <v>434</v>
      </c>
      <c r="I973" s="12">
        <f>VLOOKUP(C973,Resources!B:G,6,FALSE)</f>
        <v>51.9</v>
      </c>
      <c r="J973" s="21">
        <f t="shared" si="1621"/>
        <v>337.86899999999997</v>
      </c>
      <c r="K973" s="21">
        <f t="shared" si="1622"/>
        <v>6.51</v>
      </c>
      <c r="L973" s="24">
        <f t="shared" si="1623"/>
        <v>2.17</v>
      </c>
      <c r="M973" s="24">
        <f t="shared" si="1624"/>
        <v>337.86899999999997</v>
      </c>
      <c r="N973" s="24">
        <f t="shared" si="1625"/>
        <v>0</v>
      </c>
      <c r="O973" s="24">
        <f t="shared" si="1626"/>
        <v>0</v>
      </c>
      <c r="P973" s="24">
        <f t="shared" si="1627"/>
        <v>0</v>
      </c>
      <c r="Q973" s="24">
        <f t="shared" si="1628"/>
        <v>337.86899999999997</v>
      </c>
      <c r="R973" s="87">
        <v>61</v>
      </c>
      <c r="T973" s="235" t="str">
        <f t="shared" si="1620"/>
        <v xml:space="preserve"> </v>
      </c>
    </row>
    <row r="974" spans="1:20" x14ac:dyDescent="0.25">
      <c r="A974" s="157"/>
      <c r="B974" s="6">
        <v>6</v>
      </c>
      <c r="C974" s="9" t="s">
        <v>82</v>
      </c>
      <c r="D974" s="6" t="s">
        <v>26</v>
      </c>
      <c r="E974" s="17" t="str">
        <f>VLOOKUP(C974,Resources!B:G,3,FALSE)</f>
        <v>P</v>
      </c>
      <c r="F974" s="12">
        <v>1</v>
      </c>
      <c r="G974" s="12">
        <f>G969*3</f>
        <v>600</v>
      </c>
      <c r="H974" s="12">
        <f>H968</f>
        <v>434</v>
      </c>
      <c r="I974" s="12">
        <f>VLOOKUP(C974,Resources!B:G,6,FALSE)</f>
        <v>95</v>
      </c>
      <c r="J974" s="21">
        <f t="shared" si="1621"/>
        <v>68.716666666666669</v>
      </c>
      <c r="K974" s="21">
        <f t="shared" si="1622"/>
        <v>0.72333333333333338</v>
      </c>
      <c r="L974" s="24">
        <f t="shared" si="1623"/>
        <v>0.72333333333333338</v>
      </c>
      <c r="M974" s="24">
        <f t="shared" si="1624"/>
        <v>0</v>
      </c>
      <c r="N974" s="24">
        <f t="shared" si="1625"/>
        <v>0</v>
      </c>
      <c r="O974" s="24">
        <f t="shared" si="1626"/>
        <v>68.716666666666669</v>
      </c>
      <c r="P974" s="24">
        <f t="shared" si="1627"/>
        <v>0</v>
      </c>
      <c r="Q974" s="24">
        <f t="shared" si="1628"/>
        <v>68.716666666666669</v>
      </c>
      <c r="R974" s="87">
        <v>61</v>
      </c>
      <c r="T974" s="235" t="str">
        <f t="shared" si="1620"/>
        <v xml:space="preserve"> </v>
      </c>
    </row>
    <row r="975" spans="1:20" x14ac:dyDescent="0.25">
      <c r="A975" s="157"/>
      <c r="B975" s="6">
        <v>7</v>
      </c>
      <c r="C975" s="9" t="s">
        <v>27</v>
      </c>
      <c r="D975" s="6" t="s">
        <v>26</v>
      </c>
      <c r="E975" s="17" t="str">
        <f>VLOOKUP(C975,Resources!B:G,3,FALSE)</f>
        <v>P</v>
      </c>
      <c r="F975" s="12">
        <v>1</v>
      </c>
      <c r="G975" s="12">
        <f>G969*3</f>
        <v>600</v>
      </c>
      <c r="H975" s="12">
        <f>H968</f>
        <v>434</v>
      </c>
      <c r="I975" s="12">
        <f>VLOOKUP(C975,Resources!B:G,6,FALSE)</f>
        <v>90</v>
      </c>
      <c r="J975" s="21">
        <f t="shared" si="1621"/>
        <v>65.100000000000009</v>
      </c>
      <c r="K975" s="21">
        <f t="shared" si="1622"/>
        <v>0.72333333333333338</v>
      </c>
      <c r="L975" s="24">
        <f t="shared" si="1623"/>
        <v>0.72333333333333338</v>
      </c>
      <c r="M975" s="24">
        <f t="shared" si="1624"/>
        <v>0</v>
      </c>
      <c r="N975" s="24">
        <f t="shared" si="1625"/>
        <v>0</v>
      </c>
      <c r="O975" s="24">
        <f t="shared" si="1626"/>
        <v>65.100000000000009</v>
      </c>
      <c r="P975" s="24">
        <f t="shared" si="1627"/>
        <v>0</v>
      </c>
      <c r="Q975" s="24">
        <f t="shared" si="1628"/>
        <v>65.100000000000009</v>
      </c>
      <c r="R975" s="87">
        <v>61</v>
      </c>
      <c r="T975" s="235" t="str">
        <f t="shared" si="1620"/>
        <v xml:space="preserve"> </v>
      </c>
    </row>
    <row r="976" spans="1:20" x14ac:dyDescent="0.25">
      <c r="F976" s="11"/>
      <c r="G976" s="11"/>
      <c r="H976" s="11"/>
      <c r="I976" s="11"/>
      <c r="J976" s="11"/>
      <c r="K976" s="11"/>
      <c r="R976" s="88"/>
      <c r="T976" s="235" t="str">
        <f t="shared" si="1620"/>
        <v xml:space="preserve"> </v>
      </c>
    </row>
    <row r="977" spans="1:20" ht="30" x14ac:dyDescent="0.25">
      <c r="A977" s="156">
        <v>125</v>
      </c>
      <c r="B977" s="3" t="s">
        <v>386</v>
      </c>
      <c r="C977" s="3" t="s">
        <v>387</v>
      </c>
      <c r="D977" s="4" t="s">
        <v>88</v>
      </c>
      <c r="E977" s="15"/>
      <c r="F977" s="10"/>
      <c r="G977" s="10"/>
      <c r="H977" s="26">
        <f>VLOOKUP($A977,'Model Inputs'!$A:$C,3,FALSE)</f>
        <v>830</v>
      </c>
      <c r="I977" s="10"/>
      <c r="J977" s="10">
        <f>SUBTOTAL(9,J978:J984)</f>
        <v>2429.2716666666665</v>
      </c>
      <c r="K977" s="10"/>
      <c r="L977" s="10">
        <f>ROUNDUP(MAX(L978:L984)/Workhrs,0)</f>
        <v>1</v>
      </c>
      <c r="M977" s="10">
        <f>SUBTOTAL(9,M978:M984)</f>
        <v>646.15500000000009</v>
      </c>
      <c r="N977" s="10">
        <f t="shared" ref="N977" si="1629">SUBTOTAL(9,N978:N984)</f>
        <v>0</v>
      </c>
      <c r="O977" s="10">
        <f t="shared" ref="O977" si="1630">SUBTOTAL(9,O978:O984)</f>
        <v>1783.1166666666668</v>
      </c>
      <c r="P977" s="10">
        <f t="shared" ref="P977" si="1631">SUBTOTAL(9,P978:P984)</f>
        <v>0</v>
      </c>
      <c r="Q977" s="10">
        <f t="shared" ref="Q977" si="1632">SUBTOTAL(9,Q978:Q984)</f>
        <v>2429.2716666666665</v>
      </c>
      <c r="R977" s="86"/>
      <c r="T977" s="235" t="str">
        <f t="shared" si="1620"/>
        <v xml:space="preserve"> </v>
      </c>
    </row>
    <row r="978" spans="1:20" x14ac:dyDescent="0.25">
      <c r="A978" s="157">
        <v>125.1</v>
      </c>
      <c r="B978" s="6">
        <v>1</v>
      </c>
      <c r="C978" s="9" t="s">
        <v>78</v>
      </c>
      <c r="D978" s="6" t="s">
        <v>26</v>
      </c>
      <c r="E978" s="17" t="str">
        <f>VLOOKUP(C978,Resources!B:G,3,FALSE)</f>
        <v>P</v>
      </c>
      <c r="F978" s="12">
        <v>1</v>
      </c>
      <c r="G978" s="26">
        <f>VLOOKUP($A978,'Model Inputs'!$A:$C,3,FALSE)</f>
        <v>200</v>
      </c>
      <c r="H978" s="12">
        <f>H977</f>
        <v>830</v>
      </c>
      <c r="I978" s="12">
        <f>VLOOKUP(C978,Resources!B:G,6,FALSE)</f>
        <v>160</v>
      </c>
      <c r="J978" s="21">
        <f t="shared" ref="J978:J984" si="1633">(H978/G978)*I978*F978</f>
        <v>664</v>
      </c>
      <c r="K978" s="21">
        <f t="shared" ref="K978:K984" si="1634">IF(E978="M"," ",L978*F978)</f>
        <v>4.1500000000000004</v>
      </c>
      <c r="L978" s="24">
        <f t="shared" ref="L978:L984" si="1635">IF(E978="M"," ",H978/G978)</f>
        <v>4.1500000000000004</v>
      </c>
      <c r="M978" s="24">
        <f t="shared" ref="M978:M984" si="1636">IF($E978="L",$J978,0)</f>
        <v>0</v>
      </c>
      <c r="N978" s="24">
        <f t="shared" ref="N978:N984" si="1637">IF($E978="M",$J978,0)</f>
        <v>0</v>
      </c>
      <c r="O978" s="24">
        <f t="shared" ref="O978:O984" si="1638">IF($E978="P",$J978,0)</f>
        <v>664</v>
      </c>
      <c r="P978" s="24">
        <f t="shared" ref="P978:P984" si="1639">IF($E978="S",$J978,0)</f>
        <v>0</v>
      </c>
      <c r="Q978" s="24">
        <f t="shared" ref="Q978:Q984" si="1640">SUM(M978:P978)</f>
        <v>664</v>
      </c>
      <c r="R978" s="87">
        <v>61</v>
      </c>
      <c r="T978" s="235" t="str">
        <f t="shared" si="1620"/>
        <v xml:space="preserve"> </v>
      </c>
    </row>
    <row r="979" spans="1:20" x14ac:dyDescent="0.25">
      <c r="A979" s="157"/>
      <c r="B979" s="6">
        <v>2</v>
      </c>
      <c r="C979" s="9" t="s">
        <v>89</v>
      </c>
      <c r="D979" s="6" t="s">
        <v>26</v>
      </c>
      <c r="E979" s="17" t="str">
        <f>VLOOKUP(C979,Resources!B:G,3,FALSE)</f>
        <v>P</v>
      </c>
      <c r="F979" s="12">
        <v>1</v>
      </c>
      <c r="G979" s="12">
        <f>G978</f>
        <v>200</v>
      </c>
      <c r="H979" s="12">
        <f>H977</f>
        <v>830</v>
      </c>
      <c r="I979" s="12">
        <f>VLOOKUP(C979,Resources!B:G,6,FALSE)</f>
        <v>55</v>
      </c>
      <c r="J979" s="21">
        <f t="shared" si="1633"/>
        <v>228.25000000000003</v>
      </c>
      <c r="K979" s="21">
        <f t="shared" si="1634"/>
        <v>4.1500000000000004</v>
      </c>
      <c r="L979" s="24">
        <f t="shared" si="1635"/>
        <v>4.1500000000000004</v>
      </c>
      <c r="M979" s="24">
        <f t="shared" si="1636"/>
        <v>0</v>
      </c>
      <c r="N979" s="24">
        <f t="shared" si="1637"/>
        <v>0</v>
      </c>
      <c r="O979" s="24">
        <f t="shared" si="1638"/>
        <v>228.25000000000003</v>
      </c>
      <c r="P979" s="24">
        <f t="shared" si="1639"/>
        <v>0</v>
      </c>
      <c r="Q979" s="24">
        <f t="shared" si="1640"/>
        <v>228.25000000000003</v>
      </c>
      <c r="R979" s="87">
        <v>61</v>
      </c>
      <c r="T979" s="235" t="str">
        <f t="shared" si="1620"/>
        <v xml:space="preserve"> </v>
      </c>
    </row>
    <row r="980" spans="1:20" x14ac:dyDescent="0.25">
      <c r="A980" s="157"/>
      <c r="B980" s="6">
        <v>3</v>
      </c>
      <c r="C980" s="9" t="s">
        <v>81</v>
      </c>
      <c r="D980" s="6" t="s">
        <v>26</v>
      </c>
      <c r="E980" s="17" t="str">
        <f>VLOOKUP(C980,Resources!B:G,3,FALSE)</f>
        <v>P</v>
      </c>
      <c r="F980" s="12">
        <v>1</v>
      </c>
      <c r="G980" s="12">
        <f>G978</f>
        <v>200</v>
      </c>
      <c r="H980" s="12">
        <f>H977</f>
        <v>830</v>
      </c>
      <c r="I980" s="12">
        <f>VLOOKUP(C980,Resources!B:G,6,FALSE)</f>
        <v>58</v>
      </c>
      <c r="J980" s="21">
        <f t="shared" si="1633"/>
        <v>240.70000000000002</v>
      </c>
      <c r="K980" s="21">
        <f t="shared" si="1634"/>
        <v>4.1500000000000004</v>
      </c>
      <c r="L980" s="24">
        <f t="shared" si="1635"/>
        <v>4.1500000000000004</v>
      </c>
      <c r="M980" s="24">
        <f t="shared" si="1636"/>
        <v>0</v>
      </c>
      <c r="N980" s="24">
        <f t="shared" si="1637"/>
        <v>0</v>
      </c>
      <c r="O980" s="24">
        <f t="shared" si="1638"/>
        <v>240.70000000000002</v>
      </c>
      <c r="P980" s="24">
        <f t="shared" si="1639"/>
        <v>0</v>
      </c>
      <c r="Q980" s="24">
        <f t="shared" si="1640"/>
        <v>240.70000000000002</v>
      </c>
      <c r="R980" s="87">
        <v>61</v>
      </c>
      <c r="T980" s="235" t="str">
        <f t="shared" si="1620"/>
        <v xml:space="preserve"> </v>
      </c>
    </row>
    <row r="981" spans="1:20" x14ac:dyDescent="0.25">
      <c r="A981" s="157"/>
      <c r="B981" s="6">
        <v>4</v>
      </c>
      <c r="C981" s="9" t="s">
        <v>28</v>
      </c>
      <c r="D981" s="6" t="s">
        <v>26</v>
      </c>
      <c r="E981" s="17" t="str">
        <f>VLOOKUP(C981,Resources!B:G,3,FALSE)</f>
        <v>P</v>
      </c>
      <c r="F981" s="12">
        <v>1</v>
      </c>
      <c r="G981" s="12">
        <f>G978</f>
        <v>200</v>
      </c>
      <c r="H981" s="12">
        <f>H977</f>
        <v>830</v>
      </c>
      <c r="I981" s="12">
        <f>VLOOKUP(C981,Resources!B:G,6,FALSE)</f>
        <v>95</v>
      </c>
      <c r="J981" s="21">
        <f t="shared" si="1633"/>
        <v>394.25000000000006</v>
      </c>
      <c r="K981" s="21">
        <f t="shared" si="1634"/>
        <v>4.1500000000000004</v>
      </c>
      <c r="L981" s="24">
        <f t="shared" si="1635"/>
        <v>4.1500000000000004</v>
      </c>
      <c r="M981" s="24">
        <f t="shared" si="1636"/>
        <v>0</v>
      </c>
      <c r="N981" s="24">
        <f t="shared" si="1637"/>
        <v>0</v>
      </c>
      <c r="O981" s="24">
        <f t="shared" si="1638"/>
        <v>394.25000000000006</v>
      </c>
      <c r="P981" s="24">
        <f t="shared" si="1639"/>
        <v>0</v>
      </c>
      <c r="Q981" s="24">
        <f t="shared" si="1640"/>
        <v>394.25000000000006</v>
      </c>
      <c r="R981" s="87">
        <v>61</v>
      </c>
      <c r="T981" s="235" t="str">
        <f t="shared" si="1620"/>
        <v xml:space="preserve"> </v>
      </c>
    </row>
    <row r="982" spans="1:20" x14ac:dyDescent="0.25">
      <c r="A982" s="157"/>
      <c r="B982" s="6">
        <v>5</v>
      </c>
      <c r="C982" s="9" t="s">
        <v>8</v>
      </c>
      <c r="D982" s="6" t="s">
        <v>26</v>
      </c>
      <c r="E982" s="17" t="str">
        <f>VLOOKUP(C982,Resources!B:G,3,FALSE)</f>
        <v>L</v>
      </c>
      <c r="F982" s="12">
        <v>3</v>
      </c>
      <c r="G982" s="12">
        <f>G978</f>
        <v>200</v>
      </c>
      <c r="H982" s="12">
        <f>H977</f>
        <v>830</v>
      </c>
      <c r="I982" s="12">
        <f>VLOOKUP(C982,Resources!B:G,6,FALSE)</f>
        <v>51.9</v>
      </c>
      <c r="J982" s="21">
        <f t="shared" si="1633"/>
        <v>646.15500000000009</v>
      </c>
      <c r="K982" s="21">
        <f t="shared" si="1634"/>
        <v>12.450000000000001</v>
      </c>
      <c r="L982" s="24">
        <f t="shared" si="1635"/>
        <v>4.1500000000000004</v>
      </c>
      <c r="M982" s="24">
        <f t="shared" si="1636"/>
        <v>646.15500000000009</v>
      </c>
      <c r="N982" s="24">
        <f t="shared" si="1637"/>
        <v>0</v>
      </c>
      <c r="O982" s="24">
        <f t="shared" si="1638"/>
        <v>0</v>
      </c>
      <c r="P982" s="24">
        <f t="shared" si="1639"/>
        <v>0</v>
      </c>
      <c r="Q982" s="24">
        <f t="shared" si="1640"/>
        <v>646.15500000000009</v>
      </c>
      <c r="R982" s="87">
        <v>61</v>
      </c>
      <c r="T982" s="235" t="str">
        <f t="shared" si="1620"/>
        <v xml:space="preserve"> </v>
      </c>
    </row>
    <row r="983" spans="1:20" x14ac:dyDescent="0.25">
      <c r="A983" s="157"/>
      <c r="B983" s="6">
        <v>6</v>
      </c>
      <c r="C983" s="9" t="s">
        <v>82</v>
      </c>
      <c r="D983" s="6" t="s">
        <v>26</v>
      </c>
      <c r="E983" s="17" t="str">
        <f>VLOOKUP(C983,Resources!B:G,3,FALSE)</f>
        <v>P</v>
      </c>
      <c r="F983" s="12">
        <v>1</v>
      </c>
      <c r="G983" s="12">
        <f>G978*3</f>
        <v>600</v>
      </c>
      <c r="H983" s="12">
        <f>H977</f>
        <v>830</v>
      </c>
      <c r="I983" s="12">
        <f>VLOOKUP(C983,Resources!B:G,6,FALSE)</f>
        <v>95</v>
      </c>
      <c r="J983" s="21">
        <f t="shared" si="1633"/>
        <v>131.41666666666666</v>
      </c>
      <c r="K983" s="21">
        <f t="shared" si="1634"/>
        <v>1.3833333333333333</v>
      </c>
      <c r="L983" s="24">
        <f t="shared" si="1635"/>
        <v>1.3833333333333333</v>
      </c>
      <c r="M983" s="24">
        <f t="shared" si="1636"/>
        <v>0</v>
      </c>
      <c r="N983" s="24">
        <f t="shared" si="1637"/>
        <v>0</v>
      </c>
      <c r="O983" s="24">
        <f t="shared" si="1638"/>
        <v>131.41666666666666</v>
      </c>
      <c r="P983" s="24">
        <f t="shared" si="1639"/>
        <v>0</v>
      </c>
      <c r="Q983" s="24">
        <f t="shared" si="1640"/>
        <v>131.41666666666666</v>
      </c>
      <c r="R983" s="87">
        <v>61</v>
      </c>
      <c r="T983" s="235" t="str">
        <f t="shared" si="1620"/>
        <v xml:space="preserve"> </v>
      </c>
    </row>
    <row r="984" spans="1:20" x14ac:dyDescent="0.25">
      <c r="A984" s="157"/>
      <c r="B984" s="6">
        <v>7</v>
      </c>
      <c r="C984" s="9" t="s">
        <v>27</v>
      </c>
      <c r="D984" s="6" t="s">
        <v>26</v>
      </c>
      <c r="E984" s="17" t="str">
        <f>VLOOKUP(C984,Resources!B:G,3,FALSE)</f>
        <v>P</v>
      </c>
      <c r="F984" s="12">
        <v>1</v>
      </c>
      <c r="G984" s="12">
        <f>G978*3</f>
        <v>600</v>
      </c>
      <c r="H984" s="12">
        <f>H977</f>
        <v>830</v>
      </c>
      <c r="I984" s="12">
        <f>VLOOKUP(C984,Resources!B:G,6,FALSE)</f>
        <v>90</v>
      </c>
      <c r="J984" s="21">
        <f t="shared" si="1633"/>
        <v>124.5</v>
      </c>
      <c r="K984" s="21">
        <f t="shared" si="1634"/>
        <v>1.3833333333333333</v>
      </c>
      <c r="L984" s="24">
        <f t="shared" si="1635"/>
        <v>1.3833333333333333</v>
      </c>
      <c r="M984" s="24">
        <f t="shared" si="1636"/>
        <v>0</v>
      </c>
      <c r="N984" s="24">
        <f t="shared" si="1637"/>
        <v>0</v>
      </c>
      <c r="O984" s="24">
        <f t="shared" si="1638"/>
        <v>124.5</v>
      </c>
      <c r="P984" s="24">
        <f t="shared" si="1639"/>
        <v>0</v>
      </c>
      <c r="Q984" s="24">
        <f t="shared" si="1640"/>
        <v>124.5</v>
      </c>
      <c r="R984" s="87">
        <v>61</v>
      </c>
      <c r="T984" s="235" t="str">
        <f t="shared" si="1620"/>
        <v xml:space="preserve"> </v>
      </c>
    </row>
    <row r="985" spans="1:20" x14ac:dyDescent="0.25">
      <c r="F985" s="11"/>
      <c r="G985" s="11"/>
      <c r="H985" s="11"/>
      <c r="I985" s="11"/>
      <c r="J985" s="11"/>
      <c r="K985" s="11"/>
      <c r="R985" s="88"/>
      <c r="T985" s="235" t="str">
        <f t="shared" si="1620"/>
        <v xml:space="preserve"> </v>
      </c>
    </row>
    <row r="986" spans="1:20" ht="30" x14ac:dyDescent="0.25">
      <c r="A986" s="156"/>
      <c r="B986" s="3" t="s">
        <v>388</v>
      </c>
      <c r="C986" s="3"/>
      <c r="D986" s="4"/>
      <c r="E986" s="15"/>
      <c r="F986" s="10"/>
      <c r="G986" s="10"/>
      <c r="H986" s="10"/>
      <c r="I986" s="10"/>
      <c r="J986" s="10"/>
      <c r="K986" s="10"/>
      <c r="L986" s="23"/>
      <c r="M986" s="23"/>
      <c r="N986" s="23"/>
      <c r="O986" s="23"/>
      <c r="P986" s="23"/>
      <c r="Q986" s="23"/>
      <c r="R986" s="86"/>
      <c r="T986" s="235" t="str">
        <f t="shared" si="1620"/>
        <v xml:space="preserve"> </v>
      </c>
    </row>
    <row r="987" spans="1:20" ht="45" x14ac:dyDescent="0.25">
      <c r="A987" s="156"/>
      <c r="B987" s="3" t="s">
        <v>389</v>
      </c>
      <c r="C987" s="3" t="s">
        <v>91</v>
      </c>
      <c r="D987" s="4"/>
      <c r="E987" s="15"/>
      <c r="F987" s="10"/>
      <c r="G987" s="10"/>
      <c r="H987" s="10"/>
      <c r="I987" s="10"/>
      <c r="J987" s="10"/>
      <c r="K987" s="10"/>
      <c r="L987" s="23"/>
      <c r="M987" s="23"/>
      <c r="N987" s="23"/>
      <c r="O987" s="23"/>
      <c r="P987" s="23"/>
      <c r="Q987" s="23"/>
      <c r="R987" s="86"/>
      <c r="T987" s="235" t="str">
        <f t="shared" si="1620"/>
        <v xml:space="preserve"> </v>
      </c>
    </row>
    <row r="988" spans="1:20" ht="60" x14ac:dyDescent="0.25">
      <c r="A988" s="156">
        <v>126</v>
      </c>
      <c r="B988" s="3" t="s">
        <v>390</v>
      </c>
      <c r="C988" s="3" t="s">
        <v>606</v>
      </c>
      <c r="D988" s="4" t="s">
        <v>88</v>
      </c>
      <c r="E988" s="15"/>
      <c r="F988" s="10"/>
      <c r="G988" s="10"/>
      <c r="H988" s="26">
        <f>VLOOKUP($A988,'Model Inputs'!$A:$C,3,FALSE)</f>
        <v>283</v>
      </c>
      <c r="I988" s="10"/>
      <c r="J988" s="10">
        <f>SUBTOTAL(9,J989:J995)</f>
        <v>599.30824242424251</v>
      </c>
      <c r="K988" s="10"/>
      <c r="L988" s="10">
        <f>ROUNDUP(MAX(L989:L995)/Workhrs,0)</f>
        <v>1</v>
      </c>
      <c r="M988" s="10">
        <f>SUBTOTAL(9,M989:M995)</f>
        <v>160.22945454545453</v>
      </c>
      <c r="N988" s="10">
        <f t="shared" ref="N988" si="1641">SUBTOTAL(9,N989:N995)</f>
        <v>0</v>
      </c>
      <c r="O988" s="10">
        <f t="shared" ref="O988" si="1642">SUBTOTAL(9,O989:O995)</f>
        <v>439.07878787878786</v>
      </c>
      <c r="P988" s="10">
        <f t="shared" ref="P988" si="1643">SUBTOTAL(9,P989:P995)</f>
        <v>0</v>
      </c>
      <c r="Q988" s="10">
        <f t="shared" ref="Q988" si="1644">SUBTOTAL(9,Q989:Q995)</f>
        <v>599.30824242424251</v>
      </c>
      <c r="R988" s="86"/>
      <c r="T988" s="235" t="str">
        <f t="shared" si="1620"/>
        <v xml:space="preserve"> </v>
      </c>
    </row>
    <row r="989" spans="1:20" x14ac:dyDescent="0.25">
      <c r="A989" s="157">
        <v>126.1</v>
      </c>
      <c r="B989" s="6">
        <v>1</v>
      </c>
      <c r="C989" s="9" t="s">
        <v>78</v>
      </c>
      <c r="D989" s="6" t="s">
        <v>26</v>
      </c>
      <c r="E989" s="17" t="str">
        <f>VLOOKUP(C989,Resources!B:G,3,FALSE)</f>
        <v>P</v>
      </c>
      <c r="F989" s="12">
        <v>1</v>
      </c>
      <c r="G989" s="26">
        <f>VLOOKUP($A989,'Model Inputs'!$A:$C,3,FALSE)</f>
        <v>275</v>
      </c>
      <c r="H989" s="12">
        <f>H988</f>
        <v>283</v>
      </c>
      <c r="I989" s="12">
        <f>VLOOKUP(C989,Resources!B:G,6,FALSE)</f>
        <v>160</v>
      </c>
      <c r="J989" s="21">
        <f t="shared" ref="J989:J995" si="1645">(H989/G989)*I989*F989</f>
        <v>164.65454545454546</v>
      </c>
      <c r="K989" s="21">
        <f t="shared" ref="K989:K995" si="1646">IF(E989="M"," ",L989*F989)</f>
        <v>1.0290909090909091</v>
      </c>
      <c r="L989" s="24">
        <f t="shared" ref="L989:L995" si="1647">IF(E989="M"," ",H989/G989)</f>
        <v>1.0290909090909091</v>
      </c>
      <c r="M989" s="24">
        <f t="shared" ref="M989:M995" si="1648">IF($E989="L",$J989,0)</f>
        <v>0</v>
      </c>
      <c r="N989" s="24">
        <f t="shared" ref="N989:N995" si="1649">IF($E989="M",$J989,0)</f>
        <v>0</v>
      </c>
      <c r="O989" s="24">
        <f t="shared" ref="O989:O995" si="1650">IF($E989="P",$J989,0)</f>
        <v>164.65454545454546</v>
      </c>
      <c r="P989" s="24">
        <f t="shared" ref="P989:P995" si="1651">IF($E989="S",$J989,0)</f>
        <v>0</v>
      </c>
      <c r="Q989" s="24">
        <f t="shared" ref="Q989:Q995" si="1652">SUM(M989:P989)</f>
        <v>164.65454545454546</v>
      </c>
      <c r="R989" s="87">
        <v>63</v>
      </c>
      <c r="T989" s="235" t="str">
        <f t="shared" si="1620"/>
        <v xml:space="preserve"> </v>
      </c>
    </row>
    <row r="990" spans="1:20" x14ac:dyDescent="0.25">
      <c r="A990" s="157"/>
      <c r="B990" s="6">
        <v>2</v>
      </c>
      <c r="C990" s="9" t="s">
        <v>89</v>
      </c>
      <c r="D990" s="6" t="s">
        <v>26</v>
      </c>
      <c r="E990" s="17" t="str">
        <f>VLOOKUP(C990,Resources!B:G,3,FALSE)</f>
        <v>P</v>
      </c>
      <c r="F990" s="12">
        <v>1</v>
      </c>
      <c r="G990" s="12">
        <f>G989</f>
        <v>275</v>
      </c>
      <c r="H990" s="12">
        <f>H988</f>
        <v>283</v>
      </c>
      <c r="I990" s="12">
        <f>VLOOKUP(C990,Resources!B:G,6,FALSE)</f>
        <v>55</v>
      </c>
      <c r="J990" s="21">
        <f t="shared" si="1645"/>
        <v>56.6</v>
      </c>
      <c r="K990" s="21">
        <f t="shared" si="1646"/>
        <v>1.0290909090909091</v>
      </c>
      <c r="L990" s="24">
        <f t="shared" si="1647"/>
        <v>1.0290909090909091</v>
      </c>
      <c r="M990" s="24">
        <f t="shared" si="1648"/>
        <v>0</v>
      </c>
      <c r="N990" s="24">
        <f t="shared" si="1649"/>
        <v>0</v>
      </c>
      <c r="O990" s="24">
        <f t="shared" si="1650"/>
        <v>56.6</v>
      </c>
      <c r="P990" s="24">
        <f t="shared" si="1651"/>
        <v>0</v>
      </c>
      <c r="Q990" s="24">
        <f t="shared" si="1652"/>
        <v>56.6</v>
      </c>
      <c r="R990" s="87">
        <v>63</v>
      </c>
      <c r="T990" s="235" t="str">
        <f t="shared" si="1620"/>
        <v xml:space="preserve"> </v>
      </c>
    </row>
    <row r="991" spans="1:20" x14ac:dyDescent="0.25">
      <c r="A991" s="157"/>
      <c r="B991" s="6">
        <v>3</v>
      </c>
      <c r="C991" s="9" t="s">
        <v>490</v>
      </c>
      <c r="D991" s="6" t="s">
        <v>26</v>
      </c>
      <c r="E991" s="17" t="str">
        <f>VLOOKUP(C991,Resources!B:G,3,FALSE)</f>
        <v>P</v>
      </c>
      <c r="F991" s="12">
        <v>1</v>
      </c>
      <c r="G991" s="12">
        <f>G989</f>
        <v>275</v>
      </c>
      <c r="H991" s="12">
        <f>H988</f>
        <v>283</v>
      </c>
      <c r="I991" s="12">
        <f>VLOOKUP(C991,Resources!B:G,6,FALSE)</f>
        <v>55</v>
      </c>
      <c r="J991" s="21">
        <f t="shared" si="1645"/>
        <v>56.6</v>
      </c>
      <c r="K991" s="21">
        <f t="shared" si="1646"/>
        <v>1.0290909090909091</v>
      </c>
      <c r="L991" s="24">
        <f t="shared" si="1647"/>
        <v>1.0290909090909091</v>
      </c>
      <c r="M991" s="24">
        <f t="shared" si="1648"/>
        <v>0</v>
      </c>
      <c r="N991" s="24">
        <f t="shared" si="1649"/>
        <v>0</v>
      </c>
      <c r="O991" s="24">
        <f t="shared" si="1650"/>
        <v>56.6</v>
      </c>
      <c r="P991" s="24">
        <f t="shared" si="1651"/>
        <v>0</v>
      </c>
      <c r="Q991" s="24">
        <f t="shared" si="1652"/>
        <v>56.6</v>
      </c>
      <c r="R991" s="87">
        <v>63</v>
      </c>
      <c r="T991" s="235" t="str">
        <f t="shared" si="1620"/>
        <v xml:space="preserve"> </v>
      </c>
    </row>
    <row r="992" spans="1:20" x14ac:dyDescent="0.25">
      <c r="A992" s="157"/>
      <c r="B992" s="6">
        <v>4</v>
      </c>
      <c r="C992" s="9" t="s">
        <v>28</v>
      </c>
      <c r="D992" s="6" t="s">
        <v>26</v>
      </c>
      <c r="E992" s="17" t="str">
        <f>VLOOKUP(C992,Resources!B:G,3,FALSE)</f>
        <v>P</v>
      </c>
      <c r="F992" s="12">
        <v>1</v>
      </c>
      <c r="G992" s="12">
        <f>G989</f>
        <v>275</v>
      </c>
      <c r="H992" s="12">
        <f>H988</f>
        <v>283</v>
      </c>
      <c r="I992" s="12">
        <f>VLOOKUP(C992,Resources!B:G,6,FALSE)</f>
        <v>95</v>
      </c>
      <c r="J992" s="21">
        <f t="shared" si="1645"/>
        <v>97.763636363636365</v>
      </c>
      <c r="K992" s="21">
        <f t="shared" si="1646"/>
        <v>1.0290909090909091</v>
      </c>
      <c r="L992" s="24">
        <f t="shared" si="1647"/>
        <v>1.0290909090909091</v>
      </c>
      <c r="M992" s="24">
        <f t="shared" si="1648"/>
        <v>0</v>
      </c>
      <c r="N992" s="24">
        <f t="shared" si="1649"/>
        <v>0</v>
      </c>
      <c r="O992" s="24">
        <f t="shared" si="1650"/>
        <v>97.763636363636365</v>
      </c>
      <c r="P992" s="24">
        <f t="shared" si="1651"/>
        <v>0</v>
      </c>
      <c r="Q992" s="24">
        <f t="shared" si="1652"/>
        <v>97.763636363636365</v>
      </c>
      <c r="R992" s="87">
        <v>63</v>
      </c>
      <c r="T992" s="235" t="str">
        <f t="shared" si="1620"/>
        <v xml:space="preserve"> </v>
      </c>
    </row>
    <row r="993" spans="1:20" x14ac:dyDescent="0.25">
      <c r="A993" s="157"/>
      <c r="B993" s="6">
        <v>5</v>
      </c>
      <c r="C993" s="9" t="s">
        <v>8</v>
      </c>
      <c r="D993" s="6" t="s">
        <v>26</v>
      </c>
      <c r="E993" s="17" t="str">
        <f>VLOOKUP(C993,Resources!B:G,3,FALSE)</f>
        <v>L</v>
      </c>
      <c r="F993" s="12">
        <v>3</v>
      </c>
      <c r="G993" s="12">
        <f>G989</f>
        <v>275</v>
      </c>
      <c r="H993" s="12">
        <f>H988</f>
        <v>283</v>
      </c>
      <c r="I993" s="12">
        <f>VLOOKUP(C993,Resources!B:G,6,FALSE)</f>
        <v>51.9</v>
      </c>
      <c r="J993" s="21">
        <f t="shared" si="1645"/>
        <v>160.22945454545453</v>
      </c>
      <c r="K993" s="21">
        <f t="shared" si="1646"/>
        <v>3.0872727272727269</v>
      </c>
      <c r="L993" s="24">
        <f t="shared" si="1647"/>
        <v>1.0290909090909091</v>
      </c>
      <c r="M993" s="24">
        <f t="shared" si="1648"/>
        <v>160.22945454545453</v>
      </c>
      <c r="N993" s="24">
        <f t="shared" si="1649"/>
        <v>0</v>
      </c>
      <c r="O993" s="24">
        <f t="shared" si="1650"/>
        <v>0</v>
      </c>
      <c r="P993" s="24">
        <f t="shared" si="1651"/>
        <v>0</v>
      </c>
      <c r="Q993" s="24">
        <f t="shared" si="1652"/>
        <v>160.22945454545453</v>
      </c>
      <c r="R993" s="87">
        <v>63</v>
      </c>
      <c r="T993" s="235" t="str">
        <f t="shared" si="1620"/>
        <v xml:space="preserve"> </v>
      </c>
    </row>
    <row r="994" spans="1:20" x14ac:dyDescent="0.25">
      <c r="A994" s="157"/>
      <c r="B994" s="6">
        <v>6</v>
      </c>
      <c r="C994" s="9" t="s">
        <v>82</v>
      </c>
      <c r="D994" s="6" t="s">
        <v>26</v>
      </c>
      <c r="E994" s="17" t="str">
        <f>VLOOKUP(C994,Resources!B:G,3,FALSE)</f>
        <v>P</v>
      </c>
      <c r="F994" s="12">
        <v>1</v>
      </c>
      <c r="G994" s="12">
        <f>G989*3</f>
        <v>825</v>
      </c>
      <c r="H994" s="12">
        <f>H988</f>
        <v>283</v>
      </c>
      <c r="I994" s="12">
        <f>VLOOKUP(C994,Resources!B:G,6,FALSE)</f>
        <v>95</v>
      </c>
      <c r="J994" s="21">
        <f t="shared" si="1645"/>
        <v>32.587878787878786</v>
      </c>
      <c r="K994" s="21">
        <f t="shared" si="1646"/>
        <v>0.34303030303030302</v>
      </c>
      <c r="L994" s="24">
        <f t="shared" si="1647"/>
        <v>0.34303030303030302</v>
      </c>
      <c r="M994" s="24">
        <f t="shared" si="1648"/>
        <v>0</v>
      </c>
      <c r="N994" s="24">
        <f t="shared" si="1649"/>
        <v>0</v>
      </c>
      <c r="O994" s="24">
        <f t="shared" si="1650"/>
        <v>32.587878787878786</v>
      </c>
      <c r="P994" s="24">
        <f t="shared" si="1651"/>
        <v>0</v>
      </c>
      <c r="Q994" s="24">
        <f t="shared" si="1652"/>
        <v>32.587878787878786</v>
      </c>
      <c r="R994" s="87">
        <v>63</v>
      </c>
      <c r="T994" s="235" t="str">
        <f t="shared" si="1620"/>
        <v xml:space="preserve"> </v>
      </c>
    </row>
    <row r="995" spans="1:20" x14ac:dyDescent="0.25">
      <c r="A995" s="157"/>
      <c r="B995" s="6">
        <v>7</v>
      </c>
      <c r="C995" s="9" t="s">
        <v>27</v>
      </c>
      <c r="D995" s="6" t="s">
        <v>26</v>
      </c>
      <c r="E995" s="17" t="str">
        <f>VLOOKUP(C995,Resources!B:G,3,FALSE)</f>
        <v>P</v>
      </c>
      <c r="F995" s="12">
        <v>1</v>
      </c>
      <c r="G995" s="12">
        <f>G989*3</f>
        <v>825</v>
      </c>
      <c r="H995" s="12">
        <f>H988</f>
        <v>283</v>
      </c>
      <c r="I995" s="12">
        <f>VLOOKUP(C995,Resources!B:G,6,FALSE)</f>
        <v>90</v>
      </c>
      <c r="J995" s="21">
        <f t="shared" si="1645"/>
        <v>30.872727272727271</v>
      </c>
      <c r="K995" s="21">
        <f t="shared" si="1646"/>
        <v>0.34303030303030302</v>
      </c>
      <c r="L995" s="24">
        <f t="shared" si="1647"/>
        <v>0.34303030303030302</v>
      </c>
      <c r="M995" s="24">
        <f t="shared" si="1648"/>
        <v>0</v>
      </c>
      <c r="N995" s="24">
        <f t="shared" si="1649"/>
        <v>0</v>
      </c>
      <c r="O995" s="24">
        <f t="shared" si="1650"/>
        <v>30.872727272727271</v>
      </c>
      <c r="P995" s="24">
        <f t="shared" si="1651"/>
        <v>0</v>
      </c>
      <c r="Q995" s="24">
        <f t="shared" si="1652"/>
        <v>30.872727272727271</v>
      </c>
      <c r="R995" s="87">
        <v>63</v>
      </c>
      <c r="T995" s="235" t="str">
        <f t="shared" si="1620"/>
        <v xml:space="preserve"> </v>
      </c>
    </row>
    <row r="996" spans="1:20" x14ac:dyDescent="0.25">
      <c r="F996" s="11"/>
      <c r="G996" s="11"/>
      <c r="H996" s="11"/>
      <c r="I996" s="11"/>
      <c r="J996" s="11"/>
      <c r="K996" s="11"/>
      <c r="R996" s="88"/>
      <c r="T996" s="235" t="str">
        <f t="shared" si="1620"/>
        <v xml:space="preserve"> </v>
      </c>
    </row>
    <row r="997" spans="1:20" ht="30" x14ac:dyDescent="0.25">
      <c r="A997" s="156">
        <v>127</v>
      </c>
      <c r="B997" s="3" t="s">
        <v>391</v>
      </c>
      <c r="C997" s="3" t="s">
        <v>387</v>
      </c>
      <c r="D997" s="4" t="s">
        <v>88</v>
      </c>
      <c r="E997" s="15"/>
      <c r="F997" s="10"/>
      <c r="G997" s="10"/>
      <c r="H997" s="26">
        <f>VLOOKUP($A997,'Model Inputs'!$A:$C,3,FALSE)</f>
        <v>597</v>
      </c>
      <c r="I997" s="10"/>
      <c r="J997" s="10">
        <f>SUBTOTAL(9,J998:J1004)</f>
        <v>1264.2650909090908</v>
      </c>
      <c r="K997" s="10"/>
      <c r="L997" s="10">
        <f>ROUNDUP(MAX(L998:L1004)/Workhrs,0)</f>
        <v>1</v>
      </c>
      <c r="M997" s="10">
        <f>SUBTOTAL(9,M998:M1004)</f>
        <v>338.01054545454542</v>
      </c>
      <c r="N997" s="10">
        <f t="shared" ref="N997" si="1653">SUBTOTAL(9,N998:N1004)</f>
        <v>0</v>
      </c>
      <c r="O997" s="10">
        <f t="shared" ref="O997" si="1654">SUBTOTAL(9,O998:O1004)</f>
        <v>926.25454545454545</v>
      </c>
      <c r="P997" s="10">
        <f t="shared" ref="P997" si="1655">SUBTOTAL(9,P998:P1004)</f>
        <v>0</v>
      </c>
      <c r="Q997" s="10">
        <f t="shared" ref="Q997" si="1656">SUBTOTAL(9,Q998:Q1004)</f>
        <v>1264.2650909090908</v>
      </c>
      <c r="R997" s="86"/>
      <c r="T997" s="235" t="str">
        <f t="shared" si="1620"/>
        <v xml:space="preserve"> </v>
      </c>
    </row>
    <row r="998" spans="1:20" x14ac:dyDescent="0.25">
      <c r="A998" s="157">
        <v>127.1</v>
      </c>
      <c r="B998" s="6">
        <v>1</v>
      </c>
      <c r="C998" s="9" t="s">
        <v>78</v>
      </c>
      <c r="D998" s="6" t="s">
        <v>26</v>
      </c>
      <c r="E998" s="17" t="str">
        <f>VLOOKUP(C998,Resources!B:G,3,FALSE)</f>
        <v>P</v>
      </c>
      <c r="F998" s="12">
        <v>1</v>
      </c>
      <c r="G998" s="26">
        <f>VLOOKUP($A998,'Model Inputs'!$A:$C,3,FALSE)</f>
        <v>275</v>
      </c>
      <c r="H998" s="12">
        <f>H997</f>
        <v>597</v>
      </c>
      <c r="I998" s="12">
        <f>VLOOKUP(C998,Resources!B:G,6,FALSE)</f>
        <v>160</v>
      </c>
      <c r="J998" s="21">
        <f t="shared" ref="J998:J1004" si="1657">(H998/G998)*I998*F998</f>
        <v>347.34545454545457</v>
      </c>
      <c r="K998" s="21">
        <f t="shared" ref="K998:K1004" si="1658">IF(E998="M"," ",L998*F998)</f>
        <v>2.1709090909090909</v>
      </c>
      <c r="L998" s="24">
        <f t="shared" ref="L998:L1004" si="1659">IF(E998="M"," ",H998/G998)</f>
        <v>2.1709090909090909</v>
      </c>
      <c r="M998" s="24">
        <f t="shared" ref="M998:M1004" si="1660">IF($E998="L",$J998,0)</f>
        <v>0</v>
      </c>
      <c r="N998" s="24">
        <f t="shared" ref="N998:N1004" si="1661">IF($E998="M",$J998,0)</f>
        <v>0</v>
      </c>
      <c r="O998" s="24">
        <f t="shared" ref="O998:O1004" si="1662">IF($E998="P",$J998,0)</f>
        <v>347.34545454545457</v>
      </c>
      <c r="P998" s="24">
        <f t="shared" ref="P998:P1004" si="1663">IF($E998="S",$J998,0)</f>
        <v>0</v>
      </c>
      <c r="Q998" s="24">
        <f t="shared" ref="Q998:Q1004" si="1664">SUM(M998:P998)</f>
        <v>347.34545454545457</v>
      </c>
      <c r="R998" s="87">
        <v>63</v>
      </c>
      <c r="T998" s="235" t="str">
        <f t="shared" si="1620"/>
        <v xml:space="preserve"> </v>
      </c>
    </row>
    <row r="999" spans="1:20" x14ac:dyDescent="0.25">
      <c r="A999" s="157"/>
      <c r="B999" s="6">
        <v>2</v>
      </c>
      <c r="C999" s="9" t="s">
        <v>89</v>
      </c>
      <c r="D999" s="6" t="s">
        <v>26</v>
      </c>
      <c r="E999" s="17" t="str">
        <f>VLOOKUP(C999,Resources!B:G,3,FALSE)</f>
        <v>P</v>
      </c>
      <c r="F999" s="12">
        <v>1</v>
      </c>
      <c r="G999" s="12">
        <f>G998</f>
        <v>275</v>
      </c>
      <c r="H999" s="12">
        <f>H997</f>
        <v>597</v>
      </c>
      <c r="I999" s="12">
        <f>VLOOKUP(C999,Resources!B:G,6,FALSE)</f>
        <v>55</v>
      </c>
      <c r="J999" s="21">
        <f t="shared" si="1657"/>
        <v>119.4</v>
      </c>
      <c r="K999" s="21">
        <f t="shared" si="1658"/>
        <v>2.1709090909090909</v>
      </c>
      <c r="L999" s="24">
        <f t="shared" si="1659"/>
        <v>2.1709090909090909</v>
      </c>
      <c r="M999" s="24">
        <f t="shared" si="1660"/>
        <v>0</v>
      </c>
      <c r="N999" s="24">
        <f t="shared" si="1661"/>
        <v>0</v>
      </c>
      <c r="O999" s="24">
        <f t="shared" si="1662"/>
        <v>119.4</v>
      </c>
      <c r="P999" s="24">
        <f t="shared" si="1663"/>
        <v>0</v>
      </c>
      <c r="Q999" s="24">
        <f t="shared" si="1664"/>
        <v>119.4</v>
      </c>
      <c r="R999" s="87">
        <v>63</v>
      </c>
      <c r="T999" s="235" t="str">
        <f t="shared" si="1620"/>
        <v xml:space="preserve"> </v>
      </c>
    </row>
    <row r="1000" spans="1:20" x14ac:dyDescent="0.25">
      <c r="A1000" s="157"/>
      <c r="B1000" s="6">
        <v>3</v>
      </c>
      <c r="C1000" s="9" t="s">
        <v>490</v>
      </c>
      <c r="D1000" s="6" t="s">
        <v>26</v>
      </c>
      <c r="E1000" s="17" t="str">
        <f>VLOOKUP(C1000,Resources!B:G,3,FALSE)</f>
        <v>P</v>
      </c>
      <c r="F1000" s="12">
        <v>1</v>
      </c>
      <c r="G1000" s="12">
        <f>G998</f>
        <v>275</v>
      </c>
      <c r="H1000" s="12">
        <f>H997</f>
        <v>597</v>
      </c>
      <c r="I1000" s="12">
        <f>VLOOKUP(C1000,Resources!B:G,6,FALSE)</f>
        <v>55</v>
      </c>
      <c r="J1000" s="21">
        <f t="shared" si="1657"/>
        <v>119.4</v>
      </c>
      <c r="K1000" s="21">
        <f t="shared" si="1658"/>
        <v>2.1709090909090909</v>
      </c>
      <c r="L1000" s="24">
        <f t="shared" si="1659"/>
        <v>2.1709090909090909</v>
      </c>
      <c r="M1000" s="24">
        <f t="shared" si="1660"/>
        <v>0</v>
      </c>
      <c r="N1000" s="24">
        <f t="shared" si="1661"/>
        <v>0</v>
      </c>
      <c r="O1000" s="24">
        <f t="shared" si="1662"/>
        <v>119.4</v>
      </c>
      <c r="P1000" s="24">
        <f t="shared" si="1663"/>
        <v>0</v>
      </c>
      <c r="Q1000" s="24">
        <f t="shared" si="1664"/>
        <v>119.4</v>
      </c>
      <c r="R1000" s="87">
        <v>63</v>
      </c>
      <c r="T1000" s="235" t="str">
        <f t="shared" si="1620"/>
        <v xml:space="preserve"> </v>
      </c>
    </row>
    <row r="1001" spans="1:20" x14ac:dyDescent="0.25">
      <c r="A1001" s="157"/>
      <c r="B1001" s="6">
        <v>4</v>
      </c>
      <c r="C1001" s="9" t="s">
        <v>28</v>
      </c>
      <c r="D1001" s="6" t="s">
        <v>26</v>
      </c>
      <c r="E1001" s="17" t="str">
        <f>VLOOKUP(C1001,Resources!B:G,3,FALSE)</f>
        <v>P</v>
      </c>
      <c r="F1001" s="12">
        <v>1</v>
      </c>
      <c r="G1001" s="12">
        <f>G998</f>
        <v>275</v>
      </c>
      <c r="H1001" s="12">
        <f>H997</f>
        <v>597</v>
      </c>
      <c r="I1001" s="12">
        <f>VLOOKUP(C1001,Resources!B:G,6,FALSE)</f>
        <v>95</v>
      </c>
      <c r="J1001" s="21">
        <f t="shared" si="1657"/>
        <v>206.23636363636365</v>
      </c>
      <c r="K1001" s="21">
        <f t="shared" si="1658"/>
        <v>2.1709090909090909</v>
      </c>
      <c r="L1001" s="24">
        <f t="shared" si="1659"/>
        <v>2.1709090909090909</v>
      </c>
      <c r="M1001" s="24">
        <f t="shared" si="1660"/>
        <v>0</v>
      </c>
      <c r="N1001" s="24">
        <f t="shared" si="1661"/>
        <v>0</v>
      </c>
      <c r="O1001" s="24">
        <f t="shared" si="1662"/>
        <v>206.23636363636365</v>
      </c>
      <c r="P1001" s="24">
        <f t="shared" si="1663"/>
        <v>0</v>
      </c>
      <c r="Q1001" s="24">
        <f t="shared" si="1664"/>
        <v>206.23636363636365</v>
      </c>
      <c r="R1001" s="87">
        <v>63</v>
      </c>
      <c r="T1001" s="235" t="str">
        <f t="shared" si="1620"/>
        <v xml:space="preserve"> </v>
      </c>
    </row>
    <row r="1002" spans="1:20" x14ac:dyDescent="0.25">
      <c r="A1002" s="157"/>
      <c r="B1002" s="6">
        <v>5</v>
      </c>
      <c r="C1002" s="9" t="s">
        <v>8</v>
      </c>
      <c r="D1002" s="6" t="s">
        <v>26</v>
      </c>
      <c r="E1002" s="17" t="str">
        <f>VLOOKUP(C1002,Resources!B:G,3,FALSE)</f>
        <v>L</v>
      </c>
      <c r="F1002" s="12">
        <v>3</v>
      </c>
      <c r="G1002" s="12">
        <f>G998</f>
        <v>275</v>
      </c>
      <c r="H1002" s="12">
        <f>H997</f>
        <v>597</v>
      </c>
      <c r="I1002" s="12">
        <f>VLOOKUP(C1002,Resources!B:G,6,FALSE)</f>
        <v>51.9</v>
      </c>
      <c r="J1002" s="21">
        <f t="shared" si="1657"/>
        <v>338.01054545454542</v>
      </c>
      <c r="K1002" s="21">
        <f t="shared" si="1658"/>
        <v>6.5127272727272727</v>
      </c>
      <c r="L1002" s="24">
        <f t="shared" si="1659"/>
        <v>2.1709090909090909</v>
      </c>
      <c r="M1002" s="24">
        <f t="shared" si="1660"/>
        <v>338.01054545454542</v>
      </c>
      <c r="N1002" s="24">
        <f t="shared" si="1661"/>
        <v>0</v>
      </c>
      <c r="O1002" s="24">
        <f t="shared" si="1662"/>
        <v>0</v>
      </c>
      <c r="P1002" s="24">
        <f t="shared" si="1663"/>
        <v>0</v>
      </c>
      <c r="Q1002" s="24">
        <f t="shared" si="1664"/>
        <v>338.01054545454542</v>
      </c>
      <c r="R1002" s="87">
        <v>63</v>
      </c>
      <c r="T1002" s="235" t="str">
        <f t="shared" si="1620"/>
        <v xml:space="preserve"> </v>
      </c>
    </row>
    <row r="1003" spans="1:20" x14ac:dyDescent="0.25">
      <c r="A1003" s="157"/>
      <c r="B1003" s="6">
        <v>6</v>
      </c>
      <c r="C1003" s="9" t="s">
        <v>82</v>
      </c>
      <c r="D1003" s="6" t="s">
        <v>26</v>
      </c>
      <c r="E1003" s="17" t="str">
        <f>VLOOKUP(C1003,Resources!B:G,3,FALSE)</f>
        <v>P</v>
      </c>
      <c r="F1003" s="12">
        <v>1</v>
      </c>
      <c r="G1003" s="12">
        <f>G998*3</f>
        <v>825</v>
      </c>
      <c r="H1003" s="12">
        <f>H997</f>
        <v>597</v>
      </c>
      <c r="I1003" s="12">
        <f>VLOOKUP(C1003,Resources!B:G,6,FALSE)</f>
        <v>95</v>
      </c>
      <c r="J1003" s="21">
        <f t="shared" si="1657"/>
        <v>68.74545454545455</v>
      </c>
      <c r="K1003" s="21">
        <f t="shared" si="1658"/>
        <v>0.72363636363636363</v>
      </c>
      <c r="L1003" s="24">
        <f t="shared" si="1659"/>
        <v>0.72363636363636363</v>
      </c>
      <c r="M1003" s="24">
        <f t="shared" si="1660"/>
        <v>0</v>
      </c>
      <c r="N1003" s="24">
        <f t="shared" si="1661"/>
        <v>0</v>
      </c>
      <c r="O1003" s="24">
        <f t="shared" si="1662"/>
        <v>68.74545454545455</v>
      </c>
      <c r="P1003" s="24">
        <f t="shared" si="1663"/>
        <v>0</v>
      </c>
      <c r="Q1003" s="24">
        <f t="shared" si="1664"/>
        <v>68.74545454545455</v>
      </c>
      <c r="R1003" s="87">
        <v>63</v>
      </c>
      <c r="T1003" s="235" t="str">
        <f t="shared" si="1620"/>
        <v xml:space="preserve"> </v>
      </c>
    </row>
    <row r="1004" spans="1:20" x14ac:dyDescent="0.25">
      <c r="A1004" s="157"/>
      <c r="B1004" s="6">
        <v>7</v>
      </c>
      <c r="C1004" s="9" t="s">
        <v>27</v>
      </c>
      <c r="D1004" s="6" t="s">
        <v>26</v>
      </c>
      <c r="E1004" s="17" t="str">
        <f>VLOOKUP(C1004,Resources!B:G,3,FALSE)</f>
        <v>P</v>
      </c>
      <c r="F1004" s="12">
        <v>1</v>
      </c>
      <c r="G1004" s="12">
        <f>G998*3</f>
        <v>825</v>
      </c>
      <c r="H1004" s="12">
        <f>H997</f>
        <v>597</v>
      </c>
      <c r="I1004" s="12">
        <f>VLOOKUP(C1004,Resources!B:G,6,FALSE)</f>
        <v>90</v>
      </c>
      <c r="J1004" s="21">
        <f t="shared" si="1657"/>
        <v>65.127272727272725</v>
      </c>
      <c r="K1004" s="21">
        <f t="shared" si="1658"/>
        <v>0.72363636363636363</v>
      </c>
      <c r="L1004" s="24">
        <f t="shared" si="1659"/>
        <v>0.72363636363636363</v>
      </c>
      <c r="M1004" s="24">
        <f t="shared" si="1660"/>
        <v>0</v>
      </c>
      <c r="N1004" s="24">
        <f t="shared" si="1661"/>
        <v>0</v>
      </c>
      <c r="O1004" s="24">
        <f t="shared" si="1662"/>
        <v>65.127272727272725</v>
      </c>
      <c r="P1004" s="24">
        <f t="shared" si="1663"/>
        <v>0</v>
      </c>
      <c r="Q1004" s="24">
        <f t="shared" si="1664"/>
        <v>65.127272727272725</v>
      </c>
      <c r="R1004" s="87">
        <v>63</v>
      </c>
      <c r="T1004" s="235" t="str">
        <f t="shared" si="1620"/>
        <v xml:space="preserve"> </v>
      </c>
    </row>
    <row r="1005" spans="1:20" x14ac:dyDescent="0.25">
      <c r="F1005" s="11"/>
      <c r="G1005" s="11"/>
      <c r="H1005" s="11"/>
      <c r="I1005" s="11"/>
      <c r="J1005" s="11"/>
      <c r="K1005" s="11"/>
      <c r="R1005" s="88"/>
      <c r="T1005" s="235" t="str">
        <f t="shared" si="1620"/>
        <v xml:space="preserve"> </v>
      </c>
    </row>
    <row r="1006" spans="1:20" ht="30" x14ac:dyDescent="0.25">
      <c r="A1006" s="156"/>
      <c r="B1006" s="3" t="s">
        <v>392</v>
      </c>
      <c r="C1006" s="3"/>
      <c r="D1006" s="4"/>
      <c r="E1006" s="15"/>
      <c r="F1006" s="10"/>
      <c r="G1006" s="10"/>
      <c r="H1006" s="10"/>
      <c r="I1006" s="10"/>
      <c r="J1006" s="10"/>
      <c r="K1006" s="10"/>
      <c r="L1006" s="23"/>
      <c r="M1006" s="23"/>
      <c r="N1006" s="23"/>
      <c r="O1006" s="23"/>
      <c r="P1006" s="23"/>
      <c r="Q1006" s="23"/>
      <c r="R1006" s="86"/>
      <c r="T1006" s="235" t="str">
        <f t="shared" si="1620"/>
        <v xml:space="preserve"> </v>
      </c>
    </row>
    <row r="1007" spans="1:20" ht="30" x14ac:dyDescent="0.25">
      <c r="A1007" s="156"/>
      <c r="B1007" s="3" t="s">
        <v>393</v>
      </c>
      <c r="C1007" s="3" t="s">
        <v>94</v>
      </c>
      <c r="D1007" s="4"/>
      <c r="E1007" s="15"/>
      <c r="F1007" s="10"/>
      <c r="G1007" s="10"/>
      <c r="H1007" s="10"/>
      <c r="I1007" s="10"/>
      <c r="J1007" s="10"/>
      <c r="K1007" s="10"/>
      <c r="L1007" s="23"/>
      <c r="M1007" s="23"/>
      <c r="N1007" s="23"/>
      <c r="O1007" s="23"/>
      <c r="P1007" s="23"/>
      <c r="Q1007" s="23"/>
      <c r="R1007" s="86"/>
      <c r="T1007" s="235" t="str">
        <f t="shared" si="1620"/>
        <v xml:space="preserve"> </v>
      </c>
    </row>
    <row r="1008" spans="1:20" ht="30" x14ac:dyDescent="0.25">
      <c r="A1008" s="156"/>
      <c r="B1008" s="3" t="s">
        <v>394</v>
      </c>
      <c r="C1008" s="3" t="s">
        <v>96</v>
      </c>
      <c r="D1008" s="4"/>
      <c r="E1008" s="15"/>
      <c r="F1008" s="10"/>
      <c r="G1008" s="10"/>
      <c r="H1008" s="10"/>
      <c r="I1008" s="10"/>
      <c r="J1008" s="10"/>
      <c r="K1008" s="10"/>
      <c r="L1008" s="23"/>
      <c r="M1008" s="23"/>
      <c r="N1008" s="23"/>
      <c r="O1008" s="23"/>
      <c r="P1008" s="23"/>
      <c r="Q1008" s="23"/>
      <c r="R1008" s="86"/>
      <c r="T1008" s="235" t="str">
        <f t="shared" si="1620"/>
        <v xml:space="preserve"> </v>
      </c>
    </row>
    <row r="1009" spans="1:21" ht="30" x14ac:dyDescent="0.25">
      <c r="A1009" s="156"/>
      <c r="B1009" s="3" t="s">
        <v>395</v>
      </c>
      <c r="C1009" s="3" t="s">
        <v>385</v>
      </c>
      <c r="D1009" s="4"/>
      <c r="E1009" s="15"/>
      <c r="F1009" s="10"/>
      <c r="G1009" s="10"/>
      <c r="H1009" s="10"/>
      <c r="I1009" s="10"/>
      <c r="J1009" s="10"/>
      <c r="K1009" s="10"/>
      <c r="L1009" s="23"/>
      <c r="M1009" s="23"/>
      <c r="N1009" s="23"/>
      <c r="O1009" s="23"/>
      <c r="P1009" s="23"/>
      <c r="Q1009" s="23"/>
      <c r="R1009" s="86"/>
      <c r="T1009" s="235" t="str">
        <f t="shared" si="1620"/>
        <v xml:space="preserve"> </v>
      </c>
    </row>
    <row r="1010" spans="1:21" ht="60" x14ac:dyDescent="0.25">
      <c r="A1010" s="156">
        <v>128</v>
      </c>
      <c r="B1010" s="3" t="s">
        <v>396</v>
      </c>
      <c r="C1010" s="3" t="s">
        <v>607</v>
      </c>
      <c r="D1010" s="4" t="s">
        <v>74</v>
      </c>
      <c r="E1010" s="15"/>
      <c r="F1010" s="10"/>
      <c r="G1010" s="10"/>
      <c r="H1010" s="26">
        <f>VLOOKUP($A1010,'Model Inputs'!$A:$C,3,FALSE)</f>
        <v>46</v>
      </c>
      <c r="I1010" s="10"/>
      <c r="J1010" s="10">
        <f>SUBTOTAL(9,J1011:J1015,J1017:J1018)</f>
        <v>4914.2737205063986</v>
      </c>
      <c r="K1010" s="10"/>
      <c r="L1010" s="10">
        <f>ROUNDUP(MAX(L1011:L1015,L1017:L1018)/Workhrs,0)</f>
        <v>1</v>
      </c>
      <c r="M1010" s="10">
        <f t="shared" ref="M1010:Q1010" si="1665">SUBTOTAL(9,M1011:M1015,M1017:M1018)</f>
        <v>252.46628766856168</v>
      </c>
      <c r="N1010" s="10">
        <f t="shared" si="1665"/>
        <v>3648.3750000000005</v>
      </c>
      <c r="O1010" s="10">
        <f t="shared" si="1665"/>
        <v>1013.4324328378359</v>
      </c>
      <c r="P1010" s="10">
        <f t="shared" si="1665"/>
        <v>0</v>
      </c>
      <c r="Q1010" s="10">
        <f t="shared" si="1665"/>
        <v>4914.2737205063986</v>
      </c>
      <c r="R1010" s="86"/>
      <c r="T1010" s="235" t="str">
        <f t="shared" si="1620"/>
        <v xml:space="preserve"> </v>
      </c>
    </row>
    <row r="1011" spans="1:21" x14ac:dyDescent="0.25">
      <c r="A1011" s="157"/>
      <c r="B1011" s="6">
        <v>1</v>
      </c>
      <c r="C1011" s="9" t="s">
        <v>198</v>
      </c>
      <c r="D1011" s="6" t="s">
        <v>100</v>
      </c>
      <c r="E1011" s="17" t="str">
        <f>VLOOKUP(C1011,Resources!B:G,3,FALSE)</f>
        <v>M</v>
      </c>
      <c r="F1011" s="12">
        <v>1</v>
      </c>
      <c r="G1011" s="12">
        <v>1</v>
      </c>
      <c r="H1011" s="12">
        <f>H1010*2.35</f>
        <v>108.10000000000001</v>
      </c>
      <c r="I1011" s="12">
        <f>VLOOKUP(C1011,Resources!B:G,6,FALSE)</f>
        <v>33.75</v>
      </c>
      <c r="J1011" s="21">
        <f t="shared" ref="J1011:J1015" si="1666">(H1011/G1011)*I1011*F1011</f>
        <v>3648.3750000000005</v>
      </c>
      <c r="K1011" s="21" t="str">
        <f t="shared" ref="K1011:K1015" si="1667">IF(E1011="M"," ",L1011*F1011)</f>
        <v xml:space="preserve"> </v>
      </c>
      <c r="L1011" s="24" t="str">
        <f t="shared" ref="L1011:L1015" si="1668">IF(E1011="M"," ",H1011/G1011)</f>
        <v xml:space="preserve"> </v>
      </c>
      <c r="M1011" s="24">
        <f t="shared" ref="M1011:M1015" si="1669">IF($E1011="L",$J1011,0)</f>
        <v>0</v>
      </c>
      <c r="N1011" s="24">
        <f t="shared" ref="N1011:N1015" si="1670">IF($E1011="M",$J1011,0)</f>
        <v>3648.3750000000005</v>
      </c>
      <c r="O1011" s="24">
        <f t="shared" ref="O1011:O1015" si="1671">IF($E1011="P",$J1011,0)</f>
        <v>0</v>
      </c>
      <c r="P1011" s="24">
        <f t="shared" ref="P1011:P1015" si="1672">IF($E1011="S",$J1011,0)</f>
        <v>0</v>
      </c>
      <c r="Q1011" s="24">
        <f t="shared" ref="Q1011:Q1015" si="1673">SUM(M1011:P1011)</f>
        <v>3648.3750000000005</v>
      </c>
      <c r="R1011" s="87" t="s">
        <v>539</v>
      </c>
      <c r="T1011" s="235" t="str">
        <f t="shared" si="1620"/>
        <v xml:space="preserve"> </v>
      </c>
    </row>
    <row r="1012" spans="1:21" x14ac:dyDescent="0.25">
      <c r="A1012" s="157">
        <v>128.1</v>
      </c>
      <c r="B1012" s="6">
        <v>2</v>
      </c>
      <c r="C1012" s="9" t="s">
        <v>78</v>
      </c>
      <c r="D1012" s="6" t="s">
        <v>26</v>
      </c>
      <c r="E1012" s="17" t="str">
        <f>VLOOKUP(C1012,Resources!B:G,3,FALSE)</f>
        <v>P</v>
      </c>
      <c r="F1012" s="12">
        <v>1</v>
      </c>
      <c r="G1012" s="26">
        <f>VLOOKUP($A1012,'Model Inputs'!$A:$C,3,FALSE)</f>
        <v>66.667000000000002</v>
      </c>
      <c r="H1012" s="12">
        <f>H1011</f>
        <v>108.10000000000001</v>
      </c>
      <c r="I1012" s="12">
        <f>VLOOKUP(C1012,Resources!B:G,6,FALSE)</f>
        <v>160</v>
      </c>
      <c r="J1012" s="21">
        <f t="shared" si="1666"/>
        <v>259.43870280648599</v>
      </c>
      <c r="K1012" s="21">
        <f t="shared" si="1667"/>
        <v>1.6214918925405375</v>
      </c>
      <c r="L1012" s="24">
        <f t="shared" si="1668"/>
        <v>1.6214918925405375</v>
      </c>
      <c r="M1012" s="24">
        <f t="shared" si="1669"/>
        <v>0</v>
      </c>
      <c r="N1012" s="24">
        <f t="shared" si="1670"/>
        <v>0</v>
      </c>
      <c r="O1012" s="24">
        <f t="shared" si="1671"/>
        <v>259.43870280648599</v>
      </c>
      <c r="P1012" s="24">
        <f t="shared" si="1672"/>
        <v>0</v>
      </c>
      <c r="Q1012" s="24">
        <f t="shared" si="1673"/>
        <v>259.43870280648599</v>
      </c>
      <c r="R1012" s="87">
        <v>62</v>
      </c>
      <c r="T1012" s="235" t="str">
        <f t="shared" si="1620"/>
        <v xml:space="preserve"> </v>
      </c>
    </row>
    <row r="1013" spans="1:21" x14ac:dyDescent="0.25">
      <c r="A1013" s="157"/>
      <c r="B1013" s="6">
        <v>3</v>
      </c>
      <c r="C1013" s="9" t="s">
        <v>89</v>
      </c>
      <c r="D1013" s="6" t="s">
        <v>26</v>
      </c>
      <c r="E1013" s="17" t="str">
        <f>VLOOKUP(C1013,Resources!B:G,3,FALSE)</f>
        <v>P</v>
      </c>
      <c r="F1013" s="12">
        <v>1</v>
      </c>
      <c r="G1013" s="12">
        <f>G1012</f>
        <v>66.667000000000002</v>
      </c>
      <c r="H1013" s="12">
        <f>H1011</f>
        <v>108.10000000000001</v>
      </c>
      <c r="I1013" s="12">
        <f>VLOOKUP(C1013,Resources!B:G,6,FALSE)</f>
        <v>55</v>
      </c>
      <c r="J1013" s="21">
        <f t="shared" si="1666"/>
        <v>89.182054089729561</v>
      </c>
      <c r="K1013" s="21">
        <f t="shared" si="1667"/>
        <v>1.6214918925405375</v>
      </c>
      <c r="L1013" s="24">
        <f t="shared" si="1668"/>
        <v>1.6214918925405375</v>
      </c>
      <c r="M1013" s="24">
        <f t="shared" si="1669"/>
        <v>0</v>
      </c>
      <c r="N1013" s="24">
        <f t="shared" si="1670"/>
        <v>0</v>
      </c>
      <c r="O1013" s="24">
        <f t="shared" si="1671"/>
        <v>89.182054089729561</v>
      </c>
      <c r="P1013" s="24">
        <f t="shared" si="1672"/>
        <v>0</v>
      </c>
      <c r="Q1013" s="24">
        <f t="shared" si="1673"/>
        <v>89.182054089729561</v>
      </c>
      <c r="R1013" s="87">
        <v>62</v>
      </c>
      <c r="T1013" s="235" t="str">
        <f t="shared" si="1620"/>
        <v xml:space="preserve"> </v>
      </c>
    </row>
    <row r="1014" spans="1:21" x14ac:dyDescent="0.25">
      <c r="A1014" s="157"/>
      <c r="B1014" s="6">
        <v>4</v>
      </c>
      <c r="C1014" s="9" t="s">
        <v>28</v>
      </c>
      <c r="D1014" s="6" t="s">
        <v>26</v>
      </c>
      <c r="E1014" s="17" t="str">
        <f>VLOOKUP(C1014,Resources!B:G,3,FALSE)</f>
        <v>P</v>
      </c>
      <c r="F1014" s="12">
        <v>1</v>
      </c>
      <c r="G1014" s="12">
        <f>G1012</f>
        <v>66.667000000000002</v>
      </c>
      <c r="H1014" s="12">
        <f>H1011</f>
        <v>108.10000000000001</v>
      </c>
      <c r="I1014" s="12">
        <f>VLOOKUP(C1014,Resources!B:G,6,FALSE)</f>
        <v>95</v>
      </c>
      <c r="J1014" s="21">
        <f t="shared" si="1666"/>
        <v>154.04172979135106</v>
      </c>
      <c r="K1014" s="21">
        <f t="shared" si="1667"/>
        <v>1.6214918925405375</v>
      </c>
      <c r="L1014" s="24">
        <f t="shared" si="1668"/>
        <v>1.6214918925405375</v>
      </c>
      <c r="M1014" s="24">
        <f t="shared" si="1669"/>
        <v>0</v>
      </c>
      <c r="N1014" s="24">
        <f t="shared" si="1670"/>
        <v>0</v>
      </c>
      <c r="O1014" s="24">
        <f t="shared" si="1671"/>
        <v>154.04172979135106</v>
      </c>
      <c r="P1014" s="24">
        <f t="shared" si="1672"/>
        <v>0</v>
      </c>
      <c r="Q1014" s="24">
        <f t="shared" si="1673"/>
        <v>154.04172979135106</v>
      </c>
      <c r="R1014" s="87">
        <v>62</v>
      </c>
      <c r="T1014" s="235" t="str">
        <f t="shared" si="1620"/>
        <v xml:space="preserve"> </v>
      </c>
    </row>
    <row r="1015" spans="1:21" x14ac:dyDescent="0.25">
      <c r="A1015" s="157"/>
      <c r="B1015" s="6">
        <v>5</v>
      </c>
      <c r="C1015" s="9" t="s">
        <v>8</v>
      </c>
      <c r="D1015" s="6" t="s">
        <v>26</v>
      </c>
      <c r="E1015" s="17" t="str">
        <f>VLOOKUP(C1015,Resources!B:G,3,FALSE)</f>
        <v>L</v>
      </c>
      <c r="F1015" s="12">
        <v>3</v>
      </c>
      <c r="G1015" s="12">
        <f>G1012</f>
        <v>66.667000000000002</v>
      </c>
      <c r="H1015" s="12">
        <f>H1011</f>
        <v>108.10000000000001</v>
      </c>
      <c r="I1015" s="12">
        <f>VLOOKUP(C1015,Resources!B:G,6,FALSE)</f>
        <v>51.9</v>
      </c>
      <c r="J1015" s="21">
        <f t="shared" si="1666"/>
        <v>252.46628766856168</v>
      </c>
      <c r="K1015" s="21">
        <f t="shared" si="1667"/>
        <v>4.8644756776216127</v>
      </c>
      <c r="L1015" s="24">
        <f t="shared" si="1668"/>
        <v>1.6214918925405375</v>
      </c>
      <c r="M1015" s="24">
        <f t="shared" si="1669"/>
        <v>252.46628766856168</v>
      </c>
      <c r="N1015" s="24">
        <f t="shared" si="1670"/>
        <v>0</v>
      </c>
      <c r="O1015" s="24">
        <f t="shared" si="1671"/>
        <v>0</v>
      </c>
      <c r="P1015" s="24">
        <f t="shared" si="1672"/>
        <v>0</v>
      </c>
      <c r="Q1015" s="24">
        <f t="shared" si="1673"/>
        <v>252.46628766856168</v>
      </c>
      <c r="R1015" s="87">
        <v>62</v>
      </c>
      <c r="T1015" s="235" t="str">
        <f t="shared" si="1620"/>
        <v xml:space="preserve"> </v>
      </c>
    </row>
    <row r="1016" spans="1:21" s="18" customFormat="1" ht="30" x14ac:dyDescent="0.25">
      <c r="A1016" s="157"/>
      <c r="B1016" s="6">
        <v>6</v>
      </c>
      <c r="C1016" s="9" t="s">
        <v>101</v>
      </c>
      <c r="D1016" s="6"/>
      <c r="E1016" s="17"/>
      <c r="F1016" s="12"/>
      <c r="G1016" s="12"/>
      <c r="H1016" s="12"/>
      <c r="I1016" s="12"/>
      <c r="J1016" s="21"/>
      <c r="K1016" s="21"/>
      <c r="L1016" s="24"/>
      <c r="M1016" s="24"/>
      <c r="N1016" s="24"/>
      <c r="O1016" s="24"/>
      <c r="P1016" s="24"/>
      <c r="Q1016" s="24"/>
      <c r="R1016" s="87"/>
      <c r="T1016" s="235" t="str">
        <f t="shared" si="1620"/>
        <v xml:space="preserve"> </v>
      </c>
      <c r="U1016" s="232"/>
    </row>
    <row r="1017" spans="1:21" x14ac:dyDescent="0.25">
      <c r="A1017" s="157"/>
      <c r="B1017" s="6">
        <v>7</v>
      </c>
      <c r="C1017" s="9" t="s">
        <v>70</v>
      </c>
      <c r="D1017" s="6" t="s">
        <v>26</v>
      </c>
      <c r="E1017" s="17" t="str">
        <f>VLOOKUP(C1017,Resources!B:G,3,FALSE)</f>
        <v>P</v>
      </c>
      <c r="F1017" s="12">
        <v>1</v>
      </c>
      <c r="G1017" s="12">
        <f>G1012</f>
        <v>66.667000000000002</v>
      </c>
      <c r="H1017" s="12">
        <f>H1011</f>
        <v>108.10000000000001</v>
      </c>
      <c r="I1017" s="12">
        <f>VLOOKUP(C1017,Resources!B:G,6,FALSE)</f>
        <v>135</v>
      </c>
      <c r="J1017" s="21">
        <f t="shared" ref="J1017:J1018" si="1674">(H1017/G1017)*I1017*F1017</f>
        <v>218.90140549297257</v>
      </c>
      <c r="K1017" s="21">
        <f t="shared" ref="K1017:K1018" si="1675">IF(E1017="M"," ",L1017*F1017)</f>
        <v>1.6214918925405375</v>
      </c>
      <c r="L1017" s="24">
        <f t="shared" ref="L1017:L1018" si="1676">IF(E1017="M"," ",H1017/G1017)</f>
        <v>1.6214918925405375</v>
      </c>
      <c r="M1017" s="24">
        <f t="shared" ref="M1017:M1018" si="1677">IF($E1017="L",$J1017,0)</f>
        <v>0</v>
      </c>
      <c r="N1017" s="24">
        <f t="shared" ref="N1017:N1018" si="1678">IF($E1017="M",$J1017,0)</f>
        <v>0</v>
      </c>
      <c r="O1017" s="24">
        <f t="shared" ref="O1017:O1018" si="1679">IF($E1017="P",$J1017,0)</f>
        <v>218.90140549297257</v>
      </c>
      <c r="P1017" s="24">
        <f t="shared" ref="P1017:P1018" si="1680">IF($E1017="S",$J1017,0)</f>
        <v>0</v>
      </c>
      <c r="Q1017" s="24">
        <f t="shared" ref="Q1017:Q1018" si="1681">SUM(M1017:P1017)</f>
        <v>218.90140549297257</v>
      </c>
      <c r="R1017" s="87">
        <v>62</v>
      </c>
      <c r="T1017" s="235" t="str">
        <f t="shared" si="1620"/>
        <v xml:space="preserve"> </v>
      </c>
    </row>
    <row r="1018" spans="1:21" x14ac:dyDescent="0.25">
      <c r="A1018" s="157"/>
      <c r="B1018" s="6">
        <v>8</v>
      </c>
      <c r="C1018" s="9" t="s">
        <v>27</v>
      </c>
      <c r="D1018" s="6" t="s">
        <v>26</v>
      </c>
      <c r="E1018" s="17" t="str">
        <f>VLOOKUP(C1018,Resources!B:G,3,FALSE)</f>
        <v>P</v>
      </c>
      <c r="F1018" s="12">
        <v>2</v>
      </c>
      <c r="G1018" s="12">
        <f>G1012</f>
        <v>66.667000000000002</v>
      </c>
      <c r="H1018" s="12">
        <f>H1011</f>
        <v>108.10000000000001</v>
      </c>
      <c r="I1018" s="12">
        <f>VLOOKUP(C1018,Resources!B:G,6,FALSE)</f>
        <v>90</v>
      </c>
      <c r="J1018" s="21">
        <f t="shared" si="1674"/>
        <v>291.86854065729676</v>
      </c>
      <c r="K1018" s="21">
        <f t="shared" si="1675"/>
        <v>3.242983785081075</v>
      </c>
      <c r="L1018" s="24">
        <f t="shared" si="1676"/>
        <v>1.6214918925405375</v>
      </c>
      <c r="M1018" s="24">
        <f t="shared" si="1677"/>
        <v>0</v>
      </c>
      <c r="N1018" s="24">
        <f t="shared" si="1678"/>
        <v>0</v>
      </c>
      <c r="O1018" s="24">
        <f t="shared" si="1679"/>
        <v>291.86854065729676</v>
      </c>
      <c r="P1018" s="24">
        <f t="shared" si="1680"/>
        <v>0</v>
      </c>
      <c r="Q1018" s="24">
        <f t="shared" si="1681"/>
        <v>291.86854065729676</v>
      </c>
      <c r="R1018" s="87">
        <v>62</v>
      </c>
      <c r="T1018" s="235" t="str">
        <f t="shared" si="1620"/>
        <v xml:space="preserve"> </v>
      </c>
    </row>
    <row r="1019" spans="1:21" x14ac:dyDescent="0.25">
      <c r="F1019" s="11"/>
      <c r="G1019" s="11"/>
      <c r="H1019" s="11"/>
      <c r="I1019" s="11"/>
      <c r="J1019" s="11"/>
      <c r="K1019" s="11"/>
      <c r="R1019" s="88"/>
      <c r="T1019" s="235" t="str">
        <f t="shared" si="1620"/>
        <v xml:space="preserve"> </v>
      </c>
    </row>
    <row r="1020" spans="1:21" ht="60" x14ac:dyDescent="0.25">
      <c r="A1020" s="156">
        <v>129</v>
      </c>
      <c r="B1020" s="3" t="s">
        <v>397</v>
      </c>
      <c r="C1020" s="3" t="s">
        <v>608</v>
      </c>
      <c r="D1020" s="4" t="s">
        <v>74</v>
      </c>
      <c r="E1020" s="15"/>
      <c r="F1020" s="10"/>
      <c r="G1020" s="10"/>
      <c r="H1020" s="26">
        <f>VLOOKUP($A1020,'Model Inputs'!$A:$C,3,FALSE)</f>
        <v>72</v>
      </c>
      <c r="I1020" s="10"/>
      <c r="J1020" s="10">
        <f>SUBTOTAL(9,J1021:J1025,J1027:J1028)</f>
        <v>7480.406692966536</v>
      </c>
      <c r="K1020" s="10"/>
      <c r="L1020" s="10">
        <f>ROUNDUP(MAX(L1021:L1025,L1027:L1028)/Workhrs,0)</f>
        <v>1</v>
      </c>
      <c r="M1020" s="10">
        <f t="shared" ref="M1020" si="1682">SUBTOTAL(9,M1021:M1025,M1027:M1028)</f>
        <v>395.1646241768791</v>
      </c>
      <c r="N1020" s="10">
        <f t="shared" ref="N1020" si="1683">SUBTOTAL(9,N1021:N1025,N1027:N1028)</f>
        <v>5499.0000000000009</v>
      </c>
      <c r="O1020" s="10">
        <f t="shared" ref="O1020" si="1684">SUBTOTAL(9,O1021:O1025,O1027:O1028)</f>
        <v>1586.2420687896561</v>
      </c>
      <c r="P1020" s="10">
        <f t="shared" ref="P1020" si="1685">SUBTOTAL(9,P1021:P1025,P1027:P1028)</f>
        <v>0</v>
      </c>
      <c r="Q1020" s="10">
        <f t="shared" ref="Q1020" si="1686">SUBTOTAL(9,Q1021:Q1025,Q1027:Q1028)</f>
        <v>7480.406692966536</v>
      </c>
      <c r="R1020" s="86"/>
      <c r="T1020" s="235" t="str">
        <f t="shared" si="1620"/>
        <v xml:space="preserve"> </v>
      </c>
    </row>
    <row r="1021" spans="1:21" x14ac:dyDescent="0.25">
      <c r="A1021" s="157"/>
      <c r="B1021" s="6">
        <v>1</v>
      </c>
      <c r="C1021" s="9" t="s">
        <v>103</v>
      </c>
      <c r="D1021" s="6" t="s">
        <v>100</v>
      </c>
      <c r="E1021" s="17" t="str">
        <f>VLOOKUP(C1021,Resources!B:G,3,FALSE)</f>
        <v>M</v>
      </c>
      <c r="F1021" s="12">
        <v>1</v>
      </c>
      <c r="G1021" s="12">
        <v>1</v>
      </c>
      <c r="H1021" s="12">
        <f>H1020*2.35</f>
        <v>169.20000000000002</v>
      </c>
      <c r="I1021" s="12">
        <f>VLOOKUP(C1021,Resources!B:G,6,FALSE)</f>
        <v>32.5</v>
      </c>
      <c r="J1021" s="21">
        <f t="shared" ref="J1021:J1025" si="1687">(H1021/G1021)*I1021*F1021</f>
        <v>5499.0000000000009</v>
      </c>
      <c r="K1021" s="21" t="str">
        <f t="shared" ref="K1021:K1025" si="1688">IF(E1021="M"," ",L1021*F1021)</f>
        <v xml:space="preserve"> </v>
      </c>
      <c r="L1021" s="24" t="str">
        <f t="shared" ref="L1021:L1025" si="1689">IF(E1021="M"," ",H1021/G1021)</f>
        <v xml:space="preserve"> </v>
      </c>
      <c r="M1021" s="24">
        <f t="shared" ref="M1021:M1025" si="1690">IF($E1021="L",$J1021,0)</f>
        <v>0</v>
      </c>
      <c r="N1021" s="24">
        <f t="shared" ref="N1021:N1025" si="1691">IF($E1021="M",$J1021,0)</f>
        <v>5499.0000000000009</v>
      </c>
      <c r="O1021" s="24">
        <f t="shared" ref="O1021:O1025" si="1692">IF($E1021="P",$J1021,0)</f>
        <v>0</v>
      </c>
      <c r="P1021" s="24">
        <f t="shared" ref="P1021:P1025" si="1693">IF($E1021="S",$J1021,0)</f>
        <v>0</v>
      </c>
      <c r="Q1021" s="24">
        <f t="shared" ref="Q1021:Q1025" si="1694">SUM(M1021:P1021)</f>
        <v>5499.0000000000009</v>
      </c>
      <c r="R1021" s="87" t="s">
        <v>539</v>
      </c>
      <c r="T1021" s="235" t="str">
        <f t="shared" si="1620"/>
        <v xml:space="preserve"> </v>
      </c>
    </row>
    <row r="1022" spans="1:21" x14ac:dyDescent="0.25">
      <c r="A1022" s="157">
        <v>129.1</v>
      </c>
      <c r="B1022" s="6">
        <v>2</v>
      </c>
      <c r="C1022" s="9" t="s">
        <v>78</v>
      </c>
      <c r="D1022" s="6" t="s">
        <v>26</v>
      </c>
      <c r="E1022" s="17" t="str">
        <f>VLOOKUP(C1022,Resources!B:G,3,FALSE)</f>
        <v>P</v>
      </c>
      <c r="F1022" s="12">
        <v>1</v>
      </c>
      <c r="G1022" s="26">
        <f>VLOOKUP($A1022,'Model Inputs'!$A:$C,3,FALSE)</f>
        <v>66.667000000000002</v>
      </c>
      <c r="H1022" s="12">
        <f>H1021</f>
        <v>169.20000000000002</v>
      </c>
      <c r="I1022" s="12">
        <f>VLOOKUP(C1022,Resources!B:G,6,FALSE)</f>
        <v>160</v>
      </c>
      <c r="J1022" s="21">
        <f t="shared" si="1687"/>
        <v>406.07796961015197</v>
      </c>
      <c r="K1022" s="21">
        <f t="shared" si="1688"/>
        <v>2.5379873100634498</v>
      </c>
      <c r="L1022" s="24">
        <f t="shared" si="1689"/>
        <v>2.5379873100634498</v>
      </c>
      <c r="M1022" s="24">
        <f t="shared" si="1690"/>
        <v>0</v>
      </c>
      <c r="N1022" s="24">
        <f t="shared" si="1691"/>
        <v>0</v>
      </c>
      <c r="O1022" s="24">
        <f t="shared" si="1692"/>
        <v>406.07796961015197</v>
      </c>
      <c r="P1022" s="24">
        <f t="shared" si="1693"/>
        <v>0</v>
      </c>
      <c r="Q1022" s="24">
        <f t="shared" si="1694"/>
        <v>406.07796961015197</v>
      </c>
      <c r="R1022" s="87">
        <v>62</v>
      </c>
      <c r="T1022" s="235" t="str">
        <f t="shared" si="1620"/>
        <v xml:space="preserve"> </v>
      </c>
    </row>
    <row r="1023" spans="1:21" x14ac:dyDescent="0.25">
      <c r="A1023" s="157"/>
      <c r="B1023" s="6">
        <v>3</v>
      </c>
      <c r="C1023" s="9" t="s">
        <v>89</v>
      </c>
      <c r="D1023" s="6" t="s">
        <v>26</v>
      </c>
      <c r="E1023" s="17" t="str">
        <f>VLOOKUP(C1023,Resources!B:G,3,FALSE)</f>
        <v>P</v>
      </c>
      <c r="F1023" s="12">
        <v>1</v>
      </c>
      <c r="G1023" s="12">
        <f>G1022</f>
        <v>66.667000000000002</v>
      </c>
      <c r="H1023" s="12">
        <f>H1021</f>
        <v>169.20000000000002</v>
      </c>
      <c r="I1023" s="12">
        <f>VLOOKUP(C1023,Resources!B:G,6,FALSE)</f>
        <v>55</v>
      </c>
      <c r="J1023" s="21">
        <f t="shared" si="1687"/>
        <v>139.58930205348975</v>
      </c>
      <c r="K1023" s="21">
        <f t="shared" si="1688"/>
        <v>2.5379873100634498</v>
      </c>
      <c r="L1023" s="24">
        <f t="shared" si="1689"/>
        <v>2.5379873100634498</v>
      </c>
      <c r="M1023" s="24">
        <f t="shared" si="1690"/>
        <v>0</v>
      </c>
      <c r="N1023" s="24">
        <f t="shared" si="1691"/>
        <v>0</v>
      </c>
      <c r="O1023" s="24">
        <f t="shared" si="1692"/>
        <v>139.58930205348975</v>
      </c>
      <c r="P1023" s="24">
        <f t="shared" si="1693"/>
        <v>0</v>
      </c>
      <c r="Q1023" s="24">
        <f t="shared" si="1694"/>
        <v>139.58930205348975</v>
      </c>
      <c r="R1023" s="87">
        <v>62</v>
      </c>
      <c r="T1023" s="235" t="str">
        <f t="shared" si="1620"/>
        <v xml:space="preserve"> </v>
      </c>
    </row>
    <row r="1024" spans="1:21" x14ac:dyDescent="0.25">
      <c r="A1024" s="157"/>
      <c r="B1024" s="6">
        <v>4</v>
      </c>
      <c r="C1024" s="9" t="s">
        <v>28</v>
      </c>
      <c r="D1024" s="6" t="s">
        <v>26</v>
      </c>
      <c r="E1024" s="17" t="str">
        <f>VLOOKUP(C1024,Resources!B:G,3,FALSE)</f>
        <v>P</v>
      </c>
      <c r="F1024" s="12">
        <v>1</v>
      </c>
      <c r="G1024" s="12">
        <f>G1022</f>
        <v>66.667000000000002</v>
      </c>
      <c r="H1024" s="12">
        <f>H1021</f>
        <v>169.20000000000002</v>
      </c>
      <c r="I1024" s="12">
        <f>VLOOKUP(C1024,Resources!B:G,6,FALSE)</f>
        <v>95</v>
      </c>
      <c r="J1024" s="21">
        <f t="shared" si="1687"/>
        <v>241.10879445602774</v>
      </c>
      <c r="K1024" s="21">
        <f t="shared" si="1688"/>
        <v>2.5379873100634498</v>
      </c>
      <c r="L1024" s="24">
        <f t="shared" si="1689"/>
        <v>2.5379873100634498</v>
      </c>
      <c r="M1024" s="24">
        <f t="shared" si="1690"/>
        <v>0</v>
      </c>
      <c r="N1024" s="24">
        <f t="shared" si="1691"/>
        <v>0</v>
      </c>
      <c r="O1024" s="24">
        <f t="shared" si="1692"/>
        <v>241.10879445602774</v>
      </c>
      <c r="P1024" s="24">
        <f t="shared" si="1693"/>
        <v>0</v>
      </c>
      <c r="Q1024" s="24">
        <f t="shared" si="1694"/>
        <v>241.10879445602774</v>
      </c>
      <c r="R1024" s="87">
        <v>62</v>
      </c>
      <c r="T1024" s="235" t="str">
        <f t="shared" si="1620"/>
        <v xml:space="preserve"> </v>
      </c>
    </row>
    <row r="1025" spans="1:21" x14ac:dyDescent="0.25">
      <c r="A1025" s="157"/>
      <c r="B1025" s="6">
        <v>5</v>
      </c>
      <c r="C1025" s="9" t="s">
        <v>8</v>
      </c>
      <c r="D1025" s="6" t="s">
        <v>26</v>
      </c>
      <c r="E1025" s="17" t="str">
        <f>VLOOKUP(C1025,Resources!B:G,3,FALSE)</f>
        <v>L</v>
      </c>
      <c r="F1025" s="12">
        <v>3</v>
      </c>
      <c r="G1025" s="12">
        <f>G1022</f>
        <v>66.667000000000002</v>
      </c>
      <c r="H1025" s="12">
        <f>H1021</f>
        <v>169.20000000000002</v>
      </c>
      <c r="I1025" s="12">
        <f>VLOOKUP(C1025,Resources!B:G,6,FALSE)</f>
        <v>51.9</v>
      </c>
      <c r="J1025" s="21">
        <f t="shared" si="1687"/>
        <v>395.1646241768791</v>
      </c>
      <c r="K1025" s="21">
        <f t="shared" si="1688"/>
        <v>7.6139619301903494</v>
      </c>
      <c r="L1025" s="24">
        <f t="shared" si="1689"/>
        <v>2.5379873100634498</v>
      </c>
      <c r="M1025" s="24">
        <f t="shared" si="1690"/>
        <v>395.1646241768791</v>
      </c>
      <c r="N1025" s="24">
        <f t="shared" si="1691"/>
        <v>0</v>
      </c>
      <c r="O1025" s="24">
        <f t="shared" si="1692"/>
        <v>0</v>
      </c>
      <c r="P1025" s="24">
        <f t="shared" si="1693"/>
        <v>0</v>
      </c>
      <c r="Q1025" s="24">
        <f t="shared" si="1694"/>
        <v>395.1646241768791</v>
      </c>
      <c r="R1025" s="87">
        <v>62</v>
      </c>
      <c r="T1025" s="235" t="str">
        <f t="shared" si="1620"/>
        <v xml:space="preserve"> </v>
      </c>
    </row>
    <row r="1026" spans="1:21" s="18" customFormat="1" ht="30" x14ac:dyDescent="0.25">
      <c r="A1026" s="157"/>
      <c r="B1026" s="6">
        <v>6</v>
      </c>
      <c r="C1026" s="9" t="s">
        <v>101</v>
      </c>
      <c r="D1026" s="6"/>
      <c r="E1026" s="17"/>
      <c r="F1026" s="12"/>
      <c r="G1026" s="12"/>
      <c r="H1026" s="12"/>
      <c r="I1026" s="12"/>
      <c r="J1026" s="21"/>
      <c r="K1026" s="21"/>
      <c r="L1026" s="24"/>
      <c r="M1026" s="24"/>
      <c r="N1026" s="24"/>
      <c r="O1026" s="24"/>
      <c r="P1026" s="24"/>
      <c r="Q1026" s="24"/>
      <c r="R1026" s="87"/>
      <c r="T1026" s="235" t="str">
        <f t="shared" si="1620"/>
        <v xml:space="preserve"> </v>
      </c>
      <c r="U1026" s="232"/>
    </row>
    <row r="1027" spans="1:21" x14ac:dyDescent="0.25">
      <c r="A1027" s="157"/>
      <c r="B1027" s="6">
        <v>7</v>
      </c>
      <c r="C1027" s="9" t="s">
        <v>70</v>
      </c>
      <c r="D1027" s="6" t="s">
        <v>26</v>
      </c>
      <c r="E1027" s="17" t="str">
        <f>VLOOKUP(C1027,Resources!B:G,3,FALSE)</f>
        <v>P</v>
      </c>
      <c r="F1027" s="12">
        <v>1</v>
      </c>
      <c r="G1027" s="12">
        <f>G1022</f>
        <v>66.667000000000002</v>
      </c>
      <c r="H1027" s="12">
        <f>H1021</f>
        <v>169.20000000000002</v>
      </c>
      <c r="I1027" s="12">
        <f>VLOOKUP(C1027,Resources!B:G,6,FALSE)</f>
        <v>135</v>
      </c>
      <c r="J1027" s="21">
        <f t="shared" ref="J1027:J1028" si="1695">(H1027/G1027)*I1027*F1027</f>
        <v>342.62828685856573</v>
      </c>
      <c r="K1027" s="21">
        <f t="shared" ref="K1027:K1028" si="1696">IF(E1027="M"," ",L1027*F1027)</f>
        <v>2.5379873100634498</v>
      </c>
      <c r="L1027" s="24">
        <f t="shared" ref="L1027:L1028" si="1697">IF(E1027="M"," ",H1027/G1027)</f>
        <v>2.5379873100634498</v>
      </c>
      <c r="M1027" s="24">
        <f t="shared" ref="M1027:M1028" si="1698">IF($E1027="L",$J1027,0)</f>
        <v>0</v>
      </c>
      <c r="N1027" s="24">
        <f t="shared" ref="N1027:N1028" si="1699">IF($E1027="M",$J1027,0)</f>
        <v>0</v>
      </c>
      <c r="O1027" s="24">
        <f t="shared" ref="O1027:O1028" si="1700">IF($E1027="P",$J1027,0)</f>
        <v>342.62828685856573</v>
      </c>
      <c r="P1027" s="24">
        <f t="shared" ref="P1027:P1028" si="1701">IF($E1027="S",$J1027,0)</f>
        <v>0</v>
      </c>
      <c r="Q1027" s="24">
        <f t="shared" ref="Q1027:Q1028" si="1702">SUM(M1027:P1027)</f>
        <v>342.62828685856573</v>
      </c>
      <c r="R1027" s="87">
        <v>62</v>
      </c>
      <c r="T1027" s="235" t="str">
        <f t="shared" si="1620"/>
        <v xml:space="preserve"> </v>
      </c>
    </row>
    <row r="1028" spans="1:21" x14ac:dyDescent="0.25">
      <c r="A1028" s="157"/>
      <c r="B1028" s="6">
        <v>8</v>
      </c>
      <c r="C1028" s="9" t="s">
        <v>27</v>
      </c>
      <c r="D1028" s="6" t="s">
        <v>26</v>
      </c>
      <c r="E1028" s="17" t="str">
        <f>VLOOKUP(C1028,Resources!B:G,3,FALSE)</f>
        <v>P</v>
      </c>
      <c r="F1028" s="12">
        <v>2</v>
      </c>
      <c r="G1028" s="12">
        <f>G1022</f>
        <v>66.667000000000002</v>
      </c>
      <c r="H1028" s="12">
        <f>H1021</f>
        <v>169.20000000000002</v>
      </c>
      <c r="I1028" s="12">
        <f>VLOOKUP(C1028,Resources!B:G,6,FALSE)</f>
        <v>90</v>
      </c>
      <c r="J1028" s="21">
        <f t="shared" si="1695"/>
        <v>456.83771581142094</v>
      </c>
      <c r="K1028" s="21">
        <f t="shared" si="1696"/>
        <v>5.0759746201268996</v>
      </c>
      <c r="L1028" s="24">
        <f t="shared" si="1697"/>
        <v>2.5379873100634498</v>
      </c>
      <c r="M1028" s="24">
        <f t="shared" si="1698"/>
        <v>0</v>
      </c>
      <c r="N1028" s="24">
        <f t="shared" si="1699"/>
        <v>0</v>
      </c>
      <c r="O1028" s="24">
        <f t="shared" si="1700"/>
        <v>456.83771581142094</v>
      </c>
      <c r="P1028" s="24">
        <f t="shared" si="1701"/>
        <v>0</v>
      </c>
      <c r="Q1028" s="24">
        <f t="shared" si="1702"/>
        <v>456.83771581142094</v>
      </c>
      <c r="R1028" s="87">
        <v>62</v>
      </c>
      <c r="T1028" s="235" t="str">
        <f t="shared" si="1620"/>
        <v xml:space="preserve"> </v>
      </c>
    </row>
    <row r="1029" spans="1:21" x14ac:dyDescent="0.25">
      <c r="F1029" s="11"/>
      <c r="G1029" s="11"/>
      <c r="H1029" s="11"/>
      <c r="I1029" s="11"/>
      <c r="J1029" s="11"/>
      <c r="K1029" s="11"/>
      <c r="R1029" s="88"/>
      <c r="T1029" s="235" t="str">
        <f t="shared" si="1620"/>
        <v xml:space="preserve"> </v>
      </c>
    </row>
    <row r="1030" spans="1:21" ht="60" x14ac:dyDescent="0.25">
      <c r="A1030" s="156">
        <v>130</v>
      </c>
      <c r="B1030" s="3" t="s">
        <v>398</v>
      </c>
      <c r="C1030" s="3" t="s">
        <v>609</v>
      </c>
      <c r="D1030" s="4" t="s">
        <v>74</v>
      </c>
      <c r="E1030" s="15"/>
      <c r="F1030" s="10"/>
      <c r="G1030" s="10"/>
      <c r="H1030" s="26">
        <f>VLOOKUP($A1030,'Model Inputs'!$A:$C,3,FALSE)</f>
        <v>62</v>
      </c>
      <c r="I1030" s="10"/>
      <c r="J1030" s="10">
        <f>SUBTOTAL(9,J1031:J1035,J1037:J1038)</f>
        <v>6310.3313189434066</v>
      </c>
      <c r="K1030" s="10"/>
      <c r="L1030" s="10">
        <f>ROUNDUP(MAX(L1031:L1035,L1037:L1038)/Workhrs,0)</f>
        <v>1</v>
      </c>
      <c r="M1030" s="10">
        <f t="shared" ref="M1030" si="1703">SUBTOTAL(9,M1031:M1035,M1037:M1038)</f>
        <v>340.28064859675703</v>
      </c>
      <c r="N1030" s="10">
        <f t="shared" ref="N1030" si="1704">SUBTOTAL(9,N1031:N1035,N1037:N1038)</f>
        <v>4604.1200000000008</v>
      </c>
      <c r="O1030" s="10">
        <f t="shared" ref="O1030" si="1705">SUBTOTAL(9,O1031:O1035,O1037:O1038)</f>
        <v>1365.9306703466484</v>
      </c>
      <c r="P1030" s="10">
        <f t="shared" ref="P1030" si="1706">SUBTOTAL(9,P1031:P1035,P1037:P1038)</f>
        <v>0</v>
      </c>
      <c r="Q1030" s="10">
        <f t="shared" ref="Q1030" si="1707">SUBTOTAL(9,Q1031:Q1035,Q1037:Q1038)</f>
        <v>6310.3313189434066</v>
      </c>
      <c r="R1030" s="86"/>
      <c r="T1030" s="235" t="str">
        <f t="shared" si="1620"/>
        <v xml:space="preserve"> </v>
      </c>
    </row>
    <row r="1031" spans="1:21" x14ac:dyDescent="0.25">
      <c r="A1031" s="157"/>
      <c r="B1031" s="6">
        <v>1</v>
      </c>
      <c r="C1031" s="9" t="s">
        <v>480</v>
      </c>
      <c r="D1031" s="6" t="s">
        <v>100</v>
      </c>
      <c r="E1031" s="17" t="str">
        <f>VLOOKUP(C1031,Resources!B:G,3,FALSE)</f>
        <v>M</v>
      </c>
      <c r="F1031" s="12">
        <v>1</v>
      </c>
      <c r="G1031" s="12">
        <v>1</v>
      </c>
      <c r="H1031" s="12">
        <f>H1030*2.35</f>
        <v>145.70000000000002</v>
      </c>
      <c r="I1031" s="12">
        <f>VLOOKUP(C1031,Resources!B:G,6,FALSE)</f>
        <v>31.6</v>
      </c>
      <c r="J1031" s="21">
        <f t="shared" ref="J1031:J1035" si="1708">(H1031/G1031)*I1031*F1031</f>
        <v>4604.1200000000008</v>
      </c>
      <c r="K1031" s="21" t="str">
        <f t="shared" ref="K1031:K1035" si="1709">IF(E1031="M"," ",L1031*F1031)</f>
        <v xml:space="preserve"> </v>
      </c>
      <c r="L1031" s="24" t="str">
        <f t="shared" ref="L1031:L1035" si="1710">IF(E1031="M"," ",H1031/G1031)</f>
        <v xml:space="preserve"> </v>
      </c>
      <c r="M1031" s="24">
        <f t="shared" ref="M1031:M1035" si="1711">IF($E1031="L",$J1031,0)</f>
        <v>0</v>
      </c>
      <c r="N1031" s="24">
        <f t="shared" ref="N1031:N1035" si="1712">IF($E1031="M",$J1031,0)</f>
        <v>4604.1200000000008</v>
      </c>
      <c r="O1031" s="24">
        <f t="shared" ref="O1031:O1035" si="1713">IF($E1031="P",$J1031,0)</f>
        <v>0</v>
      </c>
      <c r="P1031" s="24">
        <f t="shared" ref="P1031:P1035" si="1714">IF($E1031="S",$J1031,0)</f>
        <v>0</v>
      </c>
      <c r="Q1031" s="24">
        <f t="shared" ref="Q1031:Q1035" si="1715">SUM(M1031:P1031)</f>
        <v>4604.1200000000008</v>
      </c>
      <c r="R1031" s="87" t="s">
        <v>539</v>
      </c>
      <c r="T1031" s="235" t="str">
        <f t="shared" si="1620"/>
        <v xml:space="preserve"> </v>
      </c>
    </row>
    <row r="1032" spans="1:21" x14ac:dyDescent="0.25">
      <c r="A1032" s="157">
        <v>130.1</v>
      </c>
      <c r="B1032" s="6">
        <v>2</v>
      </c>
      <c r="C1032" s="9" t="s">
        <v>78</v>
      </c>
      <c r="D1032" s="6" t="s">
        <v>26</v>
      </c>
      <c r="E1032" s="17" t="str">
        <f>VLOOKUP(C1032,Resources!B:G,3,FALSE)</f>
        <v>P</v>
      </c>
      <c r="F1032" s="12">
        <v>1</v>
      </c>
      <c r="G1032" s="26">
        <f>VLOOKUP($A1032,'Model Inputs'!$A:$C,3,FALSE)</f>
        <v>66.667000000000002</v>
      </c>
      <c r="H1032" s="12">
        <f>H1031</f>
        <v>145.70000000000002</v>
      </c>
      <c r="I1032" s="12">
        <f>VLOOKUP(C1032,Resources!B:G,6,FALSE)</f>
        <v>160</v>
      </c>
      <c r="J1032" s="21">
        <f t="shared" si="1708"/>
        <v>349.67825160874202</v>
      </c>
      <c r="K1032" s="21">
        <f t="shared" si="1709"/>
        <v>2.1854890725546374</v>
      </c>
      <c r="L1032" s="24">
        <f t="shared" si="1710"/>
        <v>2.1854890725546374</v>
      </c>
      <c r="M1032" s="24">
        <f t="shared" si="1711"/>
        <v>0</v>
      </c>
      <c r="N1032" s="24">
        <f t="shared" si="1712"/>
        <v>0</v>
      </c>
      <c r="O1032" s="24">
        <f t="shared" si="1713"/>
        <v>349.67825160874202</v>
      </c>
      <c r="P1032" s="24">
        <f t="shared" si="1714"/>
        <v>0</v>
      </c>
      <c r="Q1032" s="24">
        <f t="shared" si="1715"/>
        <v>349.67825160874202</v>
      </c>
      <c r="R1032" s="87">
        <v>62</v>
      </c>
      <c r="T1032" s="235" t="str">
        <f t="shared" ref="T1032:T1095" si="1716">IF(R1032=$U$7,"y"," ")</f>
        <v xml:space="preserve"> </v>
      </c>
    </row>
    <row r="1033" spans="1:21" x14ac:dyDescent="0.25">
      <c r="A1033" s="157"/>
      <c r="B1033" s="6">
        <v>3</v>
      </c>
      <c r="C1033" s="9" t="s">
        <v>89</v>
      </c>
      <c r="D1033" s="6" t="s">
        <v>26</v>
      </c>
      <c r="E1033" s="17" t="str">
        <f>VLOOKUP(C1033,Resources!B:G,3,FALSE)</f>
        <v>P</v>
      </c>
      <c r="F1033" s="12">
        <v>1</v>
      </c>
      <c r="G1033" s="12">
        <f>G1032</f>
        <v>66.667000000000002</v>
      </c>
      <c r="H1033" s="12">
        <f>H1031</f>
        <v>145.70000000000002</v>
      </c>
      <c r="I1033" s="12">
        <f>VLOOKUP(C1033,Resources!B:G,6,FALSE)</f>
        <v>55</v>
      </c>
      <c r="J1033" s="21">
        <f t="shared" si="1708"/>
        <v>120.20189899050506</v>
      </c>
      <c r="K1033" s="21">
        <f t="shared" si="1709"/>
        <v>2.1854890725546374</v>
      </c>
      <c r="L1033" s="24">
        <f t="shared" si="1710"/>
        <v>2.1854890725546374</v>
      </c>
      <c r="M1033" s="24">
        <f t="shared" si="1711"/>
        <v>0</v>
      </c>
      <c r="N1033" s="24">
        <f t="shared" si="1712"/>
        <v>0</v>
      </c>
      <c r="O1033" s="24">
        <f t="shared" si="1713"/>
        <v>120.20189899050506</v>
      </c>
      <c r="P1033" s="24">
        <f t="shared" si="1714"/>
        <v>0</v>
      </c>
      <c r="Q1033" s="24">
        <f t="shared" si="1715"/>
        <v>120.20189899050506</v>
      </c>
      <c r="R1033" s="87">
        <v>62</v>
      </c>
      <c r="T1033" s="235" t="str">
        <f t="shared" si="1716"/>
        <v xml:space="preserve"> </v>
      </c>
    </row>
    <row r="1034" spans="1:21" x14ac:dyDescent="0.25">
      <c r="A1034" s="157"/>
      <c r="B1034" s="6">
        <v>4</v>
      </c>
      <c r="C1034" s="9" t="s">
        <v>28</v>
      </c>
      <c r="D1034" s="6" t="s">
        <v>26</v>
      </c>
      <c r="E1034" s="17" t="str">
        <f>VLOOKUP(C1034,Resources!B:G,3,FALSE)</f>
        <v>P</v>
      </c>
      <c r="F1034" s="12">
        <v>1</v>
      </c>
      <c r="G1034" s="12">
        <f>G1032</f>
        <v>66.667000000000002</v>
      </c>
      <c r="H1034" s="12">
        <f>H1031</f>
        <v>145.70000000000002</v>
      </c>
      <c r="I1034" s="12">
        <f>VLOOKUP(C1034,Resources!B:G,6,FALSE)</f>
        <v>95</v>
      </c>
      <c r="J1034" s="21">
        <f t="shared" si="1708"/>
        <v>207.62146189269055</v>
      </c>
      <c r="K1034" s="21">
        <f t="shared" si="1709"/>
        <v>2.1854890725546374</v>
      </c>
      <c r="L1034" s="24">
        <f t="shared" si="1710"/>
        <v>2.1854890725546374</v>
      </c>
      <c r="M1034" s="24">
        <f t="shared" si="1711"/>
        <v>0</v>
      </c>
      <c r="N1034" s="24">
        <f t="shared" si="1712"/>
        <v>0</v>
      </c>
      <c r="O1034" s="24">
        <f t="shared" si="1713"/>
        <v>207.62146189269055</v>
      </c>
      <c r="P1034" s="24">
        <f t="shared" si="1714"/>
        <v>0</v>
      </c>
      <c r="Q1034" s="24">
        <f t="shared" si="1715"/>
        <v>207.62146189269055</v>
      </c>
      <c r="R1034" s="87">
        <v>62</v>
      </c>
      <c r="T1034" s="235" t="str">
        <f t="shared" si="1716"/>
        <v xml:space="preserve"> </v>
      </c>
    </row>
    <row r="1035" spans="1:21" x14ac:dyDescent="0.25">
      <c r="A1035" s="157"/>
      <c r="B1035" s="6">
        <v>5</v>
      </c>
      <c r="C1035" s="9" t="s">
        <v>8</v>
      </c>
      <c r="D1035" s="6" t="s">
        <v>26</v>
      </c>
      <c r="E1035" s="17" t="str">
        <f>VLOOKUP(C1035,Resources!B:G,3,FALSE)</f>
        <v>L</v>
      </c>
      <c r="F1035" s="12">
        <v>3</v>
      </c>
      <c r="G1035" s="12">
        <f>G1032</f>
        <v>66.667000000000002</v>
      </c>
      <c r="H1035" s="12">
        <f>H1031</f>
        <v>145.70000000000002</v>
      </c>
      <c r="I1035" s="12">
        <f>VLOOKUP(C1035,Resources!B:G,6,FALSE)</f>
        <v>51.9</v>
      </c>
      <c r="J1035" s="21">
        <f t="shared" si="1708"/>
        <v>340.28064859675703</v>
      </c>
      <c r="K1035" s="21">
        <f t="shared" si="1709"/>
        <v>6.5564672176639123</v>
      </c>
      <c r="L1035" s="24">
        <f t="shared" si="1710"/>
        <v>2.1854890725546374</v>
      </c>
      <c r="M1035" s="24">
        <f t="shared" si="1711"/>
        <v>340.28064859675703</v>
      </c>
      <c r="N1035" s="24">
        <f t="shared" si="1712"/>
        <v>0</v>
      </c>
      <c r="O1035" s="24">
        <f t="shared" si="1713"/>
        <v>0</v>
      </c>
      <c r="P1035" s="24">
        <f t="shared" si="1714"/>
        <v>0</v>
      </c>
      <c r="Q1035" s="24">
        <f t="shared" si="1715"/>
        <v>340.28064859675703</v>
      </c>
      <c r="R1035" s="87">
        <v>62</v>
      </c>
      <c r="T1035" s="235" t="str">
        <f t="shared" si="1716"/>
        <v xml:space="preserve"> </v>
      </c>
    </row>
    <row r="1036" spans="1:21" s="18" customFormat="1" ht="30" x14ac:dyDescent="0.25">
      <c r="A1036" s="157"/>
      <c r="B1036" s="6">
        <v>6</v>
      </c>
      <c r="C1036" s="9" t="s">
        <v>101</v>
      </c>
      <c r="D1036" s="6"/>
      <c r="E1036" s="17"/>
      <c r="F1036" s="12"/>
      <c r="G1036" s="12"/>
      <c r="H1036" s="12"/>
      <c r="I1036" s="12"/>
      <c r="J1036" s="21"/>
      <c r="K1036" s="21"/>
      <c r="L1036" s="24"/>
      <c r="M1036" s="24"/>
      <c r="N1036" s="24"/>
      <c r="O1036" s="24"/>
      <c r="P1036" s="24"/>
      <c r="Q1036" s="24"/>
      <c r="R1036" s="87"/>
      <c r="T1036" s="235" t="str">
        <f t="shared" si="1716"/>
        <v xml:space="preserve"> </v>
      </c>
      <c r="U1036" s="232"/>
    </row>
    <row r="1037" spans="1:21" x14ac:dyDescent="0.25">
      <c r="A1037" s="157"/>
      <c r="B1037" s="6">
        <v>7</v>
      </c>
      <c r="C1037" s="9" t="s">
        <v>70</v>
      </c>
      <c r="D1037" s="6" t="s">
        <v>26</v>
      </c>
      <c r="E1037" s="17" t="str">
        <f>VLOOKUP(C1037,Resources!B:G,3,FALSE)</f>
        <v>P</v>
      </c>
      <c r="F1037" s="12">
        <v>1</v>
      </c>
      <c r="G1037" s="12">
        <f>G1032</f>
        <v>66.667000000000002</v>
      </c>
      <c r="H1037" s="12">
        <f>H1031</f>
        <v>145.70000000000002</v>
      </c>
      <c r="I1037" s="12">
        <f>VLOOKUP(C1037,Resources!B:G,6,FALSE)</f>
        <v>135</v>
      </c>
      <c r="J1037" s="21">
        <f t="shared" ref="J1037:J1038" si="1717">(H1037/G1037)*I1037*F1037</f>
        <v>295.04102479487608</v>
      </c>
      <c r="K1037" s="21">
        <f t="shared" ref="K1037:K1038" si="1718">IF(E1037="M"," ",L1037*F1037)</f>
        <v>2.1854890725546374</v>
      </c>
      <c r="L1037" s="24">
        <f t="shared" ref="L1037:L1038" si="1719">IF(E1037="M"," ",H1037/G1037)</f>
        <v>2.1854890725546374</v>
      </c>
      <c r="M1037" s="24">
        <f t="shared" ref="M1037:M1038" si="1720">IF($E1037="L",$J1037,0)</f>
        <v>0</v>
      </c>
      <c r="N1037" s="24">
        <f t="shared" ref="N1037:N1038" si="1721">IF($E1037="M",$J1037,0)</f>
        <v>0</v>
      </c>
      <c r="O1037" s="24">
        <f t="shared" ref="O1037:O1038" si="1722">IF($E1037="P",$J1037,0)</f>
        <v>295.04102479487608</v>
      </c>
      <c r="P1037" s="24">
        <f t="shared" ref="P1037:P1038" si="1723">IF($E1037="S",$J1037,0)</f>
        <v>0</v>
      </c>
      <c r="Q1037" s="24">
        <f t="shared" ref="Q1037:Q1038" si="1724">SUM(M1037:P1037)</f>
        <v>295.04102479487608</v>
      </c>
      <c r="R1037" s="87">
        <v>62</v>
      </c>
      <c r="T1037" s="235" t="str">
        <f t="shared" si="1716"/>
        <v xml:space="preserve"> </v>
      </c>
    </row>
    <row r="1038" spans="1:21" x14ac:dyDescent="0.25">
      <c r="A1038" s="157"/>
      <c r="B1038" s="6">
        <v>8</v>
      </c>
      <c r="C1038" s="9" t="s">
        <v>27</v>
      </c>
      <c r="D1038" s="6" t="s">
        <v>26</v>
      </c>
      <c r="E1038" s="17" t="str">
        <f>VLOOKUP(C1038,Resources!B:G,3,FALSE)</f>
        <v>P</v>
      </c>
      <c r="F1038" s="12">
        <v>2</v>
      </c>
      <c r="G1038" s="12">
        <f>G1032</f>
        <v>66.667000000000002</v>
      </c>
      <c r="H1038" s="12">
        <f>H1031</f>
        <v>145.70000000000002</v>
      </c>
      <c r="I1038" s="12">
        <f>VLOOKUP(C1038,Resources!B:G,6,FALSE)</f>
        <v>90</v>
      </c>
      <c r="J1038" s="21">
        <f t="shared" si="1717"/>
        <v>393.38803305983475</v>
      </c>
      <c r="K1038" s="21">
        <f t="shared" si="1718"/>
        <v>4.3709781451092748</v>
      </c>
      <c r="L1038" s="24">
        <f t="shared" si="1719"/>
        <v>2.1854890725546374</v>
      </c>
      <c r="M1038" s="24">
        <f t="shared" si="1720"/>
        <v>0</v>
      </c>
      <c r="N1038" s="24">
        <f t="shared" si="1721"/>
        <v>0</v>
      </c>
      <c r="O1038" s="24">
        <f t="shared" si="1722"/>
        <v>393.38803305983475</v>
      </c>
      <c r="P1038" s="24">
        <f t="shared" si="1723"/>
        <v>0</v>
      </c>
      <c r="Q1038" s="24">
        <f t="shared" si="1724"/>
        <v>393.38803305983475</v>
      </c>
      <c r="R1038" s="87">
        <v>62</v>
      </c>
      <c r="T1038" s="235" t="str">
        <f t="shared" si="1716"/>
        <v xml:space="preserve"> </v>
      </c>
    </row>
    <row r="1039" spans="1:21" x14ac:dyDescent="0.25">
      <c r="F1039" s="11"/>
      <c r="G1039" s="11"/>
      <c r="H1039" s="11"/>
      <c r="I1039" s="11"/>
      <c r="J1039" s="11"/>
      <c r="K1039" s="11"/>
      <c r="R1039" s="88"/>
      <c r="T1039" s="235" t="str">
        <f t="shared" si="1716"/>
        <v xml:space="preserve"> </v>
      </c>
    </row>
    <row r="1040" spans="1:21" ht="30" x14ac:dyDescent="0.25">
      <c r="A1040" s="156"/>
      <c r="B1040" s="3" t="s">
        <v>399</v>
      </c>
      <c r="C1040" s="3" t="s">
        <v>387</v>
      </c>
      <c r="D1040" s="4"/>
      <c r="E1040" s="15"/>
      <c r="F1040" s="10"/>
      <c r="G1040" s="10"/>
      <c r="H1040" s="10"/>
      <c r="I1040" s="10"/>
      <c r="J1040" s="10"/>
      <c r="K1040" s="10"/>
      <c r="L1040" s="23"/>
      <c r="M1040" s="23"/>
      <c r="N1040" s="23"/>
      <c r="O1040" s="23"/>
      <c r="P1040" s="23"/>
      <c r="Q1040" s="23"/>
      <c r="R1040" s="86"/>
      <c r="T1040" s="235" t="str">
        <f t="shared" si="1716"/>
        <v xml:space="preserve"> </v>
      </c>
    </row>
    <row r="1041" spans="1:21" ht="60" x14ac:dyDescent="0.25">
      <c r="A1041" s="156">
        <v>131</v>
      </c>
      <c r="B1041" s="3" t="s">
        <v>400</v>
      </c>
      <c r="C1041" s="3" t="s">
        <v>610</v>
      </c>
      <c r="D1041" s="4" t="s">
        <v>74</v>
      </c>
      <c r="E1041" s="15"/>
      <c r="F1041" s="10"/>
      <c r="G1041" s="10"/>
      <c r="H1041" s="26">
        <f>VLOOKUP($A1041,'Model Inputs'!$A:$C,3,FALSE)</f>
        <v>95</v>
      </c>
      <c r="I1041" s="10"/>
      <c r="J1041" s="10">
        <f>SUBTOTAL(9,J1042:J1046,J1048:J1049)</f>
        <v>10149.043553219735</v>
      </c>
      <c r="K1041" s="10"/>
      <c r="L1041" s="10">
        <f>ROUNDUP(MAX(L1042:L1046,L1048:L1049)/Workhrs,0)</f>
        <v>1</v>
      </c>
      <c r="M1041" s="10">
        <f t="shared" ref="M1041" si="1725">SUBTOTAL(9,M1042:M1046,M1048:M1049)</f>
        <v>521.39776801116</v>
      </c>
      <c r="N1041" s="10">
        <f t="shared" ref="N1041" si="1726">SUBTOTAL(9,N1042:N1046,N1048:N1049)</f>
        <v>7534.6875</v>
      </c>
      <c r="O1041" s="10">
        <f t="shared" ref="O1041" si="1727">SUBTOTAL(9,O1042:O1046,O1048:O1049)</f>
        <v>2092.9582852085737</v>
      </c>
      <c r="P1041" s="10">
        <f t="shared" ref="P1041" si="1728">SUBTOTAL(9,P1042:P1046,P1048:P1049)</f>
        <v>0</v>
      </c>
      <c r="Q1041" s="10">
        <f t="shared" ref="Q1041" si="1729">SUBTOTAL(9,Q1042:Q1046,Q1048:Q1049)</f>
        <v>10149.043553219735</v>
      </c>
      <c r="R1041" s="86"/>
      <c r="T1041" s="235" t="str">
        <f t="shared" si="1716"/>
        <v xml:space="preserve"> </v>
      </c>
    </row>
    <row r="1042" spans="1:21" x14ac:dyDescent="0.25">
      <c r="A1042" s="157"/>
      <c r="B1042" s="6">
        <v>1</v>
      </c>
      <c r="C1042" s="9" t="s">
        <v>198</v>
      </c>
      <c r="D1042" s="6" t="s">
        <v>100</v>
      </c>
      <c r="E1042" s="17" t="str">
        <f>VLOOKUP(C1042,Resources!B:G,3,FALSE)</f>
        <v>M</v>
      </c>
      <c r="F1042" s="12">
        <v>1</v>
      </c>
      <c r="G1042" s="12">
        <v>1</v>
      </c>
      <c r="H1042" s="12">
        <f>H1041*2.35</f>
        <v>223.25</v>
      </c>
      <c r="I1042" s="12">
        <f>VLOOKUP(C1042,Resources!B:G,6,FALSE)</f>
        <v>33.75</v>
      </c>
      <c r="J1042" s="21">
        <f t="shared" ref="J1042:J1046" si="1730">(H1042/G1042)*I1042*F1042</f>
        <v>7534.6875</v>
      </c>
      <c r="K1042" s="21" t="str">
        <f t="shared" ref="K1042:K1046" si="1731">IF(E1042="M"," ",L1042*F1042)</f>
        <v xml:space="preserve"> </v>
      </c>
      <c r="L1042" s="24" t="str">
        <f t="shared" ref="L1042:L1046" si="1732">IF(E1042="M"," ",H1042/G1042)</f>
        <v xml:space="preserve"> </v>
      </c>
      <c r="M1042" s="24">
        <f t="shared" ref="M1042:M1046" si="1733">IF($E1042="L",$J1042,0)</f>
        <v>0</v>
      </c>
      <c r="N1042" s="24">
        <f t="shared" ref="N1042:N1046" si="1734">IF($E1042="M",$J1042,0)</f>
        <v>7534.6875</v>
      </c>
      <c r="O1042" s="24">
        <f t="shared" ref="O1042:O1046" si="1735">IF($E1042="P",$J1042,0)</f>
        <v>0</v>
      </c>
      <c r="P1042" s="24">
        <f t="shared" ref="P1042:P1046" si="1736">IF($E1042="S",$J1042,0)</f>
        <v>0</v>
      </c>
      <c r="Q1042" s="24">
        <f t="shared" ref="Q1042:Q1046" si="1737">SUM(M1042:P1042)</f>
        <v>7534.6875</v>
      </c>
      <c r="R1042" s="87" t="s">
        <v>539</v>
      </c>
      <c r="T1042" s="235" t="str">
        <f t="shared" si="1716"/>
        <v xml:space="preserve"> </v>
      </c>
    </row>
    <row r="1043" spans="1:21" x14ac:dyDescent="0.25">
      <c r="A1043" s="157">
        <v>131.1</v>
      </c>
      <c r="B1043" s="6">
        <v>2</v>
      </c>
      <c r="C1043" s="9" t="s">
        <v>78</v>
      </c>
      <c r="D1043" s="6" t="s">
        <v>26</v>
      </c>
      <c r="E1043" s="17" t="str">
        <f>VLOOKUP(C1043,Resources!B:G,3,FALSE)</f>
        <v>P</v>
      </c>
      <c r="F1043" s="12">
        <v>1</v>
      </c>
      <c r="G1043" s="26">
        <f>VLOOKUP($A1043,'Model Inputs'!$A:$C,3,FALSE)</f>
        <v>66.667000000000002</v>
      </c>
      <c r="H1043" s="12">
        <f>H1042</f>
        <v>223.25</v>
      </c>
      <c r="I1043" s="12">
        <f>VLOOKUP(C1043,Resources!B:G,6,FALSE)</f>
        <v>160</v>
      </c>
      <c r="J1043" s="21">
        <f t="shared" si="1730"/>
        <v>535.79732101339494</v>
      </c>
      <c r="K1043" s="21">
        <f t="shared" si="1731"/>
        <v>3.3487332563337184</v>
      </c>
      <c r="L1043" s="24">
        <f t="shared" si="1732"/>
        <v>3.3487332563337184</v>
      </c>
      <c r="M1043" s="24">
        <f t="shared" si="1733"/>
        <v>0</v>
      </c>
      <c r="N1043" s="24">
        <f t="shared" si="1734"/>
        <v>0</v>
      </c>
      <c r="O1043" s="24">
        <f t="shared" si="1735"/>
        <v>535.79732101339494</v>
      </c>
      <c r="P1043" s="24">
        <f t="shared" si="1736"/>
        <v>0</v>
      </c>
      <c r="Q1043" s="24">
        <f t="shared" si="1737"/>
        <v>535.79732101339494</v>
      </c>
      <c r="R1043" s="87">
        <v>62</v>
      </c>
      <c r="T1043" s="235" t="str">
        <f t="shared" si="1716"/>
        <v xml:space="preserve"> </v>
      </c>
    </row>
    <row r="1044" spans="1:21" x14ac:dyDescent="0.25">
      <c r="A1044" s="157"/>
      <c r="B1044" s="6">
        <v>3</v>
      </c>
      <c r="C1044" s="9" t="s">
        <v>89</v>
      </c>
      <c r="D1044" s="6" t="s">
        <v>26</v>
      </c>
      <c r="E1044" s="17" t="str">
        <f>VLOOKUP(C1044,Resources!B:G,3,FALSE)</f>
        <v>P</v>
      </c>
      <c r="F1044" s="12">
        <v>1</v>
      </c>
      <c r="G1044" s="12">
        <f>G1043</f>
        <v>66.667000000000002</v>
      </c>
      <c r="H1044" s="12">
        <f>H1042</f>
        <v>223.25</v>
      </c>
      <c r="I1044" s="12">
        <f>VLOOKUP(C1044,Resources!B:G,6,FALSE)</f>
        <v>55</v>
      </c>
      <c r="J1044" s="21">
        <f t="shared" si="1730"/>
        <v>184.18032909835452</v>
      </c>
      <c r="K1044" s="21">
        <f t="shared" si="1731"/>
        <v>3.3487332563337184</v>
      </c>
      <c r="L1044" s="24">
        <f t="shared" si="1732"/>
        <v>3.3487332563337184</v>
      </c>
      <c r="M1044" s="24">
        <f t="shared" si="1733"/>
        <v>0</v>
      </c>
      <c r="N1044" s="24">
        <f t="shared" si="1734"/>
        <v>0</v>
      </c>
      <c r="O1044" s="24">
        <f t="shared" si="1735"/>
        <v>184.18032909835452</v>
      </c>
      <c r="P1044" s="24">
        <f t="shared" si="1736"/>
        <v>0</v>
      </c>
      <c r="Q1044" s="24">
        <f t="shared" si="1737"/>
        <v>184.18032909835452</v>
      </c>
      <c r="R1044" s="87">
        <v>62</v>
      </c>
      <c r="T1044" s="235" t="str">
        <f t="shared" si="1716"/>
        <v xml:space="preserve"> </v>
      </c>
    </row>
    <row r="1045" spans="1:21" x14ac:dyDescent="0.25">
      <c r="A1045" s="157"/>
      <c r="B1045" s="6">
        <v>4</v>
      </c>
      <c r="C1045" s="9" t="s">
        <v>28</v>
      </c>
      <c r="D1045" s="6" t="s">
        <v>26</v>
      </c>
      <c r="E1045" s="17" t="str">
        <f>VLOOKUP(C1045,Resources!B:G,3,FALSE)</f>
        <v>P</v>
      </c>
      <c r="F1045" s="12">
        <v>1</v>
      </c>
      <c r="G1045" s="12">
        <f>G1043</f>
        <v>66.667000000000002</v>
      </c>
      <c r="H1045" s="12">
        <f>H1042</f>
        <v>223.25</v>
      </c>
      <c r="I1045" s="12">
        <f>VLOOKUP(C1045,Resources!B:G,6,FALSE)</f>
        <v>95</v>
      </c>
      <c r="J1045" s="21">
        <f t="shared" si="1730"/>
        <v>318.12965935170325</v>
      </c>
      <c r="K1045" s="21">
        <f t="shared" si="1731"/>
        <v>3.3487332563337184</v>
      </c>
      <c r="L1045" s="24">
        <f t="shared" si="1732"/>
        <v>3.3487332563337184</v>
      </c>
      <c r="M1045" s="24">
        <f t="shared" si="1733"/>
        <v>0</v>
      </c>
      <c r="N1045" s="24">
        <f t="shared" si="1734"/>
        <v>0</v>
      </c>
      <c r="O1045" s="24">
        <f t="shared" si="1735"/>
        <v>318.12965935170325</v>
      </c>
      <c r="P1045" s="24">
        <f t="shared" si="1736"/>
        <v>0</v>
      </c>
      <c r="Q1045" s="24">
        <f t="shared" si="1737"/>
        <v>318.12965935170325</v>
      </c>
      <c r="R1045" s="87">
        <v>62</v>
      </c>
      <c r="T1045" s="235" t="str">
        <f t="shared" si="1716"/>
        <v xml:space="preserve"> </v>
      </c>
    </row>
    <row r="1046" spans="1:21" x14ac:dyDescent="0.25">
      <c r="A1046" s="157"/>
      <c r="B1046" s="6">
        <v>5</v>
      </c>
      <c r="C1046" s="9" t="s">
        <v>8</v>
      </c>
      <c r="D1046" s="6" t="s">
        <v>26</v>
      </c>
      <c r="E1046" s="17" t="str">
        <f>VLOOKUP(C1046,Resources!B:G,3,FALSE)</f>
        <v>L</v>
      </c>
      <c r="F1046" s="12">
        <v>3</v>
      </c>
      <c r="G1046" s="12">
        <f>G1043</f>
        <v>66.667000000000002</v>
      </c>
      <c r="H1046" s="12">
        <f>H1042</f>
        <v>223.25</v>
      </c>
      <c r="I1046" s="12">
        <f>VLOOKUP(C1046,Resources!B:G,6,FALSE)</f>
        <v>51.9</v>
      </c>
      <c r="J1046" s="21">
        <f t="shared" si="1730"/>
        <v>521.39776801116</v>
      </c>
      <c r="K1046" s="21">
        <f t="shared" si="1731"/>
        <v>10.046199769001156</v>
      </c>
      <c r="L1046" s="24">
        <f t="shared" si="1732"/>
        <v>3.3487332563337184</v>
      </c>
      <c r="M1046" s="24">
        <f t="shared" si="1733"/>
        <v>521.39776801116</v>
      </c>
      <c r="N1046" s="24">
        <f t="shared" si="1734"/>
        <v>0</v>
      </c>
      <c r="O1046" s="24">
        <f t="shared" si="1735"/>
        <v>0</v>
      </c>
      <c r="P1046" s="24">
        <f t="shared" si="1736"/>
        <v>0</v>
      </c>
      <c r="Q1046" s="24">
        <f t="shared" si="1737"/>
        <v>521.39776801116</v>
      </c>
      <c r="R1046" s="87">
        <v>62</v>
      </c>
      <c r="T1046" s="235" t="str">
        <f t="shared" si="1716"/>
        <v xml:space="preserve"> </v>
      </c>
    </row>
    <row r="1047" spans="1:21" s="18" customFormat="1" ht="30" x14ac:dyDescent="0.25">
      <c r="A1047" s="157"/>
      <c r="B1047" s="6">
        <v>6</v>
      </c>
      <c r="C1047" s="9" t="s">
        <v>101</v>
      </c>
      <c r="D1047" s="6"/>
      <c r="E1047" s="17"/>
      <c r="F1047" s="12"/>
      <c r="G1047" s="12"/>
      <c r="H1047" s="12"/>
      <c r="I1047" s="12"/>
      <c r="J1047" s="21"/>
      <c r="K1047" s="21"/>
      <c r="L1047" s="24"/>
      <c r="M1047" s="24"/>
      <c r="N1047" s="24"/>
      <c r="O1047" s="24"/>
      <c r="P1047" s="24"/>
      <c r="Q1047" s="24"/>
      <c r="R1047" s="87"/>
      <c r="T1047" s="235" t="str">
        <f t="shared" si="1716"/>
        <v xml:space="preserve"> </v>
      </c>
      <c r="U1047" s="232"/>
    </row>
    <row r="1048" spans="1:21" x14ac:dyDescent="0.25">
      <c r="A1048" s="157"/>
      <c r="B1048" s="6">
        <v>7</v>
      </c>
      <c r="C1048" s="9" t="s">
        <v>70</v>
      </c>
      <c r="D1048" s="6" t="s">
        <v>26</v>
      </c>
      <c r="E1048" s="17" t="str">
        <f>VLOOKUP(C1048,Resources!B:G,3,FALSE)</f>
        <v>P</v>
      </c>
      <c r="F1048" s="12">
        <v>1</v>
      </c>
      <c r="G1048" s="12">
        <f>G1043</f>
        <v>66.667000000000002</v>
      </c>
      <c r="H1048" s="12">
        <f>H1042</f>
        <v>223.25</v>
      </c>
      <c r="I1048" s="12">
        <f>VLOOKUP(C1048,Resources!B:G,6,FALSE)</f>
        <v>135</v>
      </c>
      <c r="J1048" s="21">
        <f t="shared" ref="J1048:J1049" si="1738">(H1048/G1048)*I1048*F1048</f>
        <v>452.07898960505202</v>
      </c>
      <c r="K1048" s="21">
        <f t="shared" ref="K1048:K1049" si="1739">IF(E1048="M"," ",L1048*F1048)</f>
        <v>3.3487332563337184</v>
      </c>
      <c r="L1048" s="24">
        <f t="shared" ref="L1048:L1049" si="1740">IF(E1048="M"," ",H1048/G1048)</f>
        <v>3.3487332563337184</v>
      </c>
      <c r="M1048" s="24">
        <f t="shared" ref="M1048:M1049" si="1741">IF($E1048="L",$J1048,0)</f>
        <v>0</v>
      </c>
      <c r="N1048" s="24">
        <f t="shared" ref="N1048:N1049" si="1742">IF($E1048="M",$J1048,0)</f>
        <v>0</v>
      </c>
      <c r="O1048" s="24">
        <f t="shared" ref="O1048:O1049" si="1743">IF($E1048="P",$J1048,0)</f>
        <v>452.07898960505202</v>
      </c>
      <c r="P1048" s="24">
        <f t="shared" ref="P1048:P1049" si="1744">IF($E1048="S",$J1048,0)</f>
        <v>0</v>
      </c>
      <c r="Q1048" s="24">
        <f t="shared" ref="Q1048:Q1049" si="1745">SUM(M1048:P1048)</f>
        <v>452.07898960505202</v>
      </c>
      <c r="R1048" s="87">
        <v>62</v>
      </c>
      <c r="T1048" s="235" t="str">
        <f t="shared" si="1716"/>
        <v xml:space="preserve"> </v>
      </c>
    </row>
    <row r="1049" spans="1:21" x14ac:dyDescent="0.25">
      <c r="A1049" s="157"/>
      <c r="B1049" s="6">
        <v>8</v>
      </c>
      <c r="C1049" s="9" t="s">
        <v>27</v>
      </c>
      <c r="D1049" s="6" t="s">
        <v>26</v>
      </c>
      <c r="E1049" s="17" t="str">
        <f>VLOOKUP(C1049,Resources!B:G,3,FALSE)</f>
        <v>P</v>
      </c>
      <c r="F1049" s="12">
        <v>2</v>
      </c>
      <c r="G1049" s="12">
        <f>G1043</f>
        <v>66.667000000000002</v>
      </c>
      <c r="H1049" s="12">
        <f>H1042</f>
        <v>223.25</v>
      </c>
      <c r="I1049" s="12">
        <f>VLOOKUP(C1049,Resources!B:G,6,FALSE)</f>
        <v>90</v>
      </c>
      <c r="J1049" s="21">
        <f t="shared" si="1738"/>
        <v>602.77198614006932</v>
      </c>
      <c r="K1049" s="21">
        <f t="shared" si="1739"/>
        <v>6.6974665126674369</v>
      </c>
      <c r="L1049" s="24">
        <f t="shared" si="1740"/>
        <v>3.3487332563337184</v>
      </c>
      <c r="M1049" s="24">
        <f t="shared" si="1741"/>
        <v>0</v>
      </c>
      <c r="N1049" s="24">
        <f t="shared" si="1742"/>
        <v>0</v>
      </c>
      <c r="O1049" s="24">
        <f t="shared" si="1743"/>
        <v>602.77198614006932</v>
      </c>
      <c r="P1049" s="24">
        <f t="shared" si="1744"/>
        <v>0</v>
      </c>
      <c r="Q1049" s="24">
        <f t="shared" si="1745"/>
        <v>602.77198614006932</v>
      </c>
      <c r="R1049" s="87">
        <v>62</v>
      </c>
      <c r="T1049" s="235" t="str">
        <f t="shared" si="1716"/>
        <v xml:space="preserve"> </v>
      </c>
    </row>
    <row r="1050" spans="1:21" x14ac:dyDescent="0.25">
      <c r="F1050" s="11"/>
      <c r="G1050" s="11"/>
      <c r="H1050" s="11"/>
      <c r="I1050" s="11"/>
      <c r="J1050" s="11"/>
      <c r="K1050" s="11"/>
      <c r="R1050" s="88"/>
      <c r="T1050" s="235" t="str">
        <f t="shared" si="1716"/>
        <v xml:space="preserve"> </v>
      </c>
    </row>
    <row r="1051" spans="1:21" ht="60" x14ac:dyDescent="0.25">
      <c r="A1051" s="156">
        <v>132</v>
      </c>
      <c r="B1051" s="3" t="s">
        <v>401</v>
      </c>
      <c r="C1051" s="3" t="s">
        <v>611</v>
      </c>
      <c r="D1051" s="4" t="s">
        <v>74</v>
      </c>
      <c r="E1051" s="15"/>
      <c r="F1051" s="10"/>
      <c r="G1051" s="10"/>
      <c r="H1051" s="26">
        <f>VLOOKUP($A1051,'Model Inputs'!$A:$C,3,FALSE)</f>
        <v>143</v>
      </c>
      <c r="I1051" s="10"/>
      <c r="J1051" s="10">
        <f>SUBTOTAL(9,J1052:J1056,J1058:J1059)</f>
        <v>14856.918848530759</v>
      </c>
      <c r="K1051" s="10"/>
      <c r="L1051" s="10">
        <f>ROUNDUP(MAX(L1052:L1056,L1058:L1059)/Workhrs,0)</f>
        <v>1</v>
      </c>
      <c r="M1051" s="10">
        <f t="shared" ref="M1051" si="1746">SUBTOTAL(9,M1052:M1056,M1058:M1059)</f>
        <v>784.84085079574606</v>
      </c>
      <c r="N1051" s="10">
        <f t="shared" ref="N1051" si="1747">SUBTOTAL(9,N1052:N1056,N1058:N1059)</f>
        <v>10921.625</v>
      </c>
      <c r="O1051" s="10">
        <f t="shared" ref="O1051" si="1748">SUBTOTAL(9,O1052:O1056,O1058:O1059)</f>
        <v>3150.4529977350116</v>
      </c>
      <c r="P1051" s="10">
        <f t="shared" ref="P1051" si="1749">SUBTOTAL(9,P1052:P1056,P1058:P1059)</f>
        <v>0</v>
      </c>
      <c r="Q1051" s="10">
        <f t="shared" ref="Q1051" si="1750">SUBTOTAL(9,Q1052:Q1056,Q1058:Q1059)</f>
        <v>14856.918848530759</v>
      </c>
      <c r="R1051" s="86"/>
      <c r="T1051" s="235" t="str">
        <f t="shared" si="1716"/>
        <v xml:space="preserve"> </v>
      </c>
    </row>
    <row r="1052" spans="1:21" x14ac:dyDescent="0.25">
      <c r="A1052" s="157"/>
      <c r="B1052" s="6">
        <v>1</v>
      </c>
      <c r="C1052" s="9" t="s">
        <v>103</v>
      </c>
      <c r="D1052" s="6" t="s">
        <v>100</v>
      </c>
      <c r="E1052" s="17" t="str">
        <f>VLOOKUP(C1052,Resources!B:G,3,FALSE)</f>
        <v>M</v>
      </c>
      <c r="F1052" s="12">
        <v>1</v>
      </c>
      <c r="G1052" s="12">
        <v>1</v>
      </c>
      <c r="H1052" s="12">
        <f>H1051*2.35</f>
        <v>336.05</v>
      </c>
      <c r="I1052" s="12">
        <f>VLOOKUP(C1052,Resources!B:G,6,FALSE)</f>
        <v>32.5</v>
      </c>
      <c r="J1052" s="21">
        <f t="shared" ref="J1052:J1056" si="1751">(H1052/G1052)*I1052*F1052</f>
        <v>10921.625</v>
      </c>
      <c r="K1052" s="21" t="str">
        <f t="shared" ref="K1052:K1056" si="1752">IF(E1052="M"," ",L1052*F1052)</f>
        <v xml:space="preserve"> </v>
      </c>
      <c r="L1052" s="24" t="str">
        <f t="shared" ref="L1052:L1056" si="1753">IF(E1052="M"," ",H1052/G1052)</f>
        <v xml:space="preserve"> </v>
      </c>
      <c r="M1052" s="24">
        <f t="shared" ref="M1052:M1056" si="1754">IF($E1052="L",$J1052,0)</f>
        <v>0</v>
      </c>
      <c r="N1052" s="24">
        <f t="shared" ref="N1052:N1056" si="1755">IF($E1052="M",$J1052,0)</f>
        <v>10921.625</v>
      </c>
      <c r="O1052" s="24">
        <f t="shared" ref="O1052:O1056" si="1756">IF($E1052="P",$J1052,0)</f>
        <v>0</v>
      </c>
      <c r="P1052" s="24">
        <f t="shared" ref="P1052:P1056" si="1757">IF($E1052="S",$J1052,0)</f>
        <v>0</v>
      </c>
      <c r="Q1052" s="24">
        <f t="shared" ref="Q1052:Q1056" si="1758">SUM(M1052:P1052)</f>
        <v>10921.625</v>
      </c>
      <c r="R1052" s="87" t="s">
        <v>539</v>
      </c>
      <c r="T1052" s="235" t="str">
        <f t="shared" si="1716"/>
        <v xml:space="preserve"> </v>
      </c>
    </row>
    <row r="1053" spans="1:21" x14ac:dyDescent="0.25">
      <c r="A1053" s="157">
        <v>132.1</v>
      </c>
      <c r="B1053" s="6">
        <v>2</v>
      </c>
      <c r="C1053" s="9" t="s">
        <v>78</v>
      </c>
      <c r="D1053" s="6" t="s">
        <v>26</v>
      </c>
      <c r="E1053" s="17" t="str">
        <f>VLOOKUP(C1053,Resources!B:G,3,FALSE)</f>
        <v>P</v>
      </c>
      <c r="F1053" s="12">
        <v>1</v>
      </c>
      <c r="G1053" s="26">
        <f>VLOOKUP($A1053,'Model Inputs'!$A:$C,3,FALSE)</f>
        <v>66.667000000000002</v>
      </c>
      <c r="H1053" s="12">
        <f>H1052</f>
        <v>336.05</v>
      </c>
      <c r="I1053" s="12">
        <f>VLOOKUP(C1053,Resources!B:G,6,FALSE)</f>
        <v>160</v>
      </c>
      <c r="J1053" s="21">
        <f t="shared" si="1751"/>
        <v>806.51596742016295</v>
      </c>
      <c r="K1053" s="21">
        <f t="shared" si="1752"/>
        <v>5.0407247963760184</v>
      </c>
      <c r="L1053" s="24">
        <f t="shared" si="1753"/>
        <v>5.0407247963760184</v>
      </c>
      <c r="M1053" s="24">
        <f t="shared" si="1754"/>
        <v>0</v>
      </c>
      <c r="N1053" s="24">
        <f t="shared" si="1755"/>
        <v>0</v>
      </c>
      <c r="O1053" s="24">
        <f t="shared" si="1756"/>
        <v>806.51596742016295</v>
      </c>
      <c r="P1053" s="24">
        <f t="shared" si="1757"/>
        <v>0</v>
      </c>
      <c r="Q1053" s="24">
        <f t="shared" si="1758"/>
        <v>806.51596742016295</v>
      </c>
      <c r="R1053" s="87">
        <v>62</v>
      </c>
      <c r="T1053" s="235" t="str">
        <f t="shared" si="1716"/>
        <v xml:space="preserve"> </v>
      </c>
    </row>
    <row r="1054" spans="1:21" x14ac:dyDescent="0.25">
      <c r="A1054" s="157"/>
      <c r="B1054" s="6">
        <v>3</v>
      </c>
      <c r="C1054" s="9" t="s">
        <v>89</v>
      </c>
      <c r="D1054" s="6" t="s">
        <v>26</v>
      </c>
      <c r="E1054" s="17" t="str">
        <f>VLOOKUP(C1054,Resources!B:G,3,FALSE)</f>
        <v>P</v>
      </c>
      <c r="F1054" s="12">
        <v>1</v>
      </c>
      <c r="G1054" s="12">
        <f>G1053</f>
        <v>66.667000000000002</v>
      </c>
      <c r="H1054" s="12">
        <f>H1052</f>
        <v>336.05</v>
      </c>
      <c r="I1054" s="12">
        <f>VLOOKUP(C1054,Resources!B:G,6,FALSE)</f>
        <v>55</v>
      </c>
      <c r="J1054" s="21">
        <f t="shared" si="1751"/>
        <v>277.23986380068101</v>
      </c>
      <c r="K1054" s="21">
        <f t="shared" si="1752"/>
        <v>5.0407247963760184</v>
      </c>
      <c r="L1054" s="24">
        <f t="shared" si="1753"/>
        <v>5.0407247963760184</v>
      </c>
      <c r="M1054" s="24">
        <f t="shared" si="1754"/>
        <v>0</v>
      </c>
      <c r="N1054" s="24">
        <f t="shared" si="1755"/>
        <v>0</v>
      </c>
      <c r="O1054" s="24">
        <f t="shared" si="1756"/>
        <v>277.23986380068101</v>
      </c>
      <c r="P1054" s="24">
        <f t="shared" si="1757"/>
        <v>0</v>
      </c>
      <c r="Q1054" s="24">
        <f t="shared" si="1758"/>
        <v>277.23986380068101</v>
      </c>
      <c r="R1054" s="87">
        <v>62</v>
      </c>
      <c r="T1054" s="235" t="str">
        <f t="shared" si="1716"/>
        <v xml:space="preserve"> </v>
      </c>
    </row>
    <row r="1055" spans="1:21" x14ac:dyDescent="0.25">
      <c r="A1055" s="157"/>
      <c r="B1055" s="6">
        <v>4</v>
      </c>
      <c r="C1055" s="9" t="s">
        <v>28</v>
      </c>
      <c r="D1055" s="6" t="s">
        <v>26</v>
      </c>
      <c r="E1055" s="17" t="str">
        <f>VLOOKUP(C1055,Resources!B:G,3,FALSE)</f>
        <v>P</v>
      </c>
      <c r="F1055" s="12">
        <v>1</v>
      </c>
      <c r="G1055" s="12">
        <f>G1053</f>
        <v>66.667000000000002</v>
      </c>
      <c r="H1055" s="12">
        <f>H1052</f>
        <v>336.05</v>
      </c>
      <c r="I1055" s="12">
        <f>VLOOKUP(C1055,Resources!B:G,6,FALSE)</f>
        <v>95</v>
      </c>
      <c r="J1055" s="21">
        <f t="shared" si="1751"/>
        <v>478.86885565572175</v>
      </c>
      <c r="K1055" s="21">
        <f t="shared" si="1752"/>
        <v>5.0407247963760184</v>
      </c>
      <c r="L1055" s="24">
        <f t="shared" si="1753"/>
        <v>5.0407247963760184</v>
      </c>
      <c r="M1055" s="24">
        <f t="shared" si="1754"/>
        <v>0</v>
      </c>
      <c r="N1055" s="24">
        <f t="shared" si="1755"/>
        <v>0</v>
      </c>
      <c r="O1055" s="24">
        <f t="shared" si="1756"/>
        <v>478.86885565572175</v>
      </c>
      <c r="P1055" s="24">
        <f t="shared" si="1757"/>
        <v>0</v>
      </c>
      <c r="Q1055" s="24">
        <f t="shared" si="1758"/>
        <v>478.86885565572175</v>
      </c>
      <c r="R1055" s="87">
        <v>62</v>
      </c>
      <c r="T1055" s="235" t="str">
        <f t="shared" si="1716"/>
        <v xml:space="preserve"> </v>
      </c>
    </row>
    <row r="1056" spans="1:21" x14ac:dyDescent="0.25">
      <c r="A1056" s="157"/>
      <c r="B1056" s="6">
        <v>5</v>
      </c>
      <c r="C1056" s="9" t="s">
        <v>8</v>
      </c>
      <c r="D1056" s="6" t="s">
        <v>26</v>
      </c>
      <c r="E1056" s="17" t="str">
        <f>VLOOKUP(C1056,Resources!B:G,3,FALSE)</f>
        <v>L</v>
      </c>
      <c r="F1056" s="12">
        <v>3</v>
      </c>
      <c r="G1056" s="12">
        <f>G1053</f>
        <v>66.667000000000002</v>
      </c>
      <c r="H1056" s="12">
        <f>H1052</f>
        <v>336.05</v>
      </c>
      <c r="I1056" s="12">
        <f>VLOOKUP(C1056,Resources!B:G,6,FALSE)</f>
        <v>51.9</v>
      </c>
      <c r="J1056" s="21">
        <f t="shared" si="1751"/>
        <v>784.84085079574606</v>
      </c>
      <c r="K1056" s="21">
        <f t="shared" si="1752"/>
        <v>15.122174389128055</v>
      </c>
      <c r="L1056" s="24">
        <f t="shared" si="1753"/>
        <v>5.0407247963760184</v>
      </c>
      <c r="M1056" s="24">
        <f t="shared" si="1754"/>
        <v>784.84085079574606</v>
      </c>
      <c r="N1056" s="24">
        <f t="shared" si="1755"/>
        <v>0</v>
      </c>
      <c r="O1056" s="24">
        <f t="shared" si="1756"/>
        <v>0</v>
      </c>
      <c r="P1056" s="24">
        <f t="shared" si="1757"/>
        <v>0</v>
      </c>
      <c r="Q1056" s="24">
        <f t="shared" si="1758"/>
        <v>784.84085079574606</v>
      </c>
      <c r="R1056" s="87">
        <v>62</v>
      </c>
      <c r="T1056" s="235" t="str">
        <f t="shared" si="1716"/>
        <v xml:space="preserve"> </v>
      </c>
    </row>
    <row r="1057" spans="1:21" s="18" customFormat="1" ht="30" x14ac:dyDescent="0.25">
      <c r="A1057" s="157"/>
      <c r="B1057" s="6">
        <v>6</v>
      </c>
      <c r="C1057" s="9" t="s">
        <v>101</v>
      </c>
      <c r="D1057" s="6"/>
      <c r="E1057" s="17"/>
      <c r="F1057" s="12"/>
      <c r="G1057" s="12"/>
      <c r="H1057" s="12"/>
      <c r="I1057" s="12"/>
      <c r="J1057" s="21"/>
      <c r="K1057" s="21"/>
      <c r="L1057" s="24"/>
      <c r="M1057" s="24"/>
      <c r="N1057" s="24"/>
      <c r="O1057" s="24"/>
      <c r="P1057" s="24"/>
      <c r="Q1057" s="24"/>
      <c r="R1057" s="87"/>
      <c r="T1057" s="235" t="str">
        <f t="shared" si="1716"/>
        <v xml:space="preserve"> </v>
      </c>
      <c r="U1057" s="232"/>
    </row>
    <row r="1058" spans="1:21" x14ac:dyDescent="0.25">
      <c r="A1058" s="157"/>
      <c r="B1058" s="6">
        <v>7</v>
      </c>
      <c r="C1058" s="9" t="s">
        <v>70</v>
      </c>
      <c r="D1058" s="6" t="s">
        <v>26</v>
      </c>
      <c r="E1058" s="17" t="str">
        <f>VLOOKUP(C1058,Resources!B:G,3,FALSE)</f>
        <v>P</v>
      </c>
      <c r="F1058" s="12">
        <v>1</v>
      </c>
      <c r="G1058" s="12">
        <f>G1053</f>
        <v>66.667000000000002</v>
      </c>
      <c r="H1058" s="12">
        <f>H1052</f>
        <v>336.05</v>
      </c>
      <c r="I1058" s="12">
        <f>VLOOKUP(C1058,Resources!B:G,6,FALSE)</f>
        <v>135</v>
      </c>
      <c r="J1058" s="21">
        <f t="shared" ref="J1058:J1059" si="1759">(H1058/G1058)*I1058*F1058</f>
        <v>680.49784751076254</v>
      </c>
      <c r="K1058" s="21">
        <f t="shared" ref="K1058:K1059" si="1760">IF(E1058="M"," ",L1058*F1058)</f>
        <v>5.0407247963760184</v>
      </c>
      <c r="L1058" s="24">
        <f t="shared" ref="L1058:L1059" si="1761">IF(E1058="M"," ",H1058/G1058)</f>
        <v>5.0407247963760184</v>
      </c>
      <c r="M1058" s="24">
        <f t="shared" ref="M1058:M1059" si="1762">IF($E1058="L",$J1058,0)</f>
        <v>0</v>
      </c>
      <c r="N1058" s="24">
        <f t="shared" ref="N1058:N1059" si="1763">IF($E1058="M",$J1058,0)</f>
        <v>0</v>
      </c>
      <c r="O1058" s="24">
        <f t="shared" ref="O1058:O1059" si="1764">IF($E1058="P",$J1058,0)</f>
        <v>680.49784751076254</v>
      </c>
      <c r="P1058" s="24">
        <f t="shared" ref="P1058:P1059" si="1765">IF($E1058="S",$J1058,0)</f>
        <v>0</v>
      </c>
      <c r="Q1058" s="24">
        <f t="shared" ref="Q1058:Q1059" si="1766">SUM(M1058:P1058)</f>
        <v>680.49784751076254</v>
      </c>
      <c r="R1058" s="87">
        <v>62</v>
      </c>
      <c r="T1058" s="235" t="str">
        <f t="shared" si="1716"/>
        <v xml:space="preserve"> </v>
      </c>
    </row>
    <row r="1059" spans="1:21" x14ac:dyDescent="0.25">
      <c r="A1059" s="157"/>
      <c r="B1059" s="6">
        <v>8</v>
      </c>
      <c r="C1059" s="9" t="s">
        <v>27</v>
      </c>
      <c r="D1059" s="6" t="s">
        <v>26</v>
      </c>
      <c r="E1059" s="17" t="str">
        <f>VLOOKUP(C1059,Resources!B:G,3,FALSE)</f>
        <v>P</v>
      </c>
      <c r="F1059" s="12">
        <v>2</v>
      </c>
      <c r="G1059" s="12">
        <f>G1053</f>
        <v>66.667000000000002</v>
      </c>
      <c r="H1059" s="12">
        <f>H1052</f>
        <v>336.05</v>
      </c>
      <c r="I1059" s="12">
        <f>VLOOKUP(C1059,Resources!B:G,6,FALSE)</f>
        <v>90</v>
      </c>
      <c r="J1059" s="21">
        <f t="shared" si="1759"/>
        <v>907.33046334768335</v>
      </c>
      <c r="K1059" s="21">
        <f t="shared" si="1760"/>
        <v>10.081449592752037</v>
      </c>
      <c r="L1059" s="24">
        <f t="shared" si="1761"/>
        <v>5.0407247963760184</v>
      </c>
      <c r="M1059" s="24">
        <f t="shared" si="1762"/>
        <v>0</v>
      </c>
      <c r="N1059" s="24">
        <f t="shared" si="1763"/>
        <v>0</v>
      </c>
      <c r="O1059" s="24">
        <f t="shared" si="1764"/>
        <v>907.33046334768335</v>
      </c>
      <c r="P1059" s="24">
        <f t="shared" si="1765"/>
        <v>0</v>
      </c>
      <c r="Q1059" s="24">
        <f t="shared" si="1766"/>
        <v>907.33046334768335</v>
      </c>
      <c r="R1059" s="87">
        <v>62</v>
      </c>
      <c r="T1059" s="235" t="str">
        <f t="shared" si="1716"/>
        <v xml:space="preserve"> </v>
      </c>
    </row>
    <row r="1060" spans="1:21" x14ac:dyDescent="0.25">
      <c r="F1060" s="11"/>
      <c r="G1060" s="11"/>
      <c r="H1060" s="11"/>
      <c r="I1060" s="11"/>
      <c r="J1060" s="11"/>
      <c r="K1060" s="11"/>
      <c r="R1060" s="88"/>
      <c r="T1060" s="235" t="str">
        <f t="shared" si="1716"/>
        <v xml:space="preserve"> </v>
      </c>
    </row>
    <row r="1061" spans="1:21" ht="60" x14ac:dyDescent="0.25">
      <c r="A1061" s="156">
        <v>133</v>
      </c>
      <c r="B1061" s="3" t="s">
        <v>402</v>
      </c>
      <c r="C1061" s="3" t="s">
        <v>612</v>
      </c>
      <c r="D1061" s="4" t="s">
        <v>74</v>
      </c>
      <c r="E1061" s="15"/>
      <c r="F1061" s="10"/>
      <c r="G1061" s="10"/>
      <c r="H1061" s="26">
        <f>VLOOKUP($A1061,'Model Inputs'!$A:$C,3,FALSE)</f>
        <v>119</v>
      </c>
      <c r="I1061" s="10"/>
      <c r="J1061" s="10">
        <f>SUBTOTAL(9,J1062:J1066,J1068:J1069)</f>
        <v>12111.764950875249</v>
      </c>
      <c r="K1061" s="10"/>
      <c r="L1061" s="10">
        <f>ROUNDUP(MAX(L1062:L1066,L1068:L1069)/Workhrs,0)</f>
        <v>1</v>
      </c>
      <c r="M1061" s="10">
        <f t="shared" ref="M1061" si="1767">SUBTOTAL(9,M1062:M1066,M1068:M1069)</f>
        <v>653.11930940345303</v>
      </c>
      <c r="N1061" s="10">
        <f t="shared" ref="N1061" si="1768">SUBTOTAL(9,N1062:N1066,N1068:N1069)</f>
        <v>8836.9400000000023</v>
      </c>
      <c r="O1061" s="10">
        <f t="shared" ref="O1061" si="1769">SUBTOTAL(9,O1062:O1066,O1068:O1069)</f>
        <v>2621.7056414717927</v>
      </c>
      <c r="P1061" s="10">
        <f t="shared" ref="P1061" si="1770">SUBTOTAL(9,P1062:P1066,P1068:P1069)</f>
        <v>0</v>
      </c>
      <c r="Q1061" s="10">
        <f t="shared" ref="Q1061" si="1771">SUBTOTAL(9,Q1062:Q1066,Q1068:Q1069)</f>
        <v>12111.764950875249</v>
      </c>
      <c r="R1061" s="86"/>
      <c r="T1061" s="235" t="str">
        <f t="shared" si="1716"/>
        <v xml:space="preserve"> </v>
      </c>
    </row>
    <row r="1062" spans="1:21" x14ac:dyDescent="0.25">
      <c r="A1062" s="157"/>
      <c r="B1062" s="6">
        <v>1</v>
      </c>
      <c r="C1062" s="9" t="s">
        <v>480</v>
      </c>
      <c r="D1062" s="6" t="s">
        <v>100</v>
      </c>
      <c r="E1062" s="17" t="str">
        <f>VLOOKUP(C1062,Resources!B:G,3,FALSE)</f>
        <v>M</v>
      </c>
      <c r="F1062" s="12">
        <v>1</v>
      </c>
      <c r="G1062" s="12">
        <v>1</v>
      </c>
      <c r="H1062" s="12">
        <f>H1061*2.35</f>
        <v>279.65000000000003</v>
      </c>
      <c r="I1062" s="12">
        <f>VLOOKUP(C1062,Resources!B:G,6,FALSE)</f>
        <v>31.6</v>
      </c>
      <c r="J1062" s="21">
        <f t="shared" ref="J1062:J1066" si="1772">(H1062/G1062)*I1062*F1062</f>
        <v>8836.9400000000023</v>
      </c>
      <c r="K1062" s="21" t="str">
        <f t="shared" ref="K1062:K1066" si="1773">IF(E1062="M"," ",L1062*F1062)</f>
        <v xml:space="preserve"> </v>
      </c>
      <c r="L1062" s="24" t="str">
        <f t="shared" ref="L1062:L1066" si="1774">IF(E1062="M"," ",H1062/G1062)</f>
        <v xml:space="preserve"> </v>
      </c>
      <c r="M1062" s="24">
        <f t="shared" ref="M1062:M1066" si="1775">IF($E1062="L",$J1062,0)</f>
        <v>0</v>
      </c>
      <c r="N1062" s="24">
        <f t="shared" ref="N1062:N1066" si="1776">IF($E1062="M",$J1062,0)</f>
        <v>8836.9400000000023</v>
      </c>
      <c r="O1062" s="24">
        <f t="shared" ref="O1062:O1066" si="1777">IF($E1062="P",$J1062,0)</f>
        <v>0</v>
      </c>
      <c r="P1062" s="24">
        <f t="shared" ref="P1062:P1066" si="1778">IF($E1062="S",$J1062,0)</f>
        <v>0</v>
      </c>
      <c r="Q1062" s="24">
        <f t="shared" ref="Q1062:Q1066" si="1779">SUM(M1062:P1062)</f>
        <v>8836.9400000000023</v>
      </c>
      <c r="R1062" s="87" t="s">
        <v>539</v>
      </c>
      <c r="T1062" s="235" t="str">
        <f t="shared" si="1716"/>
        <v xml:space="preserve"> </v>
      </c>
    </row>
    <row r="1063" spans="1:21" x14ac:dyDescent="0.25">
      <c r="A1063" s="157">
        <v>133.1</v>
      </c>
      <c r="B1063" s="6">
        <v>2</v>
      </c>
      <c r="C1063" s="9" t="s">
        <v>78</v>
      </c>
      <c r="D1063" s="6" t="s">
        <v>26</v>
      </c>
      <c r="E1063" s="17" t="str">
        <f>VLOOKUP(C1063,Resources!B:G,3,FALSE)</f>
        <v>P</v>
      </c>
      <c r="F1063" s="12">
        <v>1</v>
      </c>
      <c r="G1063" s="26">
        <f>VLOOKUP($A1063,'Model Inputs'!$A:$C,3,FALSE)</f>
        <v>66.667000000000002</v>
      </c>
      <c r="H1063" s="12">
        <f>H1062</f>
        <v>279.65000000000003</v>
      </c>
      <c r="I1063" s="12">
        <f>VLOOKUP(C1063,Resources!B:G,6,FALSE)</f>
        <v>160</v>
      </c>
      <c r="J1063" s="21">
        <f t="shared" si="1772"/>
        <v>671.15664421677889</v>
      </c>
      <c r="K1063" s="21">
        <f t="shared" si="1773"/>
        <v>4.1947290263548682</v>
      </c>
      <c r="L1063" s="24">
        <f t="shared" si="1774"/>
        <v>4.1947290263548682</v>
      </c>
      <c r="M1063" s="24">
        <f t="shared" si="1775"/>
        <v>0</v>
      </c>
      <c r="N1063" s="24">
        <f t="shared" si="1776"/>
        <v>0</v>
      </c>
      <c r="O1063" s="24">
        <f t="shared" si="1777"/>
        <v>671.15664421677889</v>
      </c>
      <c r="P1063" s="24">
        <f t="shared" si="1778"/>
        <v>0</v>
      </c>
      <c r="Q1063" s="24">
        <f t="shared" si="1779"/>
        <v>671.15664421677889</v>
      </c>
      <c r="R1063" s="87">
        <v>62</v>
      </c>
      <c r="T1063" s="235" t="str">
        <f t="shared" si="1716"/>
        <v xml:space="preserve"> </v>
      </c>
    </row>
    <row r="1064" spans="1:21" x14ac:dyDescent="0.25">
      <c r="A1064" s="157"/>
      <c r="B1064" s="6">
        <v>3</v>
      </c>
      <c r="C1064" s="9" t="s">
        <v>89</v>
      </c>
      <c r="D1064" s="6" t="s">
        <v>26</v>
      </c>
      <c r="E1064" s="17" t="str">
        <f>VLOOKUP(C1064,Resources!B:G,3,FALSE)</f>
        <v>P</v>
      </c>
      <c r="F1064" s="12">
        <v>1</v>
      </c>
      <c r="G1064" s="12">
        <f>G1063</f>
        <v>66.667000000000002</v>
      </c>
      <c r="H1064" s="12">
        <f>H1062</f>
        <v>279.65000000000003</v>
      </c>
      <c r="I1064" s="12">
        <f>VLOOKUP(C1064,Resources!B:G,6,FALSE)</f>
        <v>55</v>
      </c>
      <c r="J1064" s="21">
        <f t="shared" si="1772"/>
        <v>230.71009644951775</v>
      </c>
      <c r="K1064" s="21">
        <f t="shared" si="1773"/>
        <v>4.1947290263548682</v>
      </c>
      <c r="L1064" s="24">
        <f t="shared" si="1774"/>
        <v>4.1947290263548682</v>
      </c>
      <c r="M1064" s="24">
        <f t="shared" si="1775"/>
        <v>0</v>
      </c>
      <c r="N1064" s="24">
        <f t="shared" si="1776"/>
        <v>0</v>
      </c>
      <c r="O1064" s="24">
        <f t="shared" si="1777"/>
        <v>230.71009644951775</v>
      </c>
      <c r="P1064" s="24">
        <f t="shared" si="1778"/>
        <v>0</v>
      </c>
      <c r="Q1064" s="24">
        <f t="shared" si="1779"/>
        <v>230.71009644951775</v>
      </c>
      <c r="R1064" s="87">
        <v>62</v>
      </c>
      <c r="T1064" s="235" t="str">
        <f t="shared" si="1716"/>
        <v xml:space="preserve"> </v>
      </c>
    </row>
    <row r="1065" spans="1:21" x14ac:dyDescent="0.25">
      <c r="A1065" s="157"/>
      <c r="B1065" s="6">
        <v>4</v>
      </c>
      <c r="C1065" s="9" t="s">
        <v>28</v>
      </c>
      <c r="D1065" s="6" t="s">
        <v>26</v>
      </c>
      <c r="E1065" s="17" t="str">
        <f>VLOOKUP(C1065,Resources!B:G,3,FALSE)</f>
        <v>P</v>
      </c>
      <c r="F1065" s="12">
        <v>1</v>
      </c>
      <c r="G1065" s="12">
        <f>G1063</f>
        <v>66.667000000000002</v>
      </c>
      <c r="H1065" s="12">
        <f>H1062</f>
        <v>279.65000000000003</v>
      </c>
      <c r="I1065" s="12">
        <f>VLOOKUP(C1065,Resources!B:G,6,FALSE)</f>
        <v>95</v>
      </c>
      <c r="J1065" s="21">
        <f t="shared" si="1772"/>
        <v>398.4992575037125</v>
      </c>
      <c r="K1065" s="21">
        <f t="shared" si="1773"/>
        <v>4.1947290263548682</v>
      </c>
      <c r="L1065" s="24">
        <f t="shared" si="1774"/>
        <v>4.1947290263548682</v>
      </c>
      <c r="M1065" s="24">
        <f t="shared" si="1775"/>
        <v>0</v>
      </c>
      <c r="N1065" s="24">
        <f t="shared" si="1776"/>
        <v>0</v>
      </c>
      <c r="O1065" s="24">
        <f t="shared" si="1777"/>
        <v>398.4992575037125</v>
      </c>
      <c r="P1065" s="24">
        <f t="shared" si="1778"/>
        <v>0</v>
      </c>
      <c r="Q1065" s="24">
        <f t="shared" si="1779"/>
        <v>398.4992575037125</v>
      </c>
      <c r="R1065" s="87">
        <v>62</v>
      </c>
      <c r="T1065" s="235" t="str">
        <f t="shared" si="1716"/>
        <v xml:space="preserve"> </v>
      </c>
    </row>
    <row r="1066" spans="1:21" x14ac:dyDescent="0.25">
      <c r="A1066" s="157"/>
      <c r="B1066" s="6">
        <v>5</v>
      </c>
      <c r="C1066" s="9" t="s">
        <v>8</v>
      </c>
      <c r="D1066" s="6" t="s">
        <v>26</v>
      </c>
      <c r="E1066" s="17" t="str">
        <f>VLOOKUP(C1066,Resources!B:G,3,FALSE)</f>
        <v>L</v>
      </c>
      <c r="F1066" s="12">
        <v>3</v>
      </c>
      <c r="G1066" s="12">
        <f>G1063</f>
        <v>66.667000000000002</v>
      </c>
      <c r="H1066" s="12">
        <f>H1062</f>
        <v>279.65000000000003</v>
      </c>
      <c r="I1066" s="12">
        <f>VLOOKUP(C1066,Resources!B:G,6,FALSE)</f>
        <v>51.9</v>
      </c>
      <c r="J1066" s="21">
        <f t="shared" si="1772"/>
        <v>653.11930940345303</v>
      </c>
      <c r="K1066" s="21">
        <f t="shared" si="1773"/>
        <v>12.584187079064606</v>
      </c>
      <c r="L1066" s="24">
        <f t="shared" si="1774"/>
        <v>4.1947290263548682</v>
      </c>
      <c r="M1066" s="24">
        <f t="shared" si="1775"/>
        <v>653.11930940345303</v>
      </c>
      <c r="N1066" s="24">
        <f t="shared" si="1776"/>
        <v>0</v>
      </c>
      <c r="O1066" s="24">
        <f t="shared" si="1777"/>
        <v>0</v>
      </c>
      <c r="P1066" s="24">
        <f t="shared" si="1778"/>
        <v>0</v>
      </c>
      <c r="Q1066" s="24">
        <f t="shared" si="1779"/>
        <v>653.11930940345303</v>
      </c>
      <c r="R1066" s="87">
        <v>62</v>
      </c>
      <c r="T1066" s="235" t="str">
        <f t="shared" si="1716"/>
        <v xml:space="preserve"> </v>
      </c>
    </row>
    <row r="1067" spans="1:21" s="18" customFormat="1" ht="30" x14ac:dyDescent="0.25">
      <c r="A1067" s="157"/>
      <c r="B1067" s="6">
        <v>6</v>
      </c>
      <c r="C1067" s="9" t="s">
        <v>101</v>
      </c>
      <c r="D1067" s="6"/>
      <c r="E1067" s="17"/>
      <c r="F1067" s="12"/>
      <c r="G1067" s="12"/>
      <c r="H1067" s="12"/>
      <c r="I1067" s="12"/>
      <c r="J1067" s="21"/>
      <c r="K1067" s="21"/>
      <c r="L1067" s="24"/>
      <c r="M1067" s="24"/>
      <c r="N1067" s="24"/>
      <c r="O1067" s="24"/>
      <c r="P1067" s="24"/>
      <c r="Q1067" s="24"/>
      <c r="R1067" s="87"/>
      <c r="T1067" s="235" t="str">
        <f t="shared" si="1716"/>
        <v xml:space="preserve"> </v>
      </c>
      <c r="U1067" s="232"/>
    </row>
    <row r="1068" spans="1:21" x14ac:dyDescent="0.25">
      <c r="A1068" s="157"/>
      <c r="B1068" s="6">
        <v>7</v>
      </c>
      <c r="C1068" s="9" t="s">
        <v>70</v>
      </c>
      <c r="D1068" s="6" t="s">
        <v>26</v>
      </c>
      <c r="E1068" s="17" t="str">
        <f>VLOOKUP(C1068,Resources!B:G,3,FALSE)</f>
        <v>P</v>
      </c>
      <c r="F1068" s="12">
        <v>1</v>
      </c>
      <c r="G1068" s="12">
        <f>G1063</f>
        <v>66.667000000000002</v>
      </c>
      <c r="H1068" s="12">
        <f>H1062</f>
        <v>279.65000000000003</v>
      </c>
      <c r="I1068" s="12">
        <f>VLOOKUP(C1068,Resources!B:G,6,FALSE)</f>
        <v>135</v>
      </c>
      <c r="J1068" s="21">
        <f t="shared" ref="J1068:J1069" si="1780">(H1068/G1068)*I1068*F1068</f>
        <v>566.28841855790722</v>
      </c>
      <c r="K1068" s="21">
        <f t="shared" ref="K1068:K1069" si="1781">IF(E1068="M"," ",L1068*F1068)</f>
        <v>4.1947290263548682</v>
      </c>
      <c r="L1068" s="24">
        <f t="shared" ref="L1068:L1069" si="1782">IF(E1068="M"," ",H1068/G1068)</f>
        <v>4.1947290263548682</v>
      </c>
      <c r="M1068" s="24">
        <f t="shared" ref="M1068:M1069" si="1783">IF($E1068="L",$J1068,0)</f>
        <v>0</v>
      </c>
      <c r="N1068" s="24">
        <f t="shared" ref="N1068:N1069" si="1784">IF($E1068="M",$J1068,0)</f>
        <v>0</v>
      </c>
      <c r="O1068" s="24">
        <f t="shared" ref="O1068:O1069" si="1785">IF($E1068="P",$J1068,0)</f>
        <v>566.28841855790722</v>
      </c>
      <c r="P1068" s="24">
        <f t="shared" ref="P1068:P1069" si="1786">IF($E1068="S",$J1068,0)</f>
        <v>0</v>
      </c>
      <c r="Q1068" s="24">
        <f t="shared" ref="Q1068:Q1069" si="1787">SUM(M1068:P1068)</f>
        <v>566.28841855790722</v>
      </c>
      <c r="R1068" s="87">
        <v>62</v>
      </c>
      <c r="T1068" s="235" t="str">
        <f t="shared" si="1716"/>
        <v xml:space="preserve"> </v>
      </c>
    </row>
    <row r="1069" spans="1:21" x14ac:dyDescent="0.25">
      <c r="A1069" s="157"/>
      <c r="B1069" s="6">
        <v>8</v>
      </c>
      <c r="C1069" s="9" t="s">
        <v>27</v>
      </c>
      <c r="D1069" s="6" t="s">
        <v>26</v>
      </c>
      <c r="E1069" s="17" t="str">
        <f>VLOOKUP(C1069,Resources!B:G,3,FALSE)</f>
        <v>P</v>
      </c>
      <c r="F1069" s="12">
        <v>2</v>
      </c>
      <c r="G1069" s="12">
        <f>G1063</f>
        <v>66.667000000000002</v>
      </c>
      <c r="H1069" s="12">
        <f>H1062</f>
        <v>279.65000000000003</v>
      </c>
      <c r="I1069" s="12">
        <f>VLOOKUP(C1069,Resources!B:G,6,FALSE)</f>
        <v>90</v>
      </c>
      <c r="J1069" s="21">
        <f t="shared" si="1780"/>
        <v>755.05122474387633</v>
      </c>
      <c r="K1069" s="21">
        <f t="shared" si="1781"/>
        <v>8.3894580527097364</v>
      </c>
      <c r="L1069" s="24">
        <f t="shared" si="1782"/>
        <v>4.1947290263548682</v>
      </c>
      <c r="M1069" s="24">
        <f t="shared" si="1783"/>
        <v>0</v>
      </c>
      <c r="N1069" s="24">
        <f t="shared" si="1784"/>
        <v>0</v>
      </c>
      <c r="O1069" s="24">
        <f t="shared" si="1785"/>
        <v>755.05122474387633</v>
      </c>
      <c r="P1069" s="24">
        <f t="shared" si="1786"/>
        <v>0</v>
      </c>
      <c r="Q1069" s="24">
        <f t="shared" si="1787"/>
        <v>755.05122474387633</v>
      </c>
      <c r="R1069" s="87">
        <v>62</v>
      </c>
      <c r="T1069" s="235" t="str">
        <f t="shared" si="1716"/>
        <v xml:space="preserve"> </v>
      </c>
    </row>
    <row r="1070" spans="1:21" x14ac:dyDescent="0.25">
      <c r="F1070" s="11"/>
      <c r="G1070" s="11"/>
      <c r="H1070" s="11"/>
      <c r="I1070" s="11"/>
      <c r="J1070" s="11"/>
      <c r="K1070" s="11"/>
      <c r="R1070" s="88"/>
      <c r="T1070" s="235" t="str">
        <f t="shared" si="1716"/>
        <v xml:space="preserve"> </v>
      </c>
    </row>
    <row r="1071" spans="1:21" ht="30" x14ac:dyDescent="0.25">
      <c r="A1071" s="156"/>
      <c r="B1071" s="3" t="s">
        <v>403</v>
      </c>
      <c r="C1071" s="3"/>
      <c r="D1071" s="4"/>
      <c r="E1071" s="15"/>
      <c r="F1071" s="10"/>
      <c r="G1071" s="10"/>
      <c r="H1071" s="10"/>
      <c r="I1071" s="10"/>
      <c r="J1071" s="10"/>
      <c r="K1071" s="10"/>
      <c r="L1071" s="23"/>
      <c r="M1071" s="23"/>
      <c r="N1071" s="23"/>
      <c r="O1071" s="23"/>
      <c r="P1071" s="23"/>
      <c r="Q1071" s="23"/>
      <c r="R1071" s="86"/>
      <c r="T1071" s="235" t="str">
        <f t="shared" si="1716"/>
        <v xml:space="preserve"> </v>
      </c>
    </row>
    <row r="1072" spans="1:21" ht="30" x14ac:dyDescent="0.25">
      <c r="A1072" s="156"/>
      <c r="B1072" s="3" t="s">
        <v>404</v>
      </c>
      <c r="C1072" s="3" t="s">
        <v>308</v>
      </c>
      <c r="D1072" s="4"/>
      <c r="E1072" s="15"/>
      <c r="F1072" s="10"/>
      <c r="G1072" s="10"/>
      <c r="H1072" s="10"/>
      <c r="I1072" s="10"/>
      <c r="J1072" s="10"/>
      <c r="K1072" s="10"/>
      <c r="L1072" s="23"/>
      <c r="M1072" s="23"/>
      <c r="N1072" s="23"/>
      <c r="O1072" s="23"/>
      <c r="P1072" s="23"/>
      <c r="Q1072" s="23"/>
      <c r="R1072" s="86"/>
      <c r="T1072" s="235" t="str">
        <f t="shared" si="1716"/>
        <v xml:space="preserve"> </v>
      </c>
    </row>
    <row r="1073" spans="1:20" ht="45" x14ac:dyDescent="0.25">
      <c r="A1073" s="156">
        <v>134</v>
      </c>
      <c r="B1073" s="3" t="s">
        <v>405</v>
      </c>
      <c r="C1073" s="3" t="s">
        <v>595</v>
      </c>
      <c r="D1073" s="4" t="s">
        <v>88</v>
      </c>
      <c r="E1073" s="15"/>
      <c r="F1073" s="10"/>
      <c r="G1073" s="10"/>
      <c r="H1073" s="26">
        <f>VLOOKUP($A1073,'Model Inputs'!$A:$C,3,FALSE)</f>
        <v>30</v>
      </c>
      <c r="I1073" s="10"/>
      <c r="J1073" s="10">
        <f>SUBTOTAL(9,J1074:J1075)</f>
        <v>5610.0654544832396</v>
      </c>
      <c r="K1073" s="10"/>
      <c r="L1073" s="10">
        <f>ROUNDUP(MAX(L1074:L1075)/Workhrs,0)</f>
        <v>2</v>
      </c>
      <c r="M1073" s="10">
        <f>SUBTOTAL(9,M1074:M1075)</f>
        <v>0</v>
      </c>
      <c r="N1073" s="10">
        <f t="shared" ref="N1073:Q1073" si="1788">SUBTOTAL(9,N1074:N1075)</f>
        <v>162.00064800259202</v>
      </c>
      <c r="O1073" s="10">
        <f t="shared" si="1788"/>
        <v>5448.0648064806473</v>
      </c>
      <c r="P1073" s="10">
        <f t="shared" si="1788"/>
        <v>0</v>
      </c>
      <c r="Q1073" s="10">
        <f t="shared" si="1788"/>
        <v>5610.0654544832396</v>
      </c>
      <c r="R1073" s="86"/>
      <c r="T1073" s="235" t="str">
        <f t="shared" si="1716"/>
        <v xml:space="preserve"> </v>
      </c>
    </row>
    <row r="1074" spans="1:20" x14ac:dyDescent="0.25">
      <c r="A1074" s="157">
        <v>134.1</v>
      </c>
      <c r="B1074" s="6">
        <v>1</v>
      </c>
      <c r="C1074" s="9" t="s">
        <v>477</v>
      </c>
      <c r="D1074" s="6"/>
      <c r="E1074" s="17" t="s">
        <v>500</v>
      </c>
      <c r="F1074" s="12">
        <v>1</v>
      </c>
      <c r="G1074" s="26">
        <f>VLOOKUP($A1074,'Model Inputs'!$A:$C,3,FALSE)</f>
        <v>3.3330000000000002</v>
      </c>
      <c r="H1074" s="12">
        <f>H1073</f>
        <v>30</v>
      </c>
      <c r="I1074" s="12">
        <f>VLOOKUP(C1074,Resources!B:G,6,FALSE)</f>
        <v>605.28</v>
      </c>
      <c r="J1074" s="21">
        <f t="shared" ref="J1074:J1075" si="1789">(H1074/G1074)*I1074*F1074</f>
        <v>5448.0648064806473</v>
      </c>
      <c r="K1074" s="21">
        <f t="shared" ref="K1074:K1075" si="1790">IF(E1074="M"," ",L1074*F1074)</f>
        <v>9.0009000900090008</v>
      </c>
      <c r="L1074" s="24">
        <f t="shared" ref="L1074:L1075" si="1791">IF(E1074="M"," ",H1074/G1074)</f>
        <v>9.0009000900090008</v>
      </c>
      <c r="M1074" s="24">
        <f t="shared" ref="M1074:M1075" si="1792">IF($E1074="L",$J1074,0)</f>
        <v>0</v>
      </c>
      <c r="N1074" s="24">
        <f t="shared" ref="N1074:N1075" si="1793">IF($E1074="M",$J1074,0)</f>
        <v>0</v>
      </c>
      <c r="O1074" s="24">
        <f t="shared" ref="O1074:O1075" si="1794">IF($E1074="P",$J1074,0)</f>
        <v>5448.0648064806473</v>
      </c>
      <c r="P1074" s="24">
        <f t="shared" ref="P1074:P1075" si="1795">IF($E1074="S",$J1074,0)</f>
        <v>0</v>
      </c>
      <c r="Q1074" s="24">
        <f t="shared" ref="Q1074:Q1075" si="1796">SUM(M1074:P1074)</f>
        <v>5448.0648064806473</v>
      </c>
      <c r="R1074" s="87">
        <v>68</v>
      </c>
      <c r="T1074" s="235" t="str">
        <f t="shared" si="1716"/>
        <v xml:space="preserve"> </v>
      </c>
    </row>
    <row r="1075" spans="1:20" x14ac:dyDescent="0.25">
      <c r="A1075" s="157"/>
      <c r="B1075" s="6">
        <v>2</v>
      </c>
      <c r="C1075" s="9" t="s">
        <v>481</v>
      </c>
      <c r="D1075" s="6" t="s">
        <v>100</v>
      </c>
      <c r="E1075" s="17" t="str">
        <f>VLOOKUP(C1075,Resources!B:G,3,FALSE)</f>
        <v>M</v>
      </c>
      <c r="F1075" s="12">
        <v>1</v>
      </c>
      <c r="G1075" s="12">
        <v>1</v>
      </c>
      <c r="H1075" s="12">
        <f>H1073/83.333</f>
        <v>0.36000144000576001</v>
      </c>
      <c r="I1075" s="12">
        <f>VLOOKUP(C1075,Resources!B:G,6,FALSE)</f>
        <v>450</v>
      </c>
      <c r="J1075" s="21">
        <f t="shared" si="1789"/>
        <v>162.00064800259202</v>
      </c>
      <c r="K1075" s="21" t="str">
        <f t="shared" si="1790"/>
        <v xml:space="preserve"> </v>
      </c>
      <c r="L1075" s="24" t="str">
        <f t="shared" si="1791"/>
        <v xml:space="preserve"> </v>
      </c>
      <c r="M1075" s="24">
        <f t="shared" si="1792"/>
        <v>0</v>
      </c>
      <c r="N1075" s="24">
        <f t="shared" si="1793"/>
        <v>162.00064800259202</v>
      </c>
      <c r="O1075" s="24">
        <f t="shared" si="1794"/>
        <v>0</v>
      </c>
      <c r="P1075" s="24">
        <f t="shared" si="1795"/>
        <v>0</v>
      </c>
      <c r="Q1075" s="24">
        <f t="shared" si="1796"/>
        <v>162.00064800259202</v>
      </c>
      <c r="R1075" s="87" t="s">
        <v>546</v>
      </c>
      <c r="T1075" s="235" t="str">
        <f t="shared" si="1716"/>
        <v xml:space="preserve"> </v>
      </c>
    </row>
    <row r="1076" spans="1:20" x14ac:dyDescent="0.25">
      <c r="F1076" s="11"/>
      <c r="G1076" s="11"/>
      <c r="H1076" s="11"/>
      <c r="I1076" s="11"/>
      <c r="J1076" s="11"/>
      <c r="K1076" s="11"/>
      <c r="R1076" s="88"/>
      <c r="T1076" s="235" t="str">
        <f t="shared" si="1716"/>
        <v xml:space="preserve"> </v>
      </c>
    </row>
    <row r="1077" spans="1:20" ht="30" x14ac:dyDescent="0.25">
      <c r="A1077" s="156"/>
      <c r="B1077" s="3" t="s">
        <v>406</v>
      </c>
      <c r="C1077" s="3"/>
      <c r="D1077" s="4"/>
      <c r="E1077" s="15"/>
      <c r="F1077" s="10"/>
      <c r="G1077" s="10"/>
      <c r="H1077" s="10"/>
      <c r="I1077" s="10"/>
      <c r="J1077" s="10"/>
      <c r="K1077" s="10"/>
      <c r="L1077" s="23"/>
      <c r="M1077" s="23"/>
      <c r="N1077" s="23"/>
      <c r="O1077" s="23"/>
      <c r="P1077" s="23"/>
      <c r="Q1077" s="23"/>
      <c r="R1077" s="86"/>
      <c r="T1077" s="235" t="str">
        <f t="shared" si="1716"/>
        <v xml:space="preserve"> </v>
      </c>
    </row>
    <row r="1078" spans="1:20" ht="45" x14ac:dyDescent="0.25">
      <c r="A1078" s="156"/>
      <c r="B1078" s="3" t="s">
        <v>407</v>
      </c>
      <c r="C1078" s="3" t="s">
        <v>311</v>
      </c>
      <c r="D1078" s="4"/>
      <c r="E1078" s="15"/>
      <c r="F1078" s="10"/>
      <c r="G1078" s="10"/>
      <c r="H1078" s="10"/>
      <c r="I1078" s="10"/>
      <c r="J1078" s="10"/>
      <c r="K1078" s="10"/>
      <c r="L1078" s="23"/>
      <c r="M1078" s="23"/>
      <c r="N1078" s="23"/>
      <c r="O1078" s="23"/>
      <c r="P1078" s="23"/>
      <c r="Q1078" s="23"/>
      <c r="R1078" s="86"/>
      <c r="T1078" s="235" t="str">
        <f t="shared" si="1716"/>
        <v xml:space="preserve"> </v>
      </c>
    </row>
    <row r="1079" spans="1:20" ht="60" x14ac:dyDescent="0.25">
      <c r="A1079" s="156">
        <v>135</v>
      </c>
      <c r="B1079" s="3" t="s">
        <v>408</v>
      </c>
      <c r="C1079" s="3" t="s">
        <v>613</v>
      </c>
      <c r="D1079" s="4" t="s">
        <v>88</v>
      </c>
      <c r="E1079" s="15"/>
      <c r="F1079" s="10"/>
      <c r="G1079" s="10"/>
      <c r="H1079" s="26">
        <f>VLOOKUP($A1079,'Model Inputs'!$A:$C,3,FALSE)</f>
        <v>283</v>
      </c>
      <c r="I1079" s="10"/>
      <c r="J1079" s="10">
        <f>SUBTOTAL(9,J1080)</f>
        <v>1525.3700000000001</v>
      </c>
      <c r="K1079" s="10"/>
      <c r="L1079" s="10">
        <f>ROUNDUP(L1080/10000,0)</f>
        <v>1</v>
      </c>
      <c r="M1079" s="10">
        <f t="shared" ref="M1079:Q1079" si="1797">SUBTOTAL(9,M1080)</f>
        <v>0</v>
      </c>
      <c r="N1079" s="10">
        <f t="shared" si="1797"/>
        <v>0</v>
      </c>
      <c r="O1079" s="10">
        <f t="shared" si="1797"/>
        <v>0</v>
      </c>
      <c r="P1079" s="10">
        <f t="shared" si="1797"/>
        <v>1525.3700000000001</v>
      </c>
      <c r="Q1079" s="10">
        <f t="shared" si="1797"/>
        <v>1525.3700000000001</v>
      </c>
      <c r="R1079" s="86"/>
      <c r="T1079" s="235" t="str">
        <f t="shared" si="1716"/>
        <v xml:space="preserve"> </v>
      </c>
    </row>
    <row r="1080" spans="1:20" x14ac:dyDescent="0.25">
      <c r="A1080" s="157"/>
      <c r="B1080" s="6">
        <v>1</v>
      </c>
      <c r="C1080" s="9" t="s">
        <v>108</v>
      </c>
      <c r="D1080" s="6" t="s">
        <v>109</v>
      </c>
      <c r="E1080" s="17" t="str">
        <f>VLOOKUP(C1080,Resources!B:G,3,FALSE)</f>
        <v>S</v>
      </c>
      <c r="F1080" s="12">
        <v>1</v>
      </c>
      <c r="G1080" s="12">
        <v>1</v>
      </c>
      <c r="H1080" s="12">
        <f>H1079*1.1</f>
        <v>311.3</v>
      </c>
      <c r="I1080" s="12">
        <f>VLOOKUP(C1080,Resources!B:G,6,FALSE)</f>
        <v>4.9000000000000004</v>
      </c>
      <c r="J1080" s="21">
        <f t="shared" ref="J1080" si="1798">(H1080/G1080)*I1080*F1080</f>
        <v>1525.3700000000001</v>
      </c>
      <c r="K1080" s="21">
        <f t="shared" ref="K1080" si="1799">IF(E1080="M"," ",L1080*F1080)</f>
        <v>311.3</v>
      </c>
      <c r="L1080" s="24">
        <f t="shared" ref="L1080" si="1800">IF(E1080="M"," ",H1080/G1080)</f>
        <v>311.3</v>
      </c>
      <c r="M1080" s="24">
        <f>IF($E1080="L",$J1080,0)</f>
        <v>0</v>
      </c>
      <c r="N1080" s="24">
        <f>IF($E1080="M",$J1080,0)</f>
        <v>0</v>
      </c>
      <c r="O1080" s="24">
        <f>IF($E1080="P",$J1080,0)</f>
        <v>0</v>
      </c>
      <c r="P1080" s="24">
        <f>IF($E1080="S",$J1080,0)</f>
        <v>1525.3700000000001</v>
      </c>
      <c r="Q1080" s="24">
        <f>SUM(M1080:P1080)</f>
        <v>1525.3700000000001</v>
      </c>
      <c r="R1080" s="87">
        <v>64</v>
      </c>
      <c r="T1080" s="235" t="str">
        <f t="shared" si="1716"/>
        <v xml:space="preserve"> </v>
      </c>
    </row>
    <row r="1081" spans="1:20" x14ac:dyDescent="0.25">
      <c r="F1081" s="11"/>
      <c r="G1081" s="11"/>
      <c r="H1081" s="11"/>
      <c r="I1081" s="11"/>
      <c r="J1081" s="11"/>
      <c r="K1081" s="11"/>
      <c r="R1081" s="88"/>
      <c r="T1081" s="235" t="str">
        <f t="shared" si="1716"/>
        <v xml:space="preserve"> </v>
      </c>
    </row>
    <row r="1082" spans="1:20" ht="60" x14ac:dyDescent="0.25">
      <c r="A1082" s="156">
        <v>136</v>
      </c>
      <c r="B1082" s="3" t="s">
        <v>409</v>
      </c>
      <c r="C1082" s="3" t="s">
        <v>614</v>
      </c>
      <c r="D1082" s="4" t="s">
        <v>88</v>
      </c>
      <c r="E1082" s="15"/>
      <c r="F1082" s="10"/>
      <c r="G1082" s="10"/>
      <c r="H1082" s="26">
        <f>VLOOKUP($A1082,'Model Inputs'!$A:$C,3,FALSE)</f>
        <v>597</v>
      </c>
      <c r="I1082" s="10"/>
      <c r="J1082" s="10">
        <f>SUBTOTAL(9,J1083)</f>
        <v>3217.8300000000004</v>
      </c>
      <c r="K1082" s="10"/>
      <c r="L1082" s="10">
        <f>ROUNDUP(L1083/10000,0)</f>
        <v>1</v>
      </c>
      <c r="M1082" s="10">
        <f t="shared" ref="M1082" si="1801">SUBTOTAL(9,M1083)</f>
        <v>0</v>
      </c>
      <c r="N1082" s="10">
        <f t="shared" ref="N1082" si="1802">SUBTOTAL(9,N1083)</f>
        <v>0</v>
      </c>
      <c r="O1082" s="10">
        <f t="shared" ref="O1082" si="1803">SUBTOTAL(9,O1083)</f>
        <v>0</v>
      </c>
      <c r="P1082" s="10">
        <f t="shared" ref="P1082" si="1804">SUBTOTAL(9,P1083)</f>
        <v>3217.8300000000004</v>
      </c>
      <c r="Q1082" s="10">
        <f t="shared" ref="Q1082" si="1805">SUBTOTAL(9,Q1083)</f>
        <v>3217.8300000000004</v>
      </c>
      <c r="R1082" s="86"/>
      <c r="T1082" s="235" t="str">
        <f t="shared" si="1716"/>
        <v xml:space="preserve"> </v>
      </c>
    </row>
    <row r="1083" spans="1:20" x14ac:dyDescent="0.25">
      <c r="A1083" s="157"/>
      <c r="B1083" s="6">
        <v>1</v>
      </c>
      <c r="C1083" s="9" t="s">
        <v>108</v>
      </c>
      <c r="D1083" s="6" t="s">
        <v>109</v>
      </c>
      <c r="E1083" s="17" t="str">
        <f>VLOOKUP(C1083,Resources!B:G,3,FALSE)</f>
        <v>S</v>
      </c>
      <c r="F1083" s="12">
        <v>1</v>
      </c>
      <c r="G1083" s="12">
        <v>1</v>
      </c>
      <c r="H1083" s="12">
        <f>H1082*1.1</f>
        <v>656.7</v>
      </c>
      <c r="I1083" s="12">
        <f>VLOOKUP(C1083,Resources!B:G,6,FALSE)</f>
        <v>4.9000000000000004</v>
      </c>
      <c r="J1083" s="21">
        <f t="shared" ref="J1083" si="1806">(H1083/G1083)*I1083*F1083</f>
        <v>3217.8300000000004</v>
      </c>
      <c r="K1083" s="21">
        <f t="shared" ref="K1083" si="1807">IF(E1083="M"," ",L1083*F1083)</f>
        <v>656.7</v>
      </c>
      <c r="L1083" s="24">
        <f t="shared" ref="L1083" si="1808">IF(E1083="M"," ",H1083/G1083)</f>
        <v>656.7</v>
      </c>
      <c r="M1083" s="24">
        <f>IF($E1083="L",$J1083,0)</f>
        <v>0</v>
      </c>
      <c r="N1083" s="24">
        <f>IF($E1083="M",$J1083,0)</f>
        <v>0</v>
      </c>
      <c r="O1083" s="24">
        <f>IF($E1083="P",$J1083,0)</f>
        <v>0</v>
      </c>
      <c r="P1083" s="24">
        <f>IF($E1083="S",$J1083,0)</f>
        <v>3217.8300000000004</v>
      </c>
      <c r="Q1083" s="24">
        <f>SUM(M1083:P1083)</f>
        <v>3217.8300000000004</v>
      </c>
      <c r="R1083" s="87">
        <v>64</v>
      </c>
      <c r="T1083" s="235" t="str">
        <f t="shared" si="1716"/>
        <v xml:space="preserve"> </v>
      </c>
    </row>
    <row r="1084" spans="1:20" x14ac:dyDescent="0.25">
      <c r="F1084" s="11"/>
      <c r="G1084" s="11"/>
      <c r="H1084" s="11"/>
      <c r="I1084" s="11"/>
      <c r="J1084" s="11"/>
      <c r="K1084" s="11"/>
      <c r="R1084" s="88"/>
      <c r="T1084" s="235" t="str">
        <f t="shared" si="1716"/>
        <v xml:space="preserve"> </v>
      </c>
    </row>
    <row r="1085" spans="1:20" ht="30" x14ac:dyDescent="0.25">
      <c r="A1085" s="156"/>
      <c r="B1085" s="3" t="s">
        <v>410</v>
      </c>
      <c r="C1085" s="3"/>
      <c r="D1085" s="4"/>
      <c r="E1085" s="15"/>
      <c r="F1085" s="10"/>
      <c r="G1085" s="10"/>
      <c r="H1085" s="10"/>
      <c r="I1085" s="10"/>
      <c r="J1085" s="10"/>
      <c r="K1085" s="10"/>
      <c r="L1085" s="23"/>
      <c r="M1085" s="23"/>
      <c r="N1085" s="23"/>
      <c r="O1085" s="23"/>
      <c r="P1085" s="23"/>
      <c r="Q1085" s="23"/>
      <c r="R1085" s="86"/>
      <c r="T1085" s="235" t="str">
        <f t="shared" si="1716"/>
        <v xml:space="preserve"> </v>
      </c>
    </row>
    <row r="1086" spans="1:20" ht="30" x14ac:dyDescent="0.25">
      <c r="A1086" s="156"/>
      <c r="B1086" s="3" t="s">
        <v>411</v>
      </c>
      <c r="C1086" s="3" t="s">
        <v>315</v>
      </c>
      <c r="D1086" s="4"/>
      <c r="E1086" s="15"/>
      <c r="F1086" s="10"/>
      <c r="G1086" s="10"/>
      <c r="H1086" s="10"/>
      <c r="I1086" s="10"/>
      <c r="J1086" s="10"/>
      <c r="K1086" s="10"/>
      <c r="L1086" s="23"/>
      <c r="M1086" s="23"/>
      <c r="N1086" s="23"/>
      <c r="O1086" s="23"/>
      <c r="P1086" s="23"/>
      <c r="Q1086" s="23"/>
      <c r="R1086" s="86"/>
      <c r="T1086" s="235" t="str">
        <f t="shared" si="1716"/>
        <v xml:space="preserve"> </v>
      </c>
    </row>
    <row r="1087" spans="1:20" ht="60" x14ac:dyDescent="0.25">
      <c r="A1087" s="156">
        <v>137</v>
      </c>
      <c r="B1087" s="3" t="s">
        <v>412</v>
      </c>
      <c r="C1087" s="3" t="s">
        <v>615</v>
      </c>
      <c r="D1087" s="4" t="s">
        <v>88</v>
      </c>
      <c r="E1087" s="15"/>
      <c r="F1087" s="10"/>
      <c r="G1087" s="10"/>
      <c r="H1087" s="26">
        <f>VLOOKUP($A1087,'Model Inputs'!$A:$C,3,FALSE)</f>
        <v>2912</v>
      </c>
      <c r="I1087" s="10"/>
      <c r="J1087" s="10">
        <f>SUBTOTAL(9,J1088)</f>
        <v>121115.29842350788</v>
      </c>
      <c r="K1087" s="10"/>
      <c r="L1087" s="10">
        <f>ROUNDUP(L1088/220,0)</f>
        <v>2</v>
      </c>
      <c r="M1087" s="10">
        <f t="shared" ref="M1087" si="1809">SUBTOTAL(9,M1088)</f>
        <v>0</v>
      </c>
      <c r="N1087" s="10">
        <f t="shared" ref="N1087" si="1810">SUBTOTAL(9,N1088)</f>
        <v>0</v>
      </c>
      <c r="O1087" s="10">
        <f t="shared" ref="O1087" si="1811">SUBTOTAL(9,O1088)</f>
        <v>0</v>
      </c>
      <c r="P1087" s="10">
        <f t="shared" ref="P1087" si="1812">SUBTOTAL(9,P1088)</f>
        <v>121115.29842350788</v>
      </c>
      <c r="Q1087" s="10">
        <f t="shared" ref="Q1087" si="1813">SUBTOTAL(9,Q1088)</f>
        <v>121115.29842350788</v>
      </c>
      <c r="R1087" s="86"/>
      <c r="T1087" s="235" t="str">
        <f t="shared" si="1716"/>
        <v xml:space="preserve"> </v>
      </c>
    </row>
    <row r="1088" spans="1:20" x14ac:dyDescent="0.25">
      <c r="A1088" s="157"/>
      <c r="B1088" s="6">
        <v>1</v>
      </c>
      <c r="C1088" s="9" t="s">
        <v>317</v>
      </c>
      <c r="D1088" s="6" t="s">
        <v>100</v>
      </c>
      <c r="E1088" s="17" t="str">
        <f>VLOOKUP(C1088,Resources!B:G,3,FALSE)</f>
        <v>S</v>
      </c>
      <c r="F1088" s="12">
        <v>1</v>
      </c>
      <c r="G1088" s="12">
        <v>1</v>
      </c>
      <c r="H1088" s="12">
        <f>H1087/6.6667</f>
        <v>436.79781601091997</v>
      </c>
      <c r="I1088" s="12">
        <f>VLOOKUP(C1088,Resources!B:G,6,FALSE)</f>
        <v>277.27999999999997</v>
      </c>
      <c r="J1088" s="21">
        <f t="shared" ref="J1088" si="1814">(H1088/G1088)*I1088*F1088</f>
        <v>121115.29842350788</v>
      </c>
      <c r="K1088" s="21">
        <f t="shared" ref="K1088" si="1815">IF(E1088="M"," ",L1088*F1088)</f>
        <v>436.79781601091997</v>
      </c>
      <c r="L1088" s="24">
        <f t="shared" ref="L1088" si="1816">IF(E1088="M"," ",H1088/G1088)</f>
        <v>436.79781601091997</v>
      </c>
      <c r="M1088" s="24">
        <f>IF($E1088="L",$J1088,0)</f>
        <v>0</v>
      </c>
      <c r="N1088" s="24">
        <f>IF($E1088="M",$J1088,0)</f>
        <v>0</v>
      </c>
      <c r="O1088" s="24">
        <f>IF($E1088="P",$J1088,0)</f>
        <v>0</v>
      </c>
      <c r="P1088" s="24">
        <f>IF($E1088="S",$J1088,0)</f>
        <v>121115.29842350788</v>
      </c>
      <c r="Q1088" s="24">
        <f>SUM(M1088:P1088)</f>
        <v>121115.29842350788</v>
      </c>
      <c r="R1088" s="87">
        <v>65</v>
      </c>
      <c r="T1088" s="235" t="str">
        <f t="shared" si="1716"/>
        <v xml:space="preserve"> </v>
      </c>
    </row>
    <row r="1089" spans="1:20" x14ac:dyDescent="0.25">
      <c r="F1089" s="11"/>
      <c r="G1089" s="11"/>
      <c r="H1089" s="11"/>
      <c r="I1089" s="11"/>
      <c r="J1089" s="11"/>
      <c r="K1089" s="11"/>
      <c r="R1089" s="88"/>
      <c r="T1089" s="235" t="str">
        <f t="shared" si="1716"/>
        <v xml:space="preserve"> </v>
      </c>
    </row>
    <row r="1090" spans="1:20" ht="30" x14ac:dyDescent="0.25">
      <c r="A1090" s="156"/>
      <c r="B1090" s="3" t="s">
        <v>413</v>
      </c>
      <c r="C1090" s="3"/>
      <c r="D1090" s="4"/>
      <c r="E1090" s="15"/>
      <c r="F1090" s="10"/>
      <c r="G1090" s="10"/>
      <c r="H1090" s="10"/>
      <c r="I1090" s="10"/>
      <c r="J1090" s="10"/>
      <c r="K1090" s="10"/>
      <c r="L1090" s="23"/>
      <c r="M1090" s="23"/>
      <c r="N1090" s="23"/>
      <c r="O1090" s="23"/>
      <c r="P1090" s="23"/>
      <c r="Q1090" s="23"/>
      <c r="R1090" s="86"/>
      <c r="T1090" s="235" t="str">
        <f t="shared" si="1716"/>
        <v xml:space="preserve"> </v>
      </c>
    </row>
    <row r="1091" spans="1:20" ht="30" x14ac:dyDescent="0.25">
      <c r="A1091" s="156"/>
      <c r="B1091" s="3" t="s">
        <v>414</v>
      </c>
      <c r="C1091" s="3" t="s">
        <v>319</v>
      </c>
      <c r="D1091" s="4"/>
      <c r="E1091" s="15"/>
      <c r="F1091" s="10"/>
      <c r="G1091" s="10"/>
      <c r="H1091" s="10"/>
      <c r="I1091" s="10"/>
      <c r="J1091" s="10"/>
      <c r="K1091" s="10"/>
      <c r="L1091" s="23"/>
      <c r="M1091" s="23"/>
      <c r="N1091" s="23"/>
      <c r="O1091" s="23"/>
      <c r="P1091" s="23"/>
      <c r="Q1091" s="23"/>
      <c r="R1091" s="86"/>
      <c r="T1091" s="235" t="str">
        <f t="shared" si="1716"/>
        <v xml:space="preserve"> </v>
      </c>
    </row>
    <row r="1092" spans="1:20" ht="30" x14ac:dyDescent="0.25">
      <c r="A1092" s="156">
        <v>138</v>
      </c>
      <c r="B1092" s="3" t="s">
        <v>415</v>
      </c>
      <c r="C1092" s="3" t="s">
        <v>598</v>
      </c>
      <c r="D1092" s="4" t="s">
        <v>32</v>
      </c>
      <c r="E1092" s="15"/>
      <c r="F1092" s="10"/>
      <c r="G1092" s="10"/>
      <c r="H1092" s="26">
        <f>VLOOKUP($A1092,'Model Inputs'!$A:$C,3,FALSE)</f>
        <v>67</v>
      </c>
      <c r="I1092" s="10"/>
      <c r="J1092" s="10">
        <f>SUBTOTAL(9,J1093:J1096)</f>
        <v>5701.1988000000001</v>
      </c>
      <c r="K1092" s="10"/>
      <c r="L1092" s="10">
        <f>ROUNDUP(L1096/100,0)</f>
        <v>1</v>
      </c>
      <c r="M1092" s="10">
        <f>SUBTOTAL(9,M1093:M1096)</f>
        <v>0</v>
      </c>
      <c r="N1092" s="10">
        <f t="shared" ref="N1092:Q1092" si="1817">SUBTOTAL(9,N1093:N1096)</f>
        <v>2686.1987999999997</v>
      </c>
      <c r="O1092" s="10">
        <f t="shared" si="1817"/>
        <v>0</v>
      </c>
      <c r="P1092" s="10">
        <f t="shared" si="1817"/>
        <v>3015</v>
      </c>
      <c r="Q1092" s="10">
        <f t="shared" si="1817"/>
        <v>5701.1988000000001</v>
      </c>
      <c r="R1092" s="86"/>
      <c r="T1092" s="235" t="str">
        <f t="shared" si="1716"/>
        <v xml:space="preserve"> </v>
      </c>
    </row>
    <row r="1093" spans="1:20" x14ac:dyDescent="0.25">
      <c r="A1093" s="157"/>
      <c r="B1093" s="6">
        <v>1</v>
      </c>
      <c r="C1093" s="9" t="s">
        <v>321</v>
      </c>
      <c r="D1093" s="6" t="s">
        <v>180</v>
      </c>
      <c r="E1093" s="17" t="str">
        <f>VLOOKUP(C1093,Resources!B:G,3,FALSE)</f>
        <v>M</v>
      </c>
      <c r="F1093" s="12">
        <v>1</v>
      </c>
      <c r="G1093" s="12">
        <v>1</v>
      </c>
      <c r="H1093" s="12">
        <v>7.2042999999999999</v>
      </c>
      <c r="I1093" s="12">
        <f>VLOOKUP(C1093,Resources!B:G,6,FALSE)</f>
        <v>309</v>
      </c>
      <c r="J1093" s="21">
        <f t="shared" ref="J1093:J1096" si="1818">(H1093/G1093)*I1093*F1093</f>
        <v>2226.1286999999998</v>
      </c>
      <c r="K1093" s="21" t="str">
        <f t="shared" ref="K1093:K1096" si="1819">IF(E1093="M"," ",L1093*F1093)</f>
        <v xml:space="preserve"> </v>
      </c>
      <c r="L1093" s="24" t="str">
        <f t="shared" ref="L1093:L1096" si="1820">IF(E1093="M"," ",H1093/G1093)</f>
        <v xml:space="preserve"> </v>
      </c>
      <c r="M1093" s="24">
        <f t="shared" ref="M1093:M1096" si="1821">IF($E1093="L",$J1093,0)</f>
        <v>0</v>
      </c>
      <c r="N1093" s="24">
        <f t="shared" ref="N1093:N1096" si="1822">IF($E1093="M",$J1093,0)</f>
        <v>2226.1286999999998</v>
      </c>
      <c r="O1093" s="24">
        <f t="shared" ref="O1093:O1096" si="1823">IF($E1093="P",$J1093,0)</f>
        <v>0</v>
      </c>
      <c r="P1093" s="24">
        <f t="shared" ref="P1093:P1096" si="1824">IF($E1093="S",$J1093,0)</f>
        <v>0</v>
      </c>
      <c r="Q1093" s="24">
        <f t="shared" ref="Q1093:Q1096" si="1825">SUM(M1093:P1093)</f>
        <v>2226.1286999999998</v>
      </c>
      <c r="R1093" s="87" t="s">
        <v>547</v>
      </c>
      <c r="T1093" s="235" t="str">
        <f t="shared" si="1716"/>
        <v xml:space="preserve"> </v>
      </c>
    </row>
    <row r="1094" spans="1:20" x14ac:dyDescent="0.25">
      <c r="A1094" s="157"/>
      <c r="B1094" s="6">
        <v>2</v>
      </c>
      <c r="C1094" s="9" t="s">
        <v>189</v>
      </c>
      <c r="D1094" s="6" t="s">
        <v>100</v>
      </c>
      <c r="E1094" s="17" t="str">
        <f>VLOOKUP(C1094,Resources!B:G,3,FALSE)</f>
        <v>M</v>
      </c>
      <c r="F1094" s="12">
        <v>1</v>
      </c>
      <c r="G1094" s="12">
        <v>1</v>
      </c>
      <c r="H1094" s="12">
        <v>4.4667000000000003</v>
      </c>
      <c r="I1094" s="12">
        <f>VLOOKUP(C1094,Resources!B:G,6,FALSE)</f>
        <v>28</v>
      </c>
      <c r="J1094" s="21">
        <f t="shared" si="1818"/>
        <v>125.06760000000001</v>
      </c>
      <c r="K1094" s="21" t="str">
        <f t="shared" si="1819"/>
        <v xml:space="preserve"> </v>
      </c>
      <c r="L1094" s="24" t="str">
        <f t="shared" si="1820"/>
        <v xml:space="preserve"> </v>
      </c>
      <c r="M1094" s="24">
        <f t="shared" si="1821"/>
        <v>0</v>
      </c>
      <c r="N1094" s="24">
        <f t="shared" si="1822"/>
        <v>125.06760000000001</v>
      </c>
      <c r="O1094" s="24">
        <f t="shared" si="1823"/>
        <v>0</v>
      </c>
      <c r="P1094" s="24">
        <f t="shared" si="1824"/>
        <v>0</v>
      </c>
      <c r="Q1094" s="24">
        <f t="shared" si="1825"/>
        <v>125.06760000000001</v>
      </c>
      <c r="R1094" s="87" t="s">
        <v>542</v>
      </c>
      <c r="T1094" s="235" t="str">
        <f t="shared" si="1716"/>
        <v>y</v>
      </c>
    </row>
    <row r="1095" spans="1:20" x14ac:dyDescent="0.25">
      <c r="A1095" s="157"/>
      <c r="B1095" s="6">
        <v>3</v>
      </c>
      <c r="C1095" s="9" t="s">
        <v>482</v>
      </c>
      <c r="D1095" s="6" t="s">
        <v>31</v>
      </c>
      <c r="E1095" s="17" t="str">
        <f>VLOOKUP(C1095,Resources!B:G,3,FALSE)</f>
        <v>M</v>
      </c>
      <c r="F1095" s="12">
        <v>1</v>
      </c>
      <c r="G1095" s="12">
        <v>1</v>
      </c>
      <c r="H1095" s="12">
        <v>22.333500000000001</v>
      </c>
      <c r="I1095" s="12">
        <f>VLOOKUP(C1095,Resources!B:G,6,FALSE)</f>
        <v>15</v>
      </c>
      <c r="J1095" s="21">
        <f t="shared" si="1818"/>
        <v>335.0025</v>
      </c>
      <c r="K1095" s="21" t="str">
        <f t="shared" si="1819"/>
        <v xml:space="preserve"> </v>
      </c>
      <c r="L1095" s="24" t="str">
        <f t="shared" si="1820"/>
        <v xml:space="preserve"> </v>
      </c>
      <c r="M1095" s="24">
        <f t="shared" si="1821"/>
        <v>0</v>
      </c>
      <c r="N1095" s="24">
        <f t="shared" si="1822"/>
        <v>335.0025</v>
      </c>
      <c r="O1095" s="24">
        <f t="shared" si="1823"/>
        <v>0</v>
      </c>
      <c r="P1095" s="24">
        <f t="shared" si="1824"/>
        <v>0</v>
      </c>
      <c r="Q1095" s="24">
        <f t="shared" si="1825"/>
        <v>335.0025</v>
      </c>
      <c r="R1095" s="87">
        <v>71</v>
      </c>
      <c r="T1095" s="235" t="str">
        <f t="shared" si="1716"/>
        <v xml:space="preserve"> </v>
      </c>
    </row>
    <row r="1096" spans="1:20" x14ac:dyDescent="0.25">
      <c r="A1096" s="157"/>
      <c r="B1096" s="6">
        <v>4</v>
      </c>
      <c r="C1096" s="9" t="s">
        <v>322</v>
      </c>
      <c r="D1096" s="6" t="s">
        <v>32</v>
      </c>
      <c r="E1096" s="17" t="str">
        <f>VLOOKUP(C1096,Resources!B:G,3,FALSE)</f>
        <v>S</v>
      </c>
      <c r="F1096" s="12">
        <v>1</v>
      </c>
      <c r="G1096" s="12">
        <v>1</v>
      </c>
      <c r="H1096" s="12">
        <v>67</v>
      </c>
      <c r="I1096" s="12">
        <f>VLOOKUP(C1096,Resources!B:G,6,FALSE)</f>
        <v>45</v>
      </c>
      <c r="J1096" s="21">
        <f t="shared" si="1818"/>
        <v>3015</v>
      </c>
      <c r="K1096" s="21">
        <f t="shared" si="1819"/>
        <v>67</v>
      </c>
      <c r="L1096" s="24">
        <f t="shared" si="1820"/>
        <v>67</v>
      </c>
      <c r="M1096" s="24">
        <f t="shared" si="1821"/>
        <v>0</v>
      </c>
      <c r="N1096" s="24">
        <f t="shared" si="1822"/>
        <v>0</v>
      </c>
      <c r="O1096" s="24">
        <f t="shared" si="1823"/>
        <v>0</v>
      </c>
      <c r="P1096" s="24">
        <f t="shared" si="1824"/>
        <v>3015</v>
      </c>
      <c r="Q1096" s="24">
        <f t="shared" si="1825"/>
        <v>3015</v>
      </c>
      <c r="R1096" s="87">
        <v>71</v>
      </c>
      <c r="T1096" s="235" t="str">
        <f t="shared" ref="T1096:T1159" si="1826">IF(R1096=$U$7,"y"," ")</f>
        <v xml:space="preserve"> </v>
      </c>
    </row>
    <row r="1097" spans="1:20" x14ac:dyDescent="0.25">
      <c r="F1097" s="11"/>
      <c r="G1097" s="11"/>
      <c r="H1097" s="11"/>
      <c r="I1097" s="11"/>
      <c r="J1097" s="11"/>
      <c r="K1097" s="11"/>
      <c r="R1097" s="88"/>
      <c r="T1097" s="235" t="str">
        <f t="shared" si="1826"/>
        <v xml:space="preserve"> </v>
      </c>
    </row>
    <row r="1098" spans="1:20" ht="30" x14ac:dyDescent="0.25">
      <c r="A1098" s="156"/>
      <c r="B1098" s="3" t="s">
        <v>416</v>
      </c>
      <c r="C1098" s="3"/>
      <c r="D1098" s="4"/>
      <c r="E1098" s="15"/>
      <c r="F1098" s="10"/>
      <c r="G1098" s="10"/>
      <c r="H1098" s="10"/>
      <c r="I1098" s="10"/>
      <c r="J1098" s="10"/>
      <c r="K1098" s="10"/>
      <c r="L1098" s="23"/>
      <c r="M1098" s="23"/>
      <c r="N1098" s="23"/>
      <c r="O1098" s="23"/>
      <c r="P1098" s="23"/>
      <c r="Q1098" s="23"/>
      <c r="R1098" s="86"/>
      <c r="T1098" s="235" t="str">
        <f t="shared" si="1826"/>
        <v xml:space="preserve"> </v>
      </c>
    </row>
    <row r="1099" spans="1:20" ht="30" x14ac:dyDescent="0.25">
      <c r="A1099" s="156"/>
      <c r="B1099" s="3" t="s">
        <v>417</v>
      </c>
      <c r="C1099" s="3" t="s">
        <v>325</v>
      </c>
      <c r="D1099" s="4"/>
      <c r="E1099" s="15"/>
      <c r="F1099" s="10"/>
      <c r="G1099" s="10"/>
      <c r="H1099" s="10"/>
      <c r="I1099" s="10"/>
      <c r="J1099" s="10"/>
      <c r="K1099" s="10"/>
      <c r="L1099" s="23"/>
      <c r="M1099" s="23"/>
      <c r="N1099" s="23"/>
      <c r="O1099" s="23"/>
      <c r="P1099" s="23"/>
      <c r="Q1099" s="23"/>
      <c r="R1099" s="86"/>
      <c r="T1099" s="235" t="str">
        <f t="shared" si="1826"/>
        <v xml:space="preserve"> </v>
      </c>
    </row>
    <row r="1100" spans="1:20" ht="60" x14ac:dyDescent="0.25">
      <c r="A1100" s="156">
        <v>139</v>
      </c>
      <c r="B1100" s="3" t="s">
        <v>418</v>
      </c>
      <c r="C1100" s="3" t="s">
        <v>599</v>
      </c>
      <c r="D1100" s="4" t="s">
        <v>32</v>
      </c>
      <c r="E1100" s="15"/>
      <c r="F1100" s="10"/>
      <c r="G1100" s="10"/>
      <c r="H1100" s="26">
        <f>VLOOKUP($A1100,'Model Inputs'!$A:$C,3,FALSE)</f>
        <v>78</v>
      </c>
      <c r="I1100" s="10"/>
      <c r="J1100" s="10">
        <f>SUBTOTAL(9,J1101:J1107)</f>
        <v>2770.989</v>
      </c>
      <c r="K1100" s="10"/>
      <c r="L1100" s="10">
        <f>ROUNDUP(MAX(L1101:L1107)/Workhrs,0)</f>
        <v>1</v>
      </c>
      <c r="M1100" s="10">
        <f>SUBTOTAL(9,M1101:M1107)</f>
        <v>485.78399999999999</v>
      </c>
      <c r="N1100" s="10">
        <f t="shared" ref="N1100:Q1100" si="1827">SUBTOTAL(9,N1101:N1107)</f>
        <v>1718.9250000000002</v>
      </c>
      <c r="O1100" s="10">
        <f t="shared" si="1827"/>
        <v>566.28</v>
      </c>
      <c r="P1100" s="10">
        <f t="shared" si="1827"/>
        <v>0</v>
      </c>
      <c r="Q1100" s="10">
        <f t="shared" si="1827"/>
        <v>2770.989</v>
      </c>
      <c r="R1100" s="86"/>
      <c r="T1100" s="235" t="str">
        <f t="shared" si="1826"/>
        <v xml:space="preserve"> </v>
      </c>
    </row>
    <row r="1101" spans="1:20" x14ac:dyDescent="0.25">
      <c r="A1101" s="157"/>
      <c r="B1101" s="6">
        <v>1</v>
      </c>
      <c r="C1101" s="9" t="s">
        <v>327</v>
      </c>
      <c r="D1101" s="6" t="s">
        <v>32</v>
      </c>
      <c r="E1101" s="17" t="str">
        <f>VLOOKUP(C1101,Resources!B:G,3,FALSE)</f>
        <v>M</v>
      </c>
      <c r="F1101" s="12">
        <v>1</v>
      </c>
      <c r="G1101" s="12">
        <v>1</v>
      </c>
      <c r="H1101" s="12">
        <f>H1100</f>
        <v>78</v>
      </c>
      <c r="I1101" s="12">
        <f>VLOOKUP(C1101,Resources!B:G,6,FALSE)</f>
        <v>8</v>
      </c>
      <c r="J1101" s="21">
        <f t="shared" ref="J1101:J1107" si="1828">(H1101/G1101)*I1101*F1101</f>
        <v>624</v>
      </c>
      <c r="K1101" s="21" t="str">
        <f t="shared" ref="K1101:K1107" si="1829">IF(E1101="M"," ",L1101*F1101)</f>
        <v xml:space="preserve"> </v>
      </c>
      <c r="L1101" s="24" t="str">
        <f t="shared" ref="L1101:L1107" si="1830">IF(E1101="M"," ",H1101/G1101)</f>
        <v xml:space="preserve"> </v>
      </c>
      <c r="M1101" s="24">
        <f t="shared" ref="M1101:M1107" si="1831">IF($E1101="L",$J1101,0)</f>
        <v>0</v>
      </c>
      <c r="N1101" s="24">
        <f t="shared" ref="N1101:N1107" si="1832">IF($E1101="M",$J1101,0)</f>
        <v>624</v>
      </c>
      <c r="O1101" s="24">
        <f t="shared" ref="O1101:O1107" si="1833">IF($E1101="P",$J1101,0)</f>
        <v>0</v>
      </c>
      <c r="P1101" s="24">
        <f t="shared" ref="P1101:P1107" si="1834">IF($E1101="S",$J1101,0)</f>
        <v>0</v>
      </c>
      <c r="Q1101" s="24">
        <f t="shared" ref="Q1101:Q1107" si="1835">SUM(M1101:P1101)</f>
        <v>624</v>
      </c>
      <c r="R1101" s="87" t="s">
        <v>548</v>
      </c>
      <c r="T1101" s="235" t="str">
        <f t="shared" si="1826"/>
        <v xml:space="preserve"> </v>
      </c>
    </row>
    <row r="1102" spans="1:20" x14ac:dyDescent="0.25">
      <c r="A1102" s="157"/>
      <c r="B1102" s="6">
        <v>2</v>
      </c>
      <c r="C1102" s="9" t="s">
        <v>328</v>
      </c>
      <c r="D1102" s="6" t="s">
        <v>32</v>
      </c>
      <c r="E1102" s="17" t="str">
        <f>VLOOKUP(C1102,Resources!B:G,3,FALSE)</f>
        <v>M</v>
      </c>
      <c r="F1102" s="12">
        <v>1</v>
      </c>
      <c r="G1102" s="12">
        <v>1</v>
      </c>
      <c r="H1102" s="12">
        <f>H1100*1.25</f>
        <v>97.5</v>
      </c>
      <c r="I1102" s="12">
        <f>VLOOKUP(C1102,Resources!B:G,6,FALSE)</f>
        <v>0.11</v>
      </c>
      <c r="J1102" s="21">
        <f t="shared" si="1828"/>
        <v>10.725</v>
      </c>
      <c r="K1102" s="21" t="str">
        <f t="shared" si="1829"/>
        <v xml:space="preserve"> </v>
      </c>
      <c r="L1102" s="24" t="str">
        <f t="shared" si="1830"/>
        <v xml:space="preserve"> </v>
      </c>
      <c r="M1102" s="24">
        <f t="shared" si="1831"/>
        <v>0</v>
      </c>
      <c r="N1102" s="24">
        <f t="shared" si="1832"/>
        <v>10.725</v>
      </c>
      <c r="O1102" s="24">
        <f t="shared" si="1833"/>
        <v>0</v>
      </c>
      <c r="P1102" s="24">
        <f t="shared" si="1834"/>
        <v>0</v>
      </c>
      <c r="Q1102" s="24">
        <f t="shared" si="1835"/>
        <v>10.725</v>
      </c>
      <c r="R1102" s="87" t="s">
        <v>548</v>
      </c>
      <c r="T1102" s="235" t="str">
        <f t="shared" si="1826"/>
        <v xml:space="preserve"> </v>
      </c>
    </row>
    <row r="1103" spans="1:20" x14ac:dyDescent="0.25">
      <c r="A1103" s="157"/>
      <c r="B1103" s="6">
        <v>3</v>
      </c>
      <c r="C1103" s="9" t="s">
        <v>329</v>
      </c>
      <c r="D1103" s="6" t="s">
        <v>32</v>
      </c>
      <c r="E1103" s="17" t="str">
        <f>VLOOKUP(C1103,Resources!B:G,3,FALSE)</f>
        <v>M</v>
      </c>
      <c r="F1103" s="12">
        <v>1</v>
      </c>
      <c r="G1103" s="12">
        <v>1</v>
      </c>
      <c r="H1103" s="12">
        <f>H1100</f>
        <v>78</v>
      </c>
      <c r="I1103" s="12">
        <f>VLOOKUP(C1103,Resources!B:G,6,FALSE)</f>
        <v>2.7</v>
      </c>
      <c r="J1103" s="21">
        <f t="shared" si="1828"/>
        <v>210.60000000000002</v>
      </c>
      <c r="K1103" s="21" t="str">
        <f t="shared" si="1829"/>
        <v xml:space="preserve"> </v>
      </c>
      <c r="L1103" s="24" t="str">
        <f t="shared" si="1830"/>
        <v xml:space="preserve"> </v>
      </c>
      <c r="M1103" s="24">
        <f t="shared" si="1831"/>
        <v>0</v>
      </c>
      <c r="N1103" s="24">
        <f t="shared" si="1832"/>
        <v>210.60000000000002</v>
      </c>
      <c r="O1103" s="24">
        <f t="shared" si="1833"/>
        <v>0</v>
      </c>
      <c r="P1103" s="24">
        <f t="shared" si="1834"/>
        <v>0</v>
      </c>
      <c r="Q1103" s="24">
        <f t="shared" si="1835"/>
        <v>210.60000000000002</v>
      </c>
      <c r="R1103" s="87" t="s">
        <v>548</v>
      </c>
      <c r="T1103" s="235" t="str">
        <f t="shared" si="1826"/>
        <v xml:space="preserve"> </v>
      </c>
    </row>
    <row r="1104" spans="1:20" x14ac:dyDescent="0.25">
      <c r="A1104" s="157"/>
      <c r="B1104" s="6">
        <v>4</v>
      </c>
      <c r="C1104" s="9" t="s">
        <v>189</v>
      </c>
      <c r="D1104" s="6" t="s">
        <v>100</v>
      </c>
      <c r="E1104" s="17" t="str">
        <f>VLOOKUP(C1104,Resources!B:G,3,FALSE)</f>
        <v>M</v>
      </c>
      <c r="F1104" s="12">
        <v>1</v>
      </c>
      <c r="G1104" s="12">
        <v>1</v>
      </c>
      <c r="H1104" s="12">
        <f>H1100/2.5</f>
        <v>31.2</v>
      </c>
      <c r="I1104" s="12">
        <f>VLOOKUP(C1104,Resources!B:G,6,FALSE)</f>
        <v>28</v>
      </c>
      <c r="J1104" s="21">
        <f t="shared" si="1828"/>
        <v>873.6</v>
      </c>
      <c r="K1104" s="21" t="str">
        <f t="shared" si="1829"/>
        <v xml:space="preserve"> </v>
      </c>
      <c r="L1104" s="24" t="str">
        <f t="shared" si="1830"/>
        <v xml:space="preserve"> </v>
      </c>
      <c r="M1104" s="24">
        <f t="shared" si="1831"/>
        <v>0</v>
      </c>
      <c r="N1104" s="24">
        <f t="shared" si="1832"/>
        <v>873.6</v>
      </c>
      <c r="O1104" s="24">
        <f t="shared" si="1833"/>
        <v>0</v>
      </c>
      <c r="P1104" s="24">
        <f t="shared" si="1834"/>
        <v>0</v>
      </c>
      <c r="Q1104" s="24">
        <f t="shared" si="1835"/>
        <v>873.6</v>
      </c>
      <c r="R1104" s="87" t="s">
        <v>542</v>
      </c>
      <c r="T1104" s="235" t="str">
        <f t="shared" si="1826"/>
        <v>y</v>
      </c>
    </row>
    <row r="1105" spans="1:21" x14ac:dyDescent="0.25">
      <c r="A1105" s="157">
        <v>139.1</v>
      </c>
      <c r="B1105" s="6">
        <v>5</v>
      </c>
      <c r="C1105" s="9" t="s">
        <v>70</v>
      </c>
      <c r="D1105" s="6" t="s">
        <v>26</v>
      </c>
      <c r="E1105" s="17" t="str">
        <f>VLOOKUP(C1105,Resources!B:G,3,FALSE)</f>
        <v>P</v>
      </c>
      <c r="F1105" s="12">
        <v>1</v>
      </c>
      <c r="G1105" s="26">
        <f>VLOOKUP($A1105,'Model Inputs'!$A:$C,3,FALSE)</f>
        <v>25</v>
      </c>
      <c r="H1105" s="12">
        <f>H1100</f>
        <v>78</v>
      </c>
      <c r="I1105" s="12">
        <f>VLOOKUP(C1105,Resources!B:G,6,FALSE)</f>
        <v>135</v>
      </c>
      <c r="J1105" s="21">
        <f t="shared" si="1828"/>
        <v>421.2</v>
      </c>
      <c r="K1105" s="21">
        <f t="shared" si="1829"/>
        <v>3.12</v>
      </c>
      <c r="L1105" s="24">
        <f t="shared" si="1830"/>
        <v>3.12</v>
      </c>
      <c r="M1105" s="24">
        <f t="shared" si="1831"/>
        <v>0</v>
      </c>
      <c r="N1105" s="24">
        <f t="shared" si="1832"/>
        <v>0</v>
      </c>
      <c r="O1105" s="24">
        <f t="shared" si="1833"/>
        <v>421.2</v>
      </c>
      <c r="P1105" s="24">
        <f t="shared" si="1834"/>
        <v>0</v>
      </c>
      <c r="Q1105" s="24">
        <f t="shared" si="1835"/>
        <v>421.2</v>
      </c>
      <c r="R1105" s="87">
        <v>111</v>
      </c>
      <c r="T1105" s="235" t="str">
        <f t="shared" si="1826"/>
        <v xml:space="preserve"> </v>
      </c>
    </row>
    <row r="1106" spans="1:21" x14ac:dyDescent="0.25">
      <c r="A1106" s="157"/>
      <c r="B1106" s="6">
        <v>6</v>
      </c>
      <c r="C1106" s="9" t="s">
        <v>486</v>
      </c>
      <c r="D1106" s="6" t="s">
        <v>26</v>
      </c>
      <c r="E1106" s="17" t="str">
        <f>VLOOKUP(C1106,Resources!B:G,3,FALSE)</f>
        <v>P</v>
      </c>
      <c r="F1106" s="12">
        <v>1</v>
      </c>
      <c r="G1106" s="12">
        <f>G1105</f>
        <v>25</v>
      </c>
      <c r="H1106" s="12">
        <f>H1100</f>
        <v>78</v>
      </c>
      <c r="I1106" s="12">
        <f>VLOOKUP(C1106,Resources!B:G,6,FALSE)</f>
        <v>46.5</v>
      </c>
      <c r="J1106" s="21">
        <f t="shared" si="1828"/>
        <v>145.08000000000001</v>
      </c>
      <c r="K1106" s="21">
        <f t="shared" si="1829"/>
        <v>3.12</v>
      </c>
      <c r="L1106" s="24">
        <f t="shared" si="1830"/>
        <v>3.12</v>
      </c>
      <c r="M1106" s="24">
        <f t="shared" si="1831"/>
        <v>0</v>
      </c>
      <c r="N1106" s="24">
        <f t="shared" si="1832"/>
        <v>0</v>
      </c>
      <c r="O1106" s="24">
        <f t="shared" si="1833"/>
        <v>145.08000000000001</v>
      </c>
      <c r="P1106" s="24">
        <f t="shared" si="1834"/>
        <v>0</v>
      </c>
      <c r="Q1106" s="24">
        <f t="shared" si="1835"/>
        <v>145.08000000000001</v>
      </c>
      <c r="R1106" s="87">
        <v>111</v>
      </c>
      <c r="T1106" s="235" t="str">
        <f t="shared" si="1826"/>
        <v xml:space="preserve"> </v>
      </c>
    </row>
    <row r="1107" spans="1:21" x14ac:dyDescent="0.25">
      <c r="A1107" s="157"/>
      <c r="B1107" s="6">
        <v>7</v>
      </c>
      <c r="C1107" s="9" t="s">
        <v>8</v>
      </c>
      <c r="D1107" s="6" t="s">
        <v>26</v>
      </c>
      <c r="E1107" s="17" t="str">
        <f>VLOOKUP(C1107,Resources!B:G,3,FALSE)</f>
        <v>L</v>
      </c>
      <c r="F1107" s="12">
        <v>3</v>
      </c>
      <c r="G1107" s="12">
        <f>G1105</f>
        <v>25</v>
      </c>
      <c r="H1107" s="12">
        <f>H1100</f>
        <v>78</v>
      </c>
      <c r="I1107" s="12">
        <f>VLOOKUP(C1107,Resources!B:G,6,FALSE)</f>
        <v>51.9</v>
      </c>
      <c r="J1107" s="21">
        <f t="shared" si="1828"/>
        <v>485.78399999999999</v>
      </c>
      <c r="K1107" s="21">
        <f t="shared" si="1829"/>
        <v>9.36</v>
      </c>
      <c r="L1107" s="24">
        <f t="shared" si="1830"/>
        <v>3.12</v>
      </c>
      <c r="M1107" s="24">
        <f t="shared" si="1831"/>
        <v>485.78399999999999</v>
      </c>
      <c r="N1107" s="24">
        <f t="shared" si="1832"/>
        <v>0</v>
      </c>
      <c r="O1107" s="24">
        <f t="shared" si="1833"/>
        <v>0</v>
      </c>
      <c r="P1107" s="24">
        <f t="shared" si="1834"/>
        <v>0</v>
      </c>
      <c r="Q1107" s="24">
        <f t="shared" si="1835"/>
        <v>485.78399999999999</v>
      </c>
      <c r="R1107" s="87">
        <v>111</v>
      </c>
      <c r="T1107" s="235" t="str">
        <f t="shared" si="1826"/>
        <v xml:space="preserve"> </v>
      </c>
    </row>
    <row r="1108" spans="1:21" x14ac:dyDescent="0.25">
      <c r="F1108" s="11"/>
      <c r="G1108" s="11"/>
      <c r="H1108" s="11"/>
      <c r="I1108" s="11"/>
      <c r="J1108" s="11"/>
      <c r="K1108" s="11"/>
      <c r="R1108" s="88"/>
      <c r="T1108" s="235" t="str">
        <f t="shared" si="1826"/>
        <v xml:space="preserve"> </v>
      </c>
    </row>
    <row r="1109" spans="1:21" ht="45" x14ac:dyDescent="0.25">
      <c r="A1109" s="156">
        <v>140</v>
      </c>
      <c r="B1109" s="3" t="s">
        <v>419</v>
      </c>
      <c r="C1109" s="3" t="s">
        <v>331</v>
      </c>
      <c r="D1109" s="4" t="s">
        <v>32</v>
      </c>
      <c r="E1109" s="15"/>
      <c r="F1109" s="10"/>
      <c r="G1109" s="10"/>
      <c r="H1109" s="26">
        <f>VLOOKUP($A1109,'Model Inputs'!$A:$C,3,FALSE)</f>
        <v>22</v>
      </c>
      <c r="I1109" s="10"/>
      <c r="J1109" s="10">
        <f>SUBTOTAL(9,J1110:J1111)</f>
        <v>3860</v>
      </c>
      <c r="K1109" s="10"/>
      <c r="L1109" s="10">
        <f>ROUNDUP(MAX(L1110:L1111)/Workhrs,0)</f>
        <v>3</v>
      </c>
      <c r="M1109" s="10">
        <f>SUBTOTAL(9,M1110:M1111)</f>
        <v>0</v>
      </c>
      <c r="N1109" s="10">
        <f t="shared" ref="N1109:Q1109" si="1836">SUBTOTAL(9,N1110:N1111)</f>
        <v>0</v>
      </c>
      <c r="O1109" s="10">
        <f t="shared" si="1836"/>
        <v>0</v>
      </c>
      <c r="P1109" s="10">
        <f t="shared" si="1836"/>
        <v>3860</v>
      </c>
      <c r="Q1109" s="10">
        <f t="shared" si="1836"/>
        <v>3860</v>
      </c>
      <c r="R1109" s="86"/>
      <c r="T1109" s="235" t="str">
        <f t="shared" si="1826"/>
        <v xml:space="preserve"> </v>
      </c>
    </row>
    <row r="1110" spans="1:21" x14ac:dyDescent="0.25">
      <c r="A1110" s="157"/>
      <c r="B1110" s="6">
        <v>1</v>
      </c>
      <c r="C1110" s="9" t="s">
        <v>494</v>
      </c>
      <c r="D1110" s="6" t="s">
        <v>32</v>
      </c>
      <c r="E1110" s="17" t="str">
        <f>VLOOKUP(C1110,Resources!B:G,3,FALSE)</f>
        <v>S</v>
      </c>
      <c r="F1110" s="12">
        <v>1</v>
      </c>
      <c r="G1110" s="12">
        <v>1</v>
      </c>
      <c r="H1110" s="12">
        <f>H1109</f>
        <v>22</v>
      </c>
      <c r="I1110" s="12">
        <f>VLOOKUP(C1110,Resources!B:G,6,FALSE)</f>
        <v>130</v>
      </c>
      <c r="J1110" s="21">
        <f t="shared" ref="J1110:J1111" si="1837">(H1110/G1110)*I1110*F1110</f>
        <v>2860</v>
      </c>
      <c r="K1110" s="21">
        <f t="shared" ref="K1110:K1111" si="1838">IF(E1110="M"," ",L1110*F1110)</f>
        <v>22</v>
      </c>
      <c r="L1110" s="24">
        <f t="shared" ref="L1110:L1111" si="1839">IF(E1110="M"," ",H1110/G1110)</f>
        <v>22</v>
      </c>
      <c r="M1110" s="24">
        <f t="shared" ref="M1110:M1111" si="1840">IF($E1110="L",$J1110,0)</f>
        <v>0</v>
      </c>
      <c r="N1110" s="24">
        <f t="shared" ref="N1110:N1111" si="1841">IF($E1110="M",$J1110,0)</f>
        <v>0</v>
      </c>
      <c r="O1110" s="24">
        <f t="shared" ref="O1110:O1111" si="1842">IF($E1110="P",$J1110,0)</f>
        <v>0</v>
      </c>
      <c r="P1110" s="24">
        <f t="shared" ref="P1110:P1111" si="1843">IF($E1110="S",$J1110,0)</f>
        <v>2860</v>
      </c>
      <c r="Q1110" s="24">
        <f t="shared" ref="Q1110:Q1111" si="1844">SUM(M1110:P1110)</f>
        <v>2860</v>
      </c>
      <c r="R1110" s="87">
        <v>111</v>
      </c>
      <c r="T1110" s="235" t="str">
        <f t="shared" si="1826"/>
        <v xml:space="preserve"> </v>
      </c>
    </row>
    <row r="1111" spans="1:21" x14ac:dyDescent="0.25">
      <c r="A1111" s="157"/>
      <c r="B1111" s="6">
        <v>2</v>
      </c>
      <c r="C1111" s="9" t="s">
        <v>495</v>
      </c>
      <c r="D1111" s="6" t="s">
        <v>18</v>
      </c>
      <c r="E1111" s="17" t="str">
        <f>VLOOKUP(C1111,Resources!B:G,3,FALSE)</f>
        <v>S</v>
      </c>
      <c r="F1111" s="12">
        <v>1</v>
      </c>
      <c r="G1111" s="12">
        <v>1</v>
      </c>
      <c r="H1111" s="12">
        <v>1</v>
      </c>
      <c r="I1111" s="12">
        <f>VLOOKUP(C1111,Resources!B:G,6,FALSE)</f>
        <v>1000</v>
      </c>
      <c r="J1111" s="21">
        <f t="shared" si="1837"/>
        <v>1000</v>
      </c>
      <c r="K1111" s="21">
        <f t="shared" si="1838"/>
        <v>1</v>
      </c>
      <c r="L1111" s="24">
        <f t="shared" si="1839"/>
        <v>1</v>
      </c>
      <c r="M1111" s="24">
        <f t="shared" si="1840"/>
        <v>0</v>
      </c>
      <c r="N1111" s="24">
        <f t="shared" si="1841"/>
        <v>0</v>
      </c>
      <c r="O1111" s="24">
        <f t="shared" si="1842"/>
        <v>0</v>
      </c>
      <c r="P1111" s="24">
        <f t="shared" si="1843"/>
        <v>1000</v>
      </c>
      <c r="Q1111" s="24">
        <f t="shared" si="1844"/>
        <v>1000</v>
      </c>
      <c r="R1111" s="87">
        <v>111</v>
      </c>
      <c r="T1111" s="235" t="str">
        <f t="shared" si="1826"/>
        <v xml:space="preserve"> </v>
      </c>
    </row>
    <row r="1112" spans="1:21" x14ac:dyDescent="0.25">
      <c r="F1112" s="11"/>
      <c r="G1112" s="11"/>
      <c r="H1112" s="11"/>
      <c r="I1112" s="11"/>
      <c r="J1112" s="11"/>
      <c r="K1112" s="11"/>
      <c r="R1112" s="88"/>
      <c r="T1112" s="235" t="str">
        <f t="shared" si="1826"/>
        <v xml:space="preserve"> </v>
      </c>
    </row>
    <row r="1113" spans="1:21" ht="30" x14ac:dyDescent="0.25">
      <c r="A1113" s="156">
        <v>141</v>
      </c>
      <c r="B1113" s="3" t="s">
        <v>420</v>
      </c>
      <c r="C1113" s="3" t="s">
        <v>333</v>
      </c>
      <c r="D1113" s="4" t="s">
        <v>145</v>
      </c>
      <c r="E1113" s="15"/>
      <c r="F1113" s="10"/>
      <c r="G1113" s="10"/>
      <c r="H1113" s="26">
        <f>VLOOKUP($A1113,'Model Inputs'!$A:$C,3,FALSE)</f>
        <v>2</v>
      </c>
      <c r="I1113" s="10"/>
      <c r="J1113" s="10">
        <f>SUBTOTAL(9,J1114:J1116)</f>
        <v>2452.8000000000002</v>
      </c>
      <c r="K1113" s="10"/>
      <c r="L1113" s="10">
        <f>ROUNDUP(MAX(L1114:L1116)/Workhrs,0)</f>
        <v>1</v>
      </c>
      <c r="M1113" s="10">
        <f>SUBTOTAL(9,M1114:M1116)</f>
        <v>622.79999999999995</v>
      </c>
      <c r="N1113" s="10">
        <f t="shared" ref="N1113:Q1113" si="1845">SUBTOTAL(9,N1114:N1116)</f>
        <v>1560</v>
      </c>
      <c r="O1113" s="10">
        <f t="shared" si="1845"/>
        <v>270</v>
      </c>
      <c r="P1113" s="10">
        <f t="shared" si="1845"/>
        <v>0</v>
      </c>
      <c r="Q1113" s="10">
        <f t="shared" si="1845"/>
        <v>2452.8000000000002</v>
      </c>
      <c r="R1113" s="86"/>
      <c r="T1113" s="235" t="str">
        <f t="shared" si="1826"/>
        <v xml:space="preserve"> </v>
      </c>
    </row>
    <row r="1114" spans="1:21" x14ac:dyDescent="0.25">
      <c r="A1114" s="157"/>
      <c r="B1114" s="6">
        <v>1</v>
      </c>
      <c r="C1114" s="9" t="s">
        <v>485</v>
      </c>
      <c r="D1114" s="6" t="s">
        <v>31</v>
      </c>
      <c r="E1114" s="17" t="str">
        <f>VLOOKUP(C1114,Resources!B:G,3,FALSE)</f>
        <v>M</v>
      </c>
      <c r="F1114" s="12">
        <v>1</v>
      </c>
      <c r="G1114" s="12">
        <v>1</v>
      </c>
      <c r="H1114" s="12">
        <f>H1113</f>
        <v>2</v>
      </c>
      <c r="I1114" s="12">
        <f>VLOOKUP(C1114,Resources!B:G,6,FALSE)</f>
        <v>780</v>
      </c>
      <c r="J1114" s="21">
        <f t="shared" ref="J1114:J1116" si="1846">(H1114/G1114)*I1114*F1114</f>
        <v>1560</v>
      </c>
      <c r="K1114" s="21" t="str">
        <f t="shared" ref="K1114:K1116" si="1847">IF(E1114="M"," ",L1114*F1114)</f>
        <v xml:space="preserve"> </v>
      </c>
      <c r="L1114" s="24" t="str">
        <f t="shared" ref="L1114:L1116" si="1848">IF(E1114="M"," ",H1114/G1114)</f>
        <v xml:space="preserve"> </v>
      </c>
      <c r="M1114" s="24">
        <f t="shared" ref="M1114:M1116" si="1849">IF($E1114="L",$J1114,0)</f>
        <v>0</v>
      </c>
      <c r="N1114" s="24">
        <f t="shared" ref="N1114:N1116" si="1850">IF($E1114="M",$J1114,0)</f>
        <v>1560</v>
      </c>
      <c r="O1114" s="24">
        <f t="shared" ref="O1114:O1116" si="1851">IF($E1114="P",$J1114,0)</f>
        <v>0</v>
      </c>
      <c r="P1114" s="24">
        <f t="shared" ref="P1114:P1116" si="1852">IF($E1114="S",$J1114,0)</f>
        <v>0</v>
      </c>
      <c r="Q1114" s="24">
        <f t="shared" ref="Q1114:Q1116" si="1853">SUM(M1114:P1114)</f>
        <v>1560</v>
      </c>
      <c r="R1114" s="87" t="s">
        <v>549</v>
      </c>
      <c r="T1114" s="235" t="str">
        <f t="shared" si="1826"/>
        <v xml:space="preserve"> </v>
      </c>
    </row>
    <row r="1115" spans="1:21" x14ac:dyDescent="0.25">
      <c r="A1115" s="157"/>
      <c r="B1115" s="6">
        <v>2</v>
      </c>
      <c r="C1115" s="9" t="s">
        <v>70</v>
      </c>
      <c r="D1115" s="6" t="s">
        <v>26</v>
      </c>
      <c r="E1115" s="17" t="str">
        <f>VLOOKUP(C1115,Resources!B:G,3,FALSE)</f>
        <v>P</v>
      </c>
      <c r="F1115" s="12">
        <v>1</v>
      </c>
      <c r="G1115" s="12">
        <v>1</v>
      </c>
      <c r="H1115" s="12">
        <f>H1113</f>
        <v>2</v>
      </c>
      <c r="I1115" s="12">
        <f>VLOOKUP(C1115,Resources!B:G,6,FALSE)</f>
        <v>135</v>
      </c>
      <c r="J1115" s="21">
        <f t="shared" si="1846"/>
        <v>270</v>
      </c>
      <c r="K1115" s="21">
        <f t="shared" si="1847"/>
        <v>2</v>
      </c>
      <c r="L1115" s="24">
        <f t="shared" si="1848"/>
        <v>2</v>
      </c>
      <c r="M1115" s="24">
        <f t="shared" si="1849"/>
        <v>0</v>
      </c>
      <c r="N1115" s="24">
        <f t="shared" si="1850"/>
        <v>0</v>
      </c>
      <c r="O1115" s="24">
        <f t="shared" si="1851"/>
        <v>270</v>
      </c>
      <c r="P1115" s="24">
        <f t="shared" si="1852"/>
        <v>0</v>
      </c>
      <c r="Q1115" s="24">
        <f t="shared" si="1853"/>
        <v>270</v>
      </c>
      <c r="R1115" s="87">
        <v>111</v>
      </c>
      <c r="T1115" s="235" t="str">
        <f t="shared" si="1826"/>
        <v xml:space="preserve"> </v>
      </c>
    </row>
    <row r="1116" spans="1:21" x14ac:dyDescent="0.25">
      <c r="A1116" s="157">
        <v>141.1</v>
      </c>
      <c r="B1116" s="6">
        <v>3</v>
      </c>
      <c r="C1116" s="9" t="s">
        <v>8</v>
      </c>
      <c r="D1116" s="6" t="s">
        <v>26</v>
      </c>
      <c r="E1116" s="17" t="str">
        <f>VLOOKUP(C1116,Resources!B:G,3,FALSE)</f>
        <v>L</v>
      </c>
      <c r="F1116" s="12">
        <v>3</v>
      </c>
      <c r="G1116" s="26">
        <f>VLOOKUP($A1116,'Model Inputs'!$A:$C,3,FALSE)</f>
        <v>0.5</v>
      </c>
      <c r="H1116" s="12">
        <f>H1113</f>
        <v>2</v>
      </c>
      <c r="I1116" s="12">
        <f>VLOOKUP(C1116,Resources!B:G,6,FALSE)</f>
        <v>51.9</v>
      </c>
      <c r="J1116" s="21">
        <f t="shared" si="1846"/>
        <v>622.79999999999995</v>
      </c>
      <c r="K1116" s="21">
        <f t="shared" si="1847"/>
        <v>12</v>
      </c>
      <c r="L1116" s="24">
        <f t="shared" si="1848"/>
        <v>4</v>
      </c>
      <c r="M1116" s="24">
        <f t="shared" si="1849"/>
        <v>622.79999999999995</v>
      </c>
      <c r="N1116" s="24">
        <f t="shared" si="1850"/>
        <v>0</v>
      </c>
      <c r="O1116" s="24">
        <f t="shared" si="1851"/>
        <v>0</v>
      </c>
      <c r="P1116" s="24">
        <f t="shared" si="1852"/>
        <v>0</v>
      </c>
      <c r="Q1116" s="24">
        <f t="shared" si="1853"/>
        <v>622.79999999999995</v>
      </c>
      <c r="R1116" s="87">
        <v>111</v>
      </c>
      <c r="T1116" s="235" t="str">
        <f t="shared" si="1826"/>
        <v xml:space="preserve"> </v>
      </c>
    </row>
    <row r="1117" spans="1:21" x14ac:dyDescent="0.25">
      <c r="F1117" s="11"/>
      <c r="G1117" s="11"/>
      <c r="H1117" s="11"/>
      <c r="I1117" s="11"/>
      <c r="J1117" s="11"/>
      <c r="K1117" s="11"/>
      <c r="R1117" s="88"/>
      <c r="T1117" s="235" t="str">
        <f t="shared" si="1826"/>
        <v xml:space="preserve"> </v>
      </c>
    </row>
    <row r="1118" spans="1:21" ht="45" x14ac:dyDescent="0.25">
      <c r="A1118" s="156">
        <v>142</v>
      </c>
      <c r="B1118" s="3" t="s">
        <v>421</v>
      </c>
      <c r="C1118" s="3" t="s">
        <v>335</v>
      </c>
      <c r="D1118" s="4" t="s">
        <v>145</v>
      </c>
      <c r="E1118" s="15"/>
      <c r="F1118" s="10"/>
      <c r="G1118" s="10"/>
      <c r="H1118" s="26">
        <f>VLOOKUP($A1118,'Model Inputs'!$A:$C,3,FALSE)</f>
        <v>2</v>
      </c>
      <c r="I1118" s="10"/>
      <c r="J1118" s="10">
        <f>SUBTOTAL(9,J1120:J1122,J1125:J1126)</f>
        <v>2690.8</v>
      </c>
      <c r="K1118" s="10"/>
      <c r="L1118" s="10">
        <f>ROUNDUP(MAX(L1120:L1122,L1125:L1126)/Workhrs,0)</f>
        <v>1</v>
      </c>
      <c r="M1118" s="10">
        <f>SUBTOTAL(9,M1120:M1122,M1125:M1126)</f>
        <v>622.79999999999995</v>
      </c>
      <c r="N1118" s="10">
        <f t="shared" ref="N1118:Q1118" si="1854">SUBTOTAL(9,N1120:N1122,N1125:N1126)</f>
        <v>1528</v>
      </c>
      <c r="O1118" s="10">
        <f t="shared" si="1854"/>
        <v>540</v>
      </c>
      <c r="P1118" s="10">
        <f t="shared" si="1854"/>
        <v>0</v>
      </c>
      <c r="Q1118" s="10">
        <f t="shared" si="1854"/>
        <v>2690.8</v>
      </c>
      <c r="R1118" s="86"/>
      <c r="T1118" s="235" t="str">
        <f t="shared" si="1826"/>
        <v xml:space="preserve"> </v>
      </c>
    </row>
    <row r="1119" spans="1:21" s="19" customFormat="1" x14ac:dyDescent="0.25">
      <c r="A1119" s="159"/>
      <c r="B1119" s="28">
        <v>1</v>
      </c>
      <c r="C1119" s="29" t="s">
        <v>336</v>
      </c>
      <c r="D1119" s="28"/>
      <c r="E1119" s="30"/>
      <c r="F1119" s="31"/>
      <c r="G1119" s="31"/>
      <c r="H1119" s="31"/>
      <c r="I1119" s="31"/>
      <c r="J1119" s="32"/>
      <c r="K1119" s="32"/>
      <c r="L1119" s="33"/>
      <c r="M1119" s="33"/>
      <c r="N1119" s="33"/>
      <c r="O1119" s="33"/>
      <c r="P1119" s="33"/>
      <c r="Q1119" s="33"/>
      <c r="R1119" s="89"/>
      <c r="T1119" s="235" t="str">
        <f t="shared" si="1826"/>
        <v xml:space="preserve"> </v>
      </c>
      <c r="U1119" s="236"/>
    </row>
    <row r="1120" spans="1:21" x14ac:dyDescent="0.25">
      <c r="A1120" s="157"/>
      <c r="B1120" s="6">
        <v>2</v>
      </c>
      <c r="C1120" s="9" t="s">
        <v>337</v>
      </c>
      <c r="D1120" s="6" t="s">
        <v>31</v>
      </c>
      <c r="E1120" s="17" t="str">
        <f>VLOOKUP(C1120,Resources!B:G,3,FALSE)</f>
        <v>M</v>
      </c>
      <c r="F1120" s="12">
        <v>1</v>
      </c>
      <c r="G1120" s="12">
        <v>1</v>
      </c>
      <c r="H1120" s="12">
        <f>H1118</f>
        <v>2</v>
      </c>
      <c r="I1120" s="12">
        <f>VLOOKUP(C1120,Resources!B:G,6,FALSE)</f>
        <v>425</v>
      </c>
      <c r="J1120" s="21">
        <f t="shared" ref="J1120:J1122" si="1855">(H1120/G1120)*I1120*F1120</f>
        <v>850</v>
      </c>
      <c r="K1120" s="21" t="str">
        <f t="shared" ref="K1120:K1122" si="1856">IF(E1120="M"," ",L1120*F1120)</f>
        <v xml:space="preserve"> </v>
      </c>
      <c r="L1120" s="24" t="str">
        <f t="shared" ref="L1120:L1122" si="1857">IF(E1120="M"," ",H1120/G1120)</f>
        <v xml:space="preserve"> </v>
      </c>
      <c r="M1120" s="24">
        <f t="shared" ref="M1120:M1122" si="1858">IF($E1120="L",$J1120,0)</f>
        <v>0</v>
      </c>
      <c r="N1120" s="24">
        <f t="shared" ref="N1120:N1122" si="1859">IF($E1120="M",$J1120,0)</f>
        <v>850</v>
      </c>
      <c r="O1120" s="24">
        <f t="shared" ref="O1120:O1122" si="1860">IF($E1120="P",$J1120,0)</f>
        <v>0</v>
      </c>
      <c r="P1120" s="24">
        <f t="shared" ref="P1120:P1122" si="1861">IF($E1120="S",$J1120,0)</f>
        <v>0</v>
      </c>
      <c r="Q1120" s="24">
        <f t="shared" ref="Q1120:Q1122" si="1862">SUM(M1120:P1120)</f>
        <v>850</v>
      </c>
      <c r="R1120" s="87" t="s">
        <v>548</v>
      </c>
      <c r="T1120" s="235" t="str">
        <f t="shared" si="1826"/>
        <v xml:space="preserve"> </v>
      </c>
    </row>
    <row r="1121" spans="1:21" x14ac:dyDescent="0.25">
      <c r="A1121" s="157"/>
      <c r="B1121" s="6">
        <v>3</v>
      </c>
      <c r="C1121" s="9" t="s">
        <v>338</v>
      </c>
      <c r="D1121" s="6" t="s">
        <v>180</v>
      </c>
      <c r="E1121" s="17" t="str">
        <f>VLOOKUP(C1121,Resources!B:G,3,FALSE)</f>
        <v>M</v>
      </c>
      <c r="F1121" s="12">
        <v>1</v>
      </c>
      <c r="G1121" s="12">
        <v>1</v>
      </c>
      <c r="H1121" s="12">
        <f>H1118</f>
        <v>2</v>
      </c>
      <c r="I1121" s="12">
        <f>VLOOKUP(C1121,Resources!B:G,6,FALSE)</f>
        <v>309</v>
      </c>
      <c r="J1121" s="21">
        <f t="shared" si="1855"/>
        <v>618</v>
      </c>
      <c r="K1121" s="21" t="str">
        <f t="shared" si="1856"/>
        <v xml:space="preserve"> </v>
      </c>
      <c r="L1121" s="24" t="str">
        <f t="shared" si="1857"/>
        <v xml:space="preserve"> </v>
      </c>
      <c r="M1121" s="24">
        <f t="shared" si="1858"/>
        <v>0</v>
      </c>
      <c r="N1121" s="24">
        <f t="shared" si="1859"/>
        <v>618</v>
      </c>
      <c r="O1121" s="24">
        <f t="shared" si="1860"/>
        <v>0</v>
      </c>
      <c r="P1121" s="24">
        <f t="shared" si="1861"/>
        <v>0</v>
      </c>
      <c r="Q1121" s="24">
        <f t="shared" si="1862"/>
        <v>618</v>
      </c>
      <c r="R1121" s="87" t="s">
        <v>550</v>
      </c>
      <c r="T1121" s="235" t="str">
        <f t="shared" si="1826"/>
        <v xml:space="preserve"> </v>
      </c>
    </row>
    <row r="1122" spans="1:21" x14ac:dyDescent="0.25">
      <c r="A1122" s="157"/>
      <c r="B1122" s="6">
        <v>4</v>
      </c>
      <c r="C1122" s="9" t="s">
        <v>339</v>
      </c>
      <c r="D1122" s="6" t="s">
        <v>32</v>
      </c>
      <c r="E1122" s="17" t="str">
        <f>VLOOKUP(C1122,Resources!B:G,3,FALSE)</f>
        <v>M</v>
      </c>
      <c r="F1122" s="12">
        <v>10</v>
      </c>
      <c r="G1122" s="12">
        <v>1</v>
      </c>
      <c r="H1122" s="12">
        <f>H1118</f>
        <v>2</v>
      </c>
      <c r="I1122" s="12">
        <f>VLOOKUP(C1122,Resources!B:G,6,FALSE)</f>
        <v>3</v>
      </c>
      <c r="J1122" s="21">
        <f t="shared" si="1855"/>
        <v>60</v>
      </c>
      <c r="K1122" s="21" t="str">
        <f t="shared" si="1856"/>
        <v xml:space="preserve"> </v>
      </c>
      <c r="L1122" s="24" t="str">
        <f t="shared" si="1857"/>
        <v xml:space="preserve"> </v>
      </c>
      <c r="M1122" s="24">
        <f t="shared" si="1858"/>
        <v>0</v>
      </c>
      <c r="N1122" s="24">
        <f t="shared" si="1859"/>
        <v>60</v>
      </c>
      <c r="O1122" s="24">
        <f t="shared" si="1860"/>
        <v>0</v>
      </c>
      <c r="P1122" s="24">
        <f t="shared" si="1861"/>
        <v>0</v>
      </c>
      <c r="Q1122" s="24">
        <f t="shared" si="1862"/>
        <v>60</v>
      </c>
      <c r="R1122" s="87" t="s">
        <v>548</v>
      </c>
      <c r="T1122" s="235" t="str">
        <f t="shared" si="1826"/>
        <v xml:space="preserve"> </v>
      </c>
    </row>
    <row r="1123" spans="1:21" s="19" customFormat="1" x14ac:dyDescent="0.25">
      <c r="A1123" s="159"/>
      <c r="B1123" s="28">
        <v>5</v>
      </c>
      <c r="C1123" s="29" t="s">
        <v>340</v>
      </c>
      <c r="D1123" s="28"/>
      <c r="E1123" s="30"/>
      <c r="F1123" s="31"/>
      <c r="G1123" s="31"/>
      <c r="H1123" s="31"/>
      <c r="I1123" s="31"/>
      <c r="J1123" s="32"/>
      <c r="K1123" s="32"/>
      <c r="L1123" s="33"/>
      <c r="M1123" s="33"/>
      <c r="N1123" s="33"/>
      <c r="O1123" s="33"/>
      <c r="P1123" s="33"/>
      <c r="Q1123" s="33"/>
      <c r="R1123" s="89"/>
      <c r="T1123" s="235" t="str">
        <f t="shared" si="1826"/>
        <v xml:space="preserve"> </v>
      </c>
      <c r="U1123" s="236"/>
    </row>
    <row r="1124" spans="1:21" s="19" customFormat="1" x14ac:dyDescent="0.25">
      <c r="A1124" s="159"/>
      <c r="B1124" s="28">
        <v>6</v>
      </c>
      <c r="C1124" s="29" t="s">
        <v>341</v>
      </c>
      <c r="D1124" s="28"/>
      <c r="E1124" s="30"/>
      <c r="F1124" s="31"/>
      <c r="G1124" s="31"/>
      <c r="H1124" s="31"/>
      <c r="I1124" s="31"/>
      <c r="J1124" s="32"/>
      <c r="K1124" s="32"/>
      <c r="L1124" s="33"/>
      <c r="M1124" s="33"/>
      <c r="N1124" s="33"/>
      <c r="O1124" s="33"/>
      <c r="P1124" s="33"/>
      <c r="Q1124" s="33"/>
      <c r="R1124" s="89"/>
      <c r="T1124" s="235" t="str">
        <f t="shared" si="1826"/>
        <v xml:space="preserve"> </v>
      </c>
      <c r="U1124" s="236"/>
    </row>
    <row r="1125" spans="1:21" x14ac:dyDescent="0.25">
      <c r="A1125" s="157">
        <v>142.1</v>
      </c>
      <c r="B1125" s="6">
        <v>7</v>
      </c>
      <c r="C1125" s="9" t="s">
        <v>70</v>
      </c>
      <c r="D1125" s="6" t="s">
        <v>26</v>
      </c>
      <c r="E1125" s="17" t="str">
        <f>VLOOKUP(C1125,Resources!B:G,3,FALSE)</f>
        <v>P</v>
      </c>
      <c r="F1125" s="12">
        <v>1</v>
      </c>
      <c r="G1125" s="26">
        <f>VLOOKUP($A1125,'Model Inputs'!$A:$C,3,FALSE)</f>
        <v>0.5</v>
      </c>
      <c r="H1125" s="12">
        <f>H1118</f>
        <v>2</v>
      </c>
      <c r="I1125" s="12">
        <f>VLOOKUP(C1125,Resources!B:G,6,FALSE)</f>
        <v>135</v>
      </c>
      <c r="J1125" s="21">
        <f t="shared" ref="J1125:J1126" si="1863">(H1125/G1125)*I1125*F1125</f>
        <v>540</v>
      </c>
      <c r="K1125" s="21">
        <f t="shared" ref="K1125:K1126" si="1864">IF(E1125="M"," ",L1125*F1125)</f>
        <v>4</v>
      </c>
      <c r="L1125" s="24">
        <f t="shared" ref="L1125:L1126" si="1865">IF(E1125="M"," ",H1125/G1125)</f>
        <v>4</v>
      </c>
      <c r="M1125" s="24">
        <f t="shared" ref="M1125:M1126" si="1866">IF($E1125="L",$J1125,0)</f>
        <v>0</v>
      </c>
      <c r="N1125" s="24">
        <f t="shared" ref="N1125:N1126" si="1867">IF($E1125="M",$J1125,0)</f>
        <v>0</v>
      </c>
      <c r="O1125" s="24">
        <f t="shared" ref="O1125:O1126" si="1868">IF($E1125="P",$J1125,0)</f>
        <v>540</v>
      </c>
      <c r="P1125" s="24">
        <f t="shared" ref="P1125:P1126" si="1869">IF($E1125="S",$J1125,0)</f>
        <v>0</v>
      </c>
      <c r="Q1125" s="24">
        <f t="shared" ref="Q1125:Q1126" si="1870">SUM(M1125:P1125)</f>
        <v>540</v>
      </c>
      <c r="R1125" s="87">
        <v>111</v>
      </c>
      <c r="T1125" s="235" t="str">
        <f t="shared" si="1826"/>
        <v xml:space="preserve"> </v>
      </c>
    </row>
    <row r="1126" spans="1:21" x14ac:dyDescent="0.25">
      <c r="A1126" s="157"/>
      <c r="B1126" s="6">
        <v>8</v>
      </c>
      <c r="C1126" s="9" t="s">
        <v>8</v>
      </c>
      <c r="D1126" s="6" t="s">
        <v>26</v>
      </c>
      <c r="E1126" s="17" t="str">
        <f>VLOOKUP(C1126,Resources!B:G,3,FALSE)</f>
        <v>L</v>
      </c>
      <c r="F1126" s="12">
        <v>3</v>
      </c>
      <c r="G1126" s="12">
        <f>G1125</f>
        <v>0.5</v>
      </c>
      <c r="H1126" s="12">
        <f>H1118</f>
        <v>2</v>
      </c>
      <c r="I1126" s="12">
        <f>VLOOKUP(C1126,Resources!B:G,6,FALSE)</f>
        <v>51.9</v>
      </c>
      <c r="J1126" s="21">
        <f t="shared" si="1863"/>
        <v>622.79999999999995</v>
      </c>
      <c r="K1126" s="21">
        <f t="shared" si="1864"/>
        <v>12</v>
      </c>
      <c r="L1126" s="24">
        <f t="shared" si="1865"/>
        <v>4</v>
      </c>
      <c r="M1126" s="24">
        <f t="shared" si="1866"/>
        <v>622.79999999999995</v>
      </c>
      <c r="N1126" s="24">
        <f t="shared" si="1867"/>
        <v>0</v>
      </c>
      <c r="O1126" s="24">
        <f t="shared" si="1868"/>
        <v>0</v>
      </c>
      <c r="P1126" s="24">
        <f t="shared" si="1869"/>
        <v>0</v>
      </c>
      <c r="Q1126" s="24">
        <f t="shared" si="1870"/>
        <v>622.79999999999995</v>
      </c>
      <c r="R1126" s="87">
        <v>111</v>
      </c>
      <c r="T1126" s="235" t="str">
        <f t="shared" si="1826"/>
        <v xml:space="preserve"> </v>
      </c>
    </row>
    <row r="1127" spans="1:21" x14ac:dyDescent="0.25">
      <c r="F1127" s="11"/>
      <c r="G1127" s="11"/>
      <c r="H1127" s="11"/>
      <c r="I1127" s="11"/>
      <c r="J1127" s="11"/>
      <c r="K1127" s="11"/>
      <c r="R1127" s="88"/>
      <c r="T1127" s="235" t="str">
        <f t="shared" si="1826"/>
        <v xml:space="preserve"> </v>
      </c>
    </row>
    <row r="1128" spans="1:21" ht="30" x14ac:dyDescent="0.25">
      <c r="A1128" s="156"/>
      <c r="B1128" s="3" t="s">
        <v>422</v>
      </c>
      <c r="C1128" s="3"/>
      <c r="D1128" s="4"/>
      <c r="E1128" s="15"/>
      <c r="F1128" s="10"/>
      <c r="G1128" s="10"/>
      <c r="H1128" s="10"/>
      <c r="I1128" s="10"/>
      <c r="J1128" s="10"/>
      <c r="K1128" s="10"/>
      <c r="L1128" s="23"/>
      <c r="M1128" s="23"/>
      <c r="N1128" s="23"/>
      <c r="O1128" s="23"/>
      <c r="P1128" s="23"/>
      <c r="Q1128" s="23"/>
      <c r="R1128" s="86"/>
      <c r="T1128" s="235" t="str">
        <f t="shared" si="1826"/>
        <v xml:space="preserve"> </v>
      </c>
    </row>
    <row r="1129" spans="1:21" ht="30" x14ac:dyDescent="0.25">
      <c r="A1129" s="156"/>
      <c r="B1129" s="3" t="s">
        <v>423</v>
      </c>
      <c r="C1129" s="3" t="s">
        <v>138</v>
      </c>
      <c r="D1129" s="4"/>
      <c r="E1129" s="15"/>
      <c r="F1129" s="10"/>
      <c r="G1129" s="10"/>
      <c r="H1129" s="10"/>
      <c r="I1129" s="10"/>
      <c r="J1129" s="10"/>
      <c r="K1129" s="10"/>
      <c r="L1129" s="23"/>
      <c r="M1129" s="23"/>
      <c r="N1129" s="23"/>
      <c r="O1129" s="23"/>
      <c r="P1129" s="23"/>
      <c r="Q1129" s="23"/>
      <c r="R1129" s="86"/>
      <c r="T1129" s="235" t="str">
        <f t="shared" si="1826"/>
        <v xml:space="preserve"> </v>
      </c>
    </row>
    <row r="1130" spans="1:21" ht="30" x14ac:dyDescent="0.25">
      <c r="A1130" s="156">
        <v>143</v>
      </c>
      <c r="B1130" s="3" t="s">
        <v>424</v>
      </c>
      <c r="C1130" s="3" t="s">
        <v>616</v>
      </c>
      <c r="D1130" s="4" t="s">
        <v>88</v>
      </c>
      <c r="E1130" s="15"/>
      <c r="F1130" s="10"/>
      <c r="G1130" s="10"/>
      <c r="H1130" s="26">
        <f>VLOOKUP($A1130,'Model Inputs'!$A:$C,3,FALSE)</f>
        <v>1000</v>
      </c>
      <c r="I1130" s="10"/>
      <c r="J1130" s="10">
        <f>SUBTOTAL(9,J1131:J1133)</f>
        <v>767.25</v>
      </c>
      <c r="K1130" s="10"/>
      <c r="L1130" s="10">
        <f>ROUNDUP(MAX(L1131:L1133)/Workhrs,0)</f>
        <v>1</v>
      </c>
      <c r="M1130" s="10">
        <f>SUBTOTAL(9,M1131:M1133)</f>
        <v>129.75</v>
      </c>
      <c r="N1130" s="10">
        <f t="shared" ref="N1130:Q1130" si="1871">SUBTOTAL(9,N1131:N1133)</f>
        <v>0</v>
      </c>
      <c r="O1130" s="10">
        <f t="shared" si="1871"/>
        <v>637.5</v>
      </c>
      <c r="P1130" s="10">
        <f t="shared" si="1871"/>
        <v>0</v>
      </c>
      <c r="Q1130" s="10">
        <f t="shared" si="1871"/>
        <v>767.25</v>
      </c>
      <c r="R1130" s="86"/>
      <c r="T1130" s="235" t="str">
        <f t="shared" si="1826"/>
        <v xml:space="preserve"> </v>
      </c>
    </row>
    <row r="1131" spans="1:21" x14ac:dyDescent="0.25">
      <c r="A1131" s="157">
        <v>143.1</v>
      </c>
      <c r="B1131" s="6">
        <v>1</v>
      </c>
      <c r="C1131" s="9" t="s">
        <v>78</v>
      </c>
      <c r="D1131" s="6" t="s">
        <v>26</v>
      </c>
      <c r="E1131" s="17" t="str">
        <f>VLOOKUP(C1131,Resources!B:G,3,FALSE)</f>
        <v>P</v>
      </c>
      <c r="F1131" s="12">
        <v>1</v>
      </c>
      <c r="G1131" s="26">
        <f>VLOOKUP($A1131,'Model Inputs'!$A:$C,3,FALSE)</f>
        <v>400</v>
      </c>
      <c r="H1131" s="12">
        <f>H1130</f>
        <v>1000</v>
      </c>
      <c r="I1131" s="12">
        <f>VLOOKUP(C1131,Resources!B:G,6,FALSE)</f>
        <v>160</v>
      </c>
      <c r="J1131" s="21">
        <f t="shared" ref="J1131:J1133" si="1872">(H1131/G1131)*I1131*F1131</f>
        <v>400</v>
      </c>
      <c r="K1131" s="21">
        <f t="shared" ref="K1131:K1133" si="1873">IF(E1131="M"," ",L1131*F1131)</f>
        <v>2.5</v>
      </c>
      <c r="L1131" s="24">
        <f t="shared" ref="L1131:L1133" si="1874">IF(E1131="M"," ",H1131/G1131)</f>
        <v>2.5</v>
      </c>
      <c r="M1131" s="24">
        <f t="shared" ref="M1131:M1133" si="1875">IF($E1131="L",$J1131,0)</f>
        <v>0</v>
      </c>
      <c r="N1131" s="24">
        <f t="shared" ref="N1131:N1133" si="1876">IF($E1131="M",$J1131,0)</f>
        <v>0</v>
      </c>
      <c r="O1131" s="24">
        <f t="shared" ref="O1131:O1133" si="1877">IF($E1131="P",$J1131,0)</f>
        <v>400</v>
      </c>
      <c r="P1131" s="24">
        <f t="shared" ref="P1131:P1133" si="1878">IF($E1131="S",$J1131,0)</f>
        <v>0</v>
      </c>
      <c r="Q1131" s="24">
        <f t="shared" ref="Q1131:Q1133" si="1879">SUM(M1131:P1131)</f>
        <v>400</v>
      </c>
      <c r="R1131" s="87">
        <v>59</v>
      </c>
      <c r="T1131" s="235" t="str">
        <f t="shared" si="1826"/>
        <v xml:space="preserve"> </v>
      </c>
    </row>
    <row r="1132" spans="1:21" x14ac:dyDescent="0.25">
      <c r="A1132" s="157"/>
      <c r="B1132" s="6">
        <v>2</v>
      </c>
      <c r="C1132" s="9" t="s">
        <v>28</v>
      </c>
      <c r="D1132" s="6" t="s">
        <v>26</v>
      </c>
      <c r="E1132" s="17" t="str">
        <f>VLOOKUP(C1132,Resources!B:G,3,FALSE)</f>
        <v>P</v>
      </c>
      <c r="F1132" s="12">
        <v>1</v>
      </c>
      <c r="G1132" s="12">
        <f>G1131</f>
        <v>400</v>
      </c>
      <c r="H1132" s="12">
        <f>H1130</f>
        <v>1000</v>
      </c>
      <c r="I1132" s="12">
        <f>VLOOKUP(C1132,Resources!B:G,6,FALSE)</f>
        <v>95</v>
      </c>
      <c r="J1132" s="21">
        <f t="shared" si="1872"/>
        <v>237.5</v>
      </c>
      <c r="K1132" s="21">
        <f t="shared" si="1873"/>
        <v>2.5</v>
      </c>
      <c r="L1132" s="24">
        <f t="shared" si="1874"/>
        <v>2.5</v>
      </c>
      <c r="M1132" s="24">
        <f t="shared" si="1875"/>
        <v>0</v>
      </c>
      <c r="N1132" s="24">
        <f t="shared" si="1876"/>
        <v>0</v>
      </c>
      <c r="O1132" s="24">
        <f t="shared" si="1877"/>
        <v>237.5</v>
      </c>
      <c r="P1132" s="24">
        <f t="shared" si="1878"/>
        <v>0</v>
      </c>
      <c r="Q1132" s="24">
        <f t="shared" si="1879"/>
        <v>237.5</v>
      </c>
      <c r="R1132" s="87">
        <v>59</v>
      </c>
      <c r="T1132" s="235" t="str">
        <f t="shared" si="1826"/>
        <v xml:space="preserve"> </v>
      </c>
    </row>
    <row r="1133" spans="1:21" x14ac:dyDescent="0.25">
      <c r="A1133" s="157"/>
      <c r="B1133" s="6">
        <v>3</v>
      </c>
      <c r="C1133" s="9" t="s">
        <v>8</v>
      </c>
      <c r="D1133" s="6" t="s">
        <v>26</v>
      </c>
      <c r="E1133" s="17" t="str">
        <f>VLOOKUP(C1133,Resources!B:G,3,FALSE)</f>
        <v>L</v>
      </c>
      <c r="F1133" s="12">
        <v>1</v>
      </c>
      <c r="G1133" s="12">
        <f>G1131</f>
        <v>400</v>
      </c>
      <c r="H1133" s="12">
        <f>H1130</f>
        <v>1000</v>
      </c>
      <c r="I1133" s="12">
        <f>VLOOKUP(C1133,Resources!B:G,6,FALSE)</f>
        <v>51.9</v>
      </c>
      <c r="J1133" s="21">
        <f t="shared" si="1872"/>
        <v>129.75</v>
      </c>
      <c r="K1133" s="21">
        <f t="shared" si="1873"/>
        <v>2.5</v>
      </c>
      <c r="L1133" s="24">
        <f t="shared" si="1874"/>
        <v>2.5</v>
      </c>
      <c r="M1133" s="24">
        <f t="shared" si="1875"/>
        <v>129.75</v>
      </c>
      <c r="N1133" s="24">
        <f t="shared" si="1876"/>
        <v>0</v>
      </c>
      <c r="O1133" s="24">
        <f t="shared" si="1877"/>
        <v>0</v>
      </c>
      <c r="P1133" s="24">
        <f t="shared" si="1878"/>
        <v>0</v>
      </c>
      <c r="Q1133" s="24">
        <f t="shared" si="1879"/>
        <v>129.75</v>
      </c>
      <c r="R1133" s="87">
        <v>59</v>
      </c>
      <c r="T1133" s="235" t="str">
        <f t="shared" si="1826"/>
        <v xml:space="preserve"> </v>
      </c>
    </row>
    <row r="1134" spans="1:21" x14ac:dyDescent="0.25">
      <c r="F1134" s="11"/>
      <c r="G1134" s="11"/>
      <c r="H1134" s="11"/>
      <c r="I1134" s="11"/>
      <c r="J1134" s="11"/>
      <c r="K1134" s="11"/>
      <c r="R1134" s="88"/>
      <c r="T1134" s="235" t="str">
        <f t="shared" si="1826"/>
        <v xml:space="preserve"> </v>
      </c>
    </row>
    <row r="1135" spans="1:21" ht="30" x14ac:dyDescent="0.25">
      <c r="A1135" s="156">
        <v>144</v>
      </c>
      <c r="B1135" s="3" t="s">
        <v>425</v>
      </c>
      <c r="C1135" s="3" t="s">
        <v>141</v>
      </c>
      <c r="D1135" s="4" t="s">
        <v>88</v>
      </c>
      <c r="E1135" s="15"/>
      <c r="F1135" s="10"/>
      <c r="G1135" s="10"/>
      <c r="H1135" s="26">
        <f>VLOOKUP($A1135,'Model Inputs'!$A:$C,3,FALSE)</f>
        <v>1000</v>
      </c>
      <c r="I1135" s="10"/>
      <c r="J1135" s="10">
        <f>SUBTOTAL(9,J1136:J1137)</f>
        <v>1125</v>
      </c>
      <c r="K1135" s="10"/>
      <c r="L1135" s="10">
        <f>ROUNDUP(MAX(L1136:L1137)/1500,0)</f>
        <v>1</v>
      </c>
      <c r="M1135" s="10">
        <f t="shared" ref="M1135:Q1135" si="1880">SUBTOTAL(9,M1136:M1137)</f>
        <v>0</v>
      </c>
      <c r="N1135" s="10">
        <f t="shared" si="1880"/>
        <v>0</v>
      </c>
      <c r="O1135" s="10">
        <f t="shared" si="1880"/>
        <v>190</v>
      </c>
      <c r="P1135" s="10">
        <f t="shared" si="1880"/>
        <v>935</v>
      </c>
      <c r="Q1135" s="10">
        <f t="shared" si="1880"/>
        <v>1125</v>
      </c>
      <c r="R1135" s="86"/>
      <c r="T1135" s="235" t="str">
        <f t="shared" si="1826"/>
        <v xml:space="preserve"> </v>
      </c>
    </row>
    <row r="1136" spans="1:21" x14ac:dyDescent="0.25">
      <c r="A1136" s="157"/>
      <c r="B1136" s="6">
        <v>1</v>
      </c>
      <c r="C1136" s="9" t="s">
        <v>142</v>
      </c>
      <c r="D1136" s="6" t="s">
        <v>109</v>
      </c>
      <c r="E1136" s="17" t="str">
        <f>VLOOKUP(C1136,Resources!B:G,3,FALSE)</f>
        <v>S</v>
      </c>
      <c r="F1136" s="12">
        <v>1</v>
      </c>
      <c r="G1136" s="12">
        <v>1</v>
      </c>
      <c r="H1136" s="12">
        <f>H1135*1.1</f>
        <v>1100</v>
      </c>
      <c r="I1136" s="12">
        <f>VLOOKUP(C1136,Resources!B:G,6,FALSE)</f>
        <v>0.85</v>
      </c>
      <c r="J1136" s="21">
        <f t="shared" ref="J1136:J1137" si="1881">(H1136/G1136)*I1136*F1136</f>
        <v>935</v>
      </c>
      <c r="K1136" s="21">
        <f t="shared" ref="K1136:K1137" si="1882">IF(E1136="M"," ",L1136*F1136)</f>
        <v>1100</v>
      </c>
      <c r="L1136" s="24">
        <f t="shared" ref="L1136:L1137" si="1883">IF(E1136="M"," ",H1136/G1136)</f>
        <v>1100</v>
      </c>
      <c r="M1136" s="24">
        <f t="shared" ref="M1136:M1137" si="1884">IF($E1136="L",$J1136,0)</f>
        <v>0</v>
      </c>
      <c r="N1136" s="24">
        <f t="shared" ref="N1136:N1137" si="1885">IF($E1136="M",$J1136,0)</f>
        <v>0</v>
      </c>
      <c r="O1136" s="24">
        <f t="shared" ref="O1136:O1137" si="1886">IF($E1136="P",$J1136,0)</f>
        <v>0</v>
      </c>
      <c r="P1136" s="24">
        <f t="shared" ref="P1136:P1137" si="1887">IF($E1136="S",$J1136,0)</f>
        <v>935</v>
      </c>
      <c r="Q1136" s="24">
        <f t="shared" ref="Q1136:Q1137" si="1888">SUM(M1136:P1136)</f>
        <v>935</v>
      </c>
      <c r="R1136" s="87">
        <v>121</v>
      </c>
      <c r="T1136" s="235" t="str">
        <f t="shared" si="1826"/>
        <v xml:space="preserve"> </v>
      </c>
    </row>
    <row r="1137" spans="1:20" x14ac:dyDescent="0.25">
      <c r="A1137" s="157">
        <v>144.1</v>
      </c>
      <c r="B1137" s="6">
        <v>2</v>
      </c>
      <c r="C1137" s="9" t="s">
        <v>28</v>
      </c>
      <c r="D1137" s="6" t="s">
        <v>26</v>
      </c>
      <c r="E1137" s="17" t="str">
        <f>VLOOKUP(C1137,Resources!B:G,3,FALSE)</f>
        <v>P</v>
      </c>
      <c r="F1137" s="12">
        <v>1</v>
      </c>
      <c r="G1137" s="26">
        <f>VLOOKUP($A1137,'Model Inputs'!$A:$C,3,FALSE)</f>
        <v>550</v>
      </c>
      <c r="H1137" s="12">
        <f>H1136</f>
        <v>1100</v>
      </c>
      <c r="I1137" s="12">
        <f>VLOOKUP(C1137,Resources!B:G,6,FALSE)</f>
        <v>95</v>
      </c>
      <c r="J1137" s="21">
        <f t="shared" si="1881"/>
        <v>190</v>
      </c>
      <c r="K1137" s="21">
        <f t="shared" si="1882"/>
        <v>2</v>
      </c>
      <c r="L1137" s="24">
        <f t="shared" si="1883"/>
        <v>2</v>
      </c>
      <c r="M1137" s="24">
        <f t="shared" si="1884"/>
        <v>0</v>
      </c>
      <c r="N1137" s="24">
        <f t="shared" si="1885"/>
        <v>0</v>
      </c>
      <c r="O1137" s="24">
        <f t="shared" si="1886"/>
        <v>190</v>
      </c>
      <c r="P1137" s="24">
        <f t="shared" si="1887"/>
        <v>0</v>
      </c>
      <c r="Q1137" s="24">
        <f t="shared" si="1888"/>
        <v>190</v>
      </c>
      <c r="R1137" s="87">
        <v>121</v>
      </c>
      <c r="T1137" s="235" t="str">
        <f t="shared" si="1826"/>
        <v xml:space="preserve"> </v>
      </c>
    </row>
    <row r="1138" spans="1:20" x14ac:dyDescent="0.25">
      <c r="F1138" s="11"/>
      <c r="G1138" s="11"/>
      <c r="H1138" s="11"/>
      <c r="I1138" s="11"/>
      <c r="J1138" s="11"/>
      <c r="K1138" s="11"/>
      <c r="R1138" s="88"/>
      <c r="T1138" s="235" t="str">
        <f t="shared" si="1826"/>
        <v xml:space="preserve"> </v>
      </c>
    </row>
    <row r="1139" spans="1:20" ht="30" x14ac:dyDescent="0.25">
      <c r="A1139" s="156">
        <v>145</v>
      </c>
      <c r="B1139" s="3" t="s">
        <v>426</v>
      </c>
      <c r="C1139" s="3" t="s">
        <v>144</v>
      </c>
      <c r="D1139" s="4" t="s">
        <v>145</v>
      </c>
      <c r="E1139" s="15"/>
      <c r="F1139" s="10"/>
      <c r="G1139" s="10"/>
      <c r="H1139" s="26">
        <f>VLOOKUP($A1139,'Model Inputs'!$A:$C,3,FALSE)</f>
        <v>6</v>
      </c>
      <c r="I1139" s="10"/>
      <c r="J1139" s="10">
        <f>SUBTOTAL(9,J1140:J1143)</f>
        <v>1626.4</v>
      </c>
      <c r="K1139" s="10"/>
      <c r="L1139" s="10">
        <f>ROUNDUP(MAX(L1140:L1143)/Workhrs,0)</f>
        <v>1</v>
      </c>
      <c r="M1139" s="10">
        <f t="shared" ref="M1139:Q1139" si="1889">SUBTOTAL(9,M1140:M1143)</f>
        <v>311.39999999999998</v>
      </c>
      <c r="N1139" s="10">
        <f t="shared" si="1889"/>
        <v>945</v>
      </c>
      <c r="O1139" s="10">
        <f t="shared" si="1889"/>
        <v>370</v>
      </c>
      <c r="P1139" s="10">
        <f t="shared" si="1889"/>
        <v>0</v>
      </c>
      <c r="Q1139" s="10">
        <f t="shared" si="1889"/>
        <v>1626.4</v>
      </c>
      <c r="R1139" s="86"/>
      <c r="T1139" s="235" t="str">
        <f t="shared" si="1826"/>
        <v xml:space="preserve"> </v>
      </c>
    </row>
    <row r="1140" spans="1:20" x14ac:dyDescent="0.25">
      <c r="A1140" s="157"/>
      <c r="B1140" s="6">
        <v>1</v>
      </c>
      <c r="C1140" s="9" t="s">
        <v>146</v>
      </c>
      <c r="D1140" s="6" t="s">
        <v>100</v>
      </c>
      <c r="E1140" s="17" t="str">
        <f>VLOOKUP(C1140,Resources!B:G,3,FALSE)</f>
        <v>M</v>
      </c>
      <c r="F1140" s="12">
        <v>1</v>
      </c>
      <c r="G1140" s="12">
        <v>1</v>
      </c>
      <c r="H1140" s="12">
        <f>H1139*4.5</f>
        <v>27</v>
      </c>
      <c r="I1140" s="12">
        <f>VLOOKUP(C1140,Resources!B:G,6,FALSE)</f>
        <v>35</v>
      </c>
      <c r="J1140" s="21">
        <f t="shared" ref="J1140:J1143" si="1890">(H1140/G1140)*I1140*F1140</f>
        <v>945</v>
      </c>
      <c r="K1140" s="21" t="str">
        <f t="shared" ref="K1140:K1143" si="1891">IF(E1140="M"," ",L1140*F1140)</f>
        <v xml:space="preserve"> </v>
      </c>
      <c r="L1140" s="24" t="str">
        <f t="shared" ref="L1140:L1143" si="1892">IF(E1140="M"," ",H1140/G1140)</f>
        <v xml:space="preserve"> </v>
      </c>
      <c r="M1140" s="24">
        <f t="shared" ref="M1140:M1143" si="1893">IF($E1140="L",$J1140,0)</f>
        <v>0</v>
      </c>
      <c r="N1140" s="24">
        <f t="shared" ref="N1140:N1143" si="1894">IF($E1140="M",$J1140,0)</f>
        <v>945</v>
      </c>
      <c r="O1140" s="24">
        <f t="shared" ref="O1140:O1143" si="1895">IF($E1140="P",$J1140,0)</f>
        <v>0</v>
      </c>
      <c r="P1140" s="24">
        <f t="shared" ref="P1140:P1143" si="1896">IF($E1140="S",$J1140,0)</f>
        <v>0</v>
      </c>
      <c r="Q1140" s="24">
        <f t="shared" ref="Q1140:Q1143" si="1897">SUM(M1140:P1140)</f>
        <v>945</v>
      </c>
      <c r="R1140" s="87" t="s">
        <v>540</v>
      </c>
      <c r="T1140" s="235" t="str">
        <f t="shared" si="1826"/>
        <v xml:space="preserve"> </v>
      </c>
    </row>
    <row r="1141" spans="1:20" x14ac:dyDescent="0.25">
      <c r="A1141" s="157">
        <v>145.1</v>
      </c>
      <c r="B1141" s="6">
        <v>2</v>
      </c>
      <c r="C1141" s="9" t="s">
        <v>82</v>
      </c>
      <c r="D1141" s="6" t="s">
        <v>26</v>
      </c>
      <c r="E1141" s="17" t="str">
        <f>VLOOKUP(C1141,Resources!B:G,3,FALSE)</f>
        <v>P</v>
      </c>
      <c r="F1141" s="12">
        <v>1</v>
      </c>
      <c r="G1141" s="26">
        <f>VLOOKUP($A1141,'Model Inputs'!$A:$C,3,FALSE)</f>
        <v>3</v>
      </c>
      <c r="H1141" s="12">
        <f>H1139</f>
        <v>6</v>
      </c>
      <c r="I1141" s="12">
        <f>VLOOKUP(C1141,Resources!B:G,6,FALSE)</f>
        <v>95</v>
      </c>
      <c r="J1141" s="21">
        <f t="shared" si="1890"/>
        <v>190</v>
      </c>
      <c r="K1141" s="21">
        <f t="shared" si="1891"/>
        <v>2</v>
      </c>
      <c r="L1141" s="24">
        <f t="shared" si="1892"/>
        <v>2</v>
      </c>
      <c r="M1141" s="24">
        <f t="shared" si="1893"/>
        <v>0</v>
      </c>
      <c r="N1141" s="24">
        <f t="shared" si="1894"/>
        <v>0</v>
      </c>
      <c r="O1141" s="24">
        <f t="shared" si="1895"/>
        <v>190</v>
      </c>
      <c r="P1141" s="24">
        <f t="shared" si="1896"/>
        <v>0</v>
      </c>
      <c r="Q1141" s="24">
        <f t="shared" si="1897"/>
        <v>190</v>
      </c>
      <c r="R1141" s="87">
        <v>81</v>
      </c>
      <c r="T1141" s="235" t="str">
        <f t="shared" si="1826"/>
        <v xml:space="preserve"> </v>
      </c>
    </row>
    <row r="1142" spans="1:20" x14ac:dyDescent="0.25">
      <c r="A1142" s="157"/>
      <c r="B1142" s="6">
        <v>3</v>
      </c>
      <c r="C1142" s="9" t="s">
        <v>8</v>
      </c>
      <c r="D1142" s="6" t="s">
        <v>26</v>
      </c>
      <c r="E1142" s="17" t="str">
        <f>VLOOKUP(C1142,Resources!B:G,3,FALSE)</f>
        <v>L</v>
      </c>
      <c r="F1142" s="12">
        <v>3</v>
      </c>
      <c r="G1142" s="12">
        <f>G1141</f>
        <v>3</v>
      </c>
      <c r="H1142" s="12">
        <f>H1139</f>
        <v>6</v>
      </c>
      <c r="I1142" s="12">
        <f>VLOOKUP(C1142,Resources!B:G,6,FALSE)</f>
        <v>51.9</v>
      </c>
      <c r="J1142" s="21">
        <f t="shared" si="1890"/>
        <v>311.39999999999998</v>
      </c>
      <c r="K1142" s="21">
        <f t="shared" si="1891"/>
        <v>6</v>
      </c>
      <c r="L1142" s="24">
        <f t="shared" si="1892"/>
        <v>2</v>
      </c>
      <c r="M1142" s="24">
        <f t="shared" si="1893"/>
        <v>311.39999999999998</v>
      </c>
      <c r="N1142" s="24">
        <f t="shared" si="1894"/>
        <v>0</v>
      </c>
      <c r="O1142" s="24">
        <f t="shared" si="1895"/>
        <v>0</v>
      </c>
      <c r="P1142" s="24">
        <f t="shared" si="1896"/>
        <v>0</v>
      </c>
      <c r="Q1142" s="24">
        <f t="shared" si="1897"/>
        <v>311.39999999999998</v>
      </c>
      <c r="R1142" s="87">
        <v>81</v>
      </c>
      <c r="T1142" s="235" t="str">
        <f t="shared" si="1826"/>
        <v xml:space="preserve"> </v>
      </c>
    </row>
    <row r="1143" spans="1:20" x14ac:dyDescent="0.25">
      <c r="A1143" s="157"/>
      <c r="B1143" s="6">
        <v>4</v>
      </c>
      <c r="C1143" s="9" t="s">
        <v>27</v>
      </c>
      <c r="D1143" s="6" t="s">
        <v>26</v>
      </c>
      <c r="E1143" s="17" t="str">
        <f>VLOOKUP(C1143,Resources!B:G,3,FALSE)</f>
        <v>P</v>
      </c>
      <c r="F1143" s="12">
        <v>1</v>
      </c>
      <c r="G1143" s="12">
        <f>G1141</f>
        <v>3</v>
      </c>
      <c r="H1143" s="12">
        <f>H1139</f>
        <v>6</v>
      </c>
      <c r="I1143" s="12">
        <f>VLOOKUP(C1143,Resources!B:G,6,FALSE)</f>
        <v>90</v>
      </c>
      <c r="J1143" s="21">
        <f t="shared" si="1890"/>
        <v>180</v>
      </c>
      <c r="K1143" s="21">
        <f t="shared" si="1891"/>
        <v>2</v>
      </c>
      <c r="L1143" s="24">
        <f t="shared" si="1892"/>
        <v>2</v>
      </c>
      <c r="M1143" s="24">
        <f t="shared" si="1893"/>
        <v>0</v>
      </c>
      <c r="N1143" s="24">
        <f t="shared" si="1894"/>
        <v>0</v>
      </c>
      <c r="O1143" s="24">
        <f t="shared" si="1895"/>
        <v>180</v>
      </c>
      <c r="P1143" s="24">
        <f t="shared" si="1896"/>
        <v>0</v>
      </c>
      <c r="Q1143" s="24">
        <f t="shared" si="1897"/>
        <v>180</v>
      </c>
      <c r="R1143" s="87">
        <v>81</v>
      </c>
      <c r="T1143" s="235" t="str">
        <f t="shared" si="1826"/>
        <v xml:space="preserve"> </v>
      </c>
    </row>
    <row r="1144" spans="1:20" x14ac:dyDescent="0.25">
      <c r="F1144" s="11"/>
      <c r="G1144" s="11"/>
      <c r="H1144" s="11"/>
      <c r="I1144" s="11"/>
      <c r="J1144" s="11"/>
      <c r="K1144" s="11"/>
      <c r="R1144" s="88"/>
      <c r="T1144" s="235" t="str">
        <f t="shared" si="1826"/>
        <v xml:space="preserve"> </v>
      </c>
    </row>
    <row r="1145" spans="1:20" ht="30" x14ac:dyDescent="0.25">
      <c r="A1145" s="156"/>
      <c r="B1145" s="3" t="s">
        <v>427</v>
      </c>
      <c r="C1145" s="3" t="s">
        <v>148</v>
      </c>
      <c r="D1145" s="4"/>
      <c r="E1145" s="15"/>
      <c r="F1145" s="10"/>
      <c r="G1145" s="10"/>
      <c r="H1145" s="10"/>
      <c r="I1145" s="10"/>
      <c r="J1145" s="10"/>
      <c r="K1145" s="10"/>
      <c r="L1145" s="23"/>
      <c r="M1145" s="23"/>
      <c r="N1145" s="23"/>
      <c r="O1145" s="23"/>
      <c r="P1145" s="23"/>
      <c r="Q1145" s="23"/>
      <c r="R1145" s="86"/>
      <c r="T1145" s="235" t="str">
        <f t="shared" si="1826"/>
        <v xml:space="preserve"> </v>
      </c>
    </row>
    <row r="1146" spans="1:20" ht="30" x14ac:dyDescent="0.25">
      <c r="A1146" s="156">
        <v>146</v>
      </c>
      <c r="B1146" s="3" t="s">
        <v>428</v>
      </c>
      <c r="C1146" s="3" t="s">
        <v>348</v>
      </c>
      <c r="D1146" s="4" t="s">
        <v>145</v>
      </c>
      <c r="E1146" s="15"/>
      <c r="F1146" s="10"/>
      <c r="G1146" s="10"/>
      <c r="H1146" s="26">
        <f>VLOOKUP($A1146,'Model Inputs'!$A:$C,3,FALSE)</f>
        <v>10</v>
      </c>
      <c r="I1146" s="10"/>
      <c r="J1146" s="10">
        <f>SUBTOTAL(9,J1147)</f>
        <v>500</v>
      </c>
      <c r="K1146" s="10"/>
      <c r="L1146" s="10">
        <v>1</v>
      </c>
      <c r="M1146" s="10">
        <f t="shared" ref="M1146:Q1146" si="1898">SUBTOTAL(9,M1147)</f>
        <v>0</v>
      </c>
      <c r="N1146" s="10">
        <f t="shared" si="1898"/>
        <v>500</v>
      </c>
      <c r="O1146" s="10">
        <f t="shared" si="1898"/>
        <v>0</v>
      </c>
      <c r="P1146" s="10">
        <f t="shared" si="1898"/>
        <v>0</v>
      </c>
      <c r="Q1146" s="10">
        <f t="shared" si="1898"/>
        <v>500</v>
      </c>
      <c r="R1146" s="86"/>
      <c r="T1146" s="235" t="str">
        <f t="shared" si="1826"/>
        <v xml:space="preserve"> </v>
      </c>
    </row>
    <row r="1147" spans="1:20" x14ac:dyDescent="0.25">
      <c r="A1147" s="157"/>
      <c r="B1147" s="6">
        <v>1</v>
      </c>
      <c r="C1147" s="9" t="s">
        <v>151</v>
      </c>
      <c r="D1147" s="6" t="s">
        <v>31</v>
      </c>
      <c r="E1147" s="17" t="str">
        <f>VLOOKUP(C1147,Resources!B:G,3,FALSE)</f>
        <v>M</v>
      </c>
      <c r="F1147" s="12">
        <v>1</v>
      </c>
      <c r="G1147" s="12">
        <v>1</v>
      </c>
      <c r="H1147" s="12">
        <f>H1146</f>
        <v>10</v>
      </c>
      <c r="I1147" s="12">
        <f>VLOOKUP(C1147,Resources!B:G,6,FALSE)</f>
        <v>50</v>
      </c>
      <c r="J1147" s="21">
        <f t="shared" ref="J1147" si="1899">(H1147/G1147)*I1147*F1147</f>
        <v>500</v>
      </c>
      <c r="K1147" s="21" t="str">
        <f t="shared" ref="K1147" si="1900">IF(E1147="M"," ",L1147*F1147)</f>
        <v xml:space="preserve"> </v>
      </c>
      <c r="L1147" s="24" t="str">
        <f t="shared" ref="L1147" si="1901">IF(E1147="M"," ",H1147/G1147)</f>
        <v xml:space="preserve"> </v>
      </c>
      <c r="M1147" s="24">
        <f>IF($E1147="L",$J1147,0)</f>
        <v>0</v>
      </c>
      <c r="N1147" s="24">
        <f>IF($E1147="M",$J1147,0)</f>
        <v>500</v>
      </c>
      <c r="O1147" s="24">
        <f>IF($E1147="P",$J1147,0)</f>
        <v>0</v>
      </c>
      <c r="P1147" s="24">
        <f>IF($E1147="S",$J1147,0)</f>
        <v>0</v>
      </c>
      <c r="Q1147" s="24">
        <f>SUM(M1147:P1147)</f>
        <v>500</v>
      </c>
      <c r="R1147" s="87">
        <v>67</v>
      </c>
      <c r="T1147" s="235" t="str">
        <f t="shared" si="1826"/>
        <v xml:space="preserve"> </v>
      </c>
    </row>
    <row r="1148" spans="1:20" x14ac:dyDescent="0.25">
      <c r="F1148" s="11"/>
      <c r="G1148" s="11"/>
      <c r="H1148" s="11"/>
      <c r="I1148" s="11"/>
      <c r="J1148" s="11"/>
      <c r="K1148" s="11"/>
      <c r="R1148" s="88"/>
      <c r="T1148" s="235" t="str">
        <f t="shared" si="1826"/>
        <v xml:space="preserve"> </v>
      </c>
    </row>
    <row r="1149" spans="1:20" ht="30" x14ac:dyDescent="0.25">
      <c r="A1149" s="156">
        <v>147</v>
      </c>
      <c r="B1149" s="3" t="s">
        <v>429</v>
      </c>
      <c r="C1149" s="3" t="s">
        <v>350</v>
      </c>
      <c r="D1149" s="4" t="s">
        <v>145</v>
      </c>
      <c r="E1149" s="15"/>
      <c r="F1149" s="10"/>
      <c r="G1149" s="10"/>
      <c r="H1149" s="26">
        <f>VLOOKUP($A1149,'Model Inputs'!$A:$C,3,FALSE)</f>
        <v>1</v>
      </c>
      <c r="I1149" s="10"/>
      <c r="J1149" s="10">
        <f>SUBTOTAL(9,J1150:J1152)</f>
        <v>338.8</v>
      </c>
      <c r="K1149" s="10"/>
      <c r="L1149" s="10">
        <f>ROUNDUP(MAX(L1150:L1152),0)</f>
        <v>1</v>
      </c>
      <c r="M1149" s="10">
        <f t="shared" ref="M1149:Q1149" si="1902">SUBTOTAL(9,M1150:M1152)</f>
        <v>103.8</v>
      </c>
      <c r="N1149" s="10">
        <f t="shared" si="1902"/>
        <v>140</v>
      </c>
      <c r="O1149" s="10">
        <f t="shared" si="1902"/>
        <v>95</v>
      </c>
      <c r="P1149" s="10">
        <f t="shared" si="1902"/>
        <v>0</v>
      </c>
      <c r="Q1149" s="10">
        <f t="shared" si="1902"/>
        <v>338.8</v>
      </c>
      <c r="R1149" s="86"/>
      <c r="T1149" s="235" t="str">
        <f t="shared" si="1826"/>
        <v xml:space="preserve"> </v>
      </c>
    </row>
    <row r="1150" spans="1:20" x14ac:dyDescent="0.25">
      <c r="A1150" s="157"/>
      <c r="B1150" s="6">
        <v>1</v>
      </c>
      <c r="C1150" s="9" t="s">
        <v>154</v>
      </c>
      <c r="D1150" s="6" t="s">
        <v>31</v>
      </c>
      <c r="E1150" s="17" t="str">
        <f>VLOOKUP(C1150,Resources!B:G,3,FALSE)</f>
        <v>M</v>
      </c>
      <c r="F1150" s="12">
        <v>1</v>
      </c>
      <c r="G1150" s="12">
        <v>1</v>
      </c>
      <c r="H1150" s="12">
        <f>H1149</f>
        <v>1</v>
      </c>
      <c r="I1150" s="12">
        <f>VLOOKUP(C1150,Resources!B:G,6,FALSE)</f>
        <v>140</v>
      </c>
      <c r="J1150" s="21">
        <f t="shared" ref="J1150:J1152" si="1903">(H1150/G1150)*I1150*F1150</f>
        <v>140</v>
      </c>
      <c r="K1150" s="21" t="str">
        <f t="shared" ref="K1150:K1152" si="1904">IF(E1150="M"," ",L1150*F1150)</f>
        <v xml:space="preserve"> </v>
      </c>
      <c r="L1150" s="24" t="str">
        <f t="shared" ref="L1150:L1152" si="1905">IF(E1150="M"," ",H1150/G1150)</f>
        <v xml:space="preserve"> </v>
      </c>
      <c r="M1150" s="24">
        <f t="shared" ref="M1150:M1152" si="1906">IF($E1150="L",$J1150,0)</f>
        <v>0</v>
      </c>
      <c r="N1150" s="24">
        <f t="shared" ref="N1150:N1152" si="1907">IF($E1150="M",$J1150,0)</f>
        <v>140</v>
      </c>
      <c r="O1150" s="24">
        <f t="shared" ref="O1150:O1152" si="1908">IF($E1150="P",$J1150,0)</f>
        <v>0</v>
      </c>
      <c r="P1150" s="24">
        <f t="shared" ref="P1150:P1152" si="1909">IF($E1150="S",$J1150,0)</f>
        <v>0</v>
      </c>
      <c r="Q1150" s="24">
        <f t="shared" ref="Q1150:Q1152" si="1910">SUM(M1150:P1150)</f>
        <v>140</v>
      </c>
      <c r="R1150" s="87">
        <v>67</v>
      </c>
      <c r="T1150" s="235" t="str">
        <f t="shared" si="1826"/>
        <v xml:space="preserve"> </v>
      </c>
    </row>
    <row r="1151" spans="1:20" x14ac:dyDescent="0.25">
      <c r="A1151" s="157">
        <v>147.1</v>
      </c>
      <c r="B1151" s="6">
        <v>2</v>
      </c>
      <c r="C1151" s="9" t="s">
        <v>82</v>
      </c>
      <c r="D1151" s="6" t="s">
        <v>26</v>
      </c>
      <c r="E1151" s="17" t="str">
        <f>VLOOKUP(C1151,Resources!B:G,3,FALSE)</f>
        <v>P</v>
      </c>
      <c r="F1151" s="12">
        <v>1</v>
      </c>
      <c r="G1151" s="26">
        <f>VLOOKUP($A1151,'Model Inputs'!$A:$C,3,FALSE)</f>
        <v>1</v>
      </c>
      <c r="H1151" s="12">
        <f>H1149</f>
        <v>1</v>
      </c>
      <c r="I1151" s="12">
        <f>VLOOKUP(C1151,Resources!B:G,6,FALSE)</f>
        <v>95</v>
      </c>
      <c r="J1151" s="21">
        <f t="shared" si="1903"/>
        <v>95</v>
      </c>
      <c r="K1151" s="21">
        <f t="shared" si="1904"/>
        <v>1</v>
      </c>
      <c r="L1151" s="24">
        <f t="shared" si="1905"/>
        <v>1</v>
      </c>
      <c r="M1151" s="24">
        <f t="shared" si="1906"/>
        <v>0</v>
      </c>
      <c r="N1151" s="24">
        <f t="shared" si="1907"/>
        <v>0</v>
      </c>
      <c r="O1151" s="24">
        <f t="shared" si="1908"/>
        <v>95</v>
      </c>
      <c r="P1151" s="24">
        <f t="shared" si="1909"/>
        <v>0</v>
      </c>
      <c r="Q1151" s="24">
        <f t="shared" si="1910"/>
        <v>95</v>
      </c>
      <c r="R1151" s="87">
        <v>67</v>
      </c>
      <c r="T1151" s="235" t="str">
        <f t="shared" si="1826"/>
        <v xml:space="preserve"> </v>
      </c>
    </row>
    <row r="1152" spans="1:20" x14ac:dyDescent="0.25">
      <c r="A1152" s="157"/>
      <c r="B1152" s="6">
        <v>3</v>
      </c>
      <c r="C1152" s="9" t="s">
        <v>8</v>
      </c>
      <c r="D1152" s="6" t="s">
        <v>26</v>
      </c>
      <c r="E1152" s="17" t="str">
        <f>VLOOKUP(C1152,Resources!B:G,3,FALSE)</f>
        <v>L</v>
      </c>
      <c r="F1152" s="12">
        <v>2</v>
      </c>
      <c r="G1152" s="12">
        <f>G1151</f>
        <v>1</v>
      </c>
      <c r="H1152" s="12">
        <f>H1149</f>
        <v>1</v>
      </c>
      <c r="I1152" s="12">
        <f>VLOOKUP(C1152,Resources!B:G,6,FALSE)</f>
        <v>51.9</v>
      </c>
      <c r="J1152" s="21">
        <f t="shared" si="1903"/>
        <v>103.8</v>
      </c>
      <c r="K1152" s="21">
        <f t="shared" si="1904"/>
        <v>2</v>
      </c>
      <c r="L1152" s="24">
        <f t="shared" si="1905"/>
        <v>1</v>
      </c>
      <c r="M1152" s="24">
        <f t="shared" si="1906"/>
        <v>103.8</v>
      </c>
      <c r="N1152" s="24">
        <f t="shared" si="1907"/>
        <v>0</v>
      </c>
      <c r="O1152" s="24">
        <f t="shared" si="1908"/>
        <v>0</v>
      </c>
      <c r="P1152" s="24">
        <f t="shared" si="1909"/>
        <v>0</v>
      </c>
      <c r="Q1152" s="24">
        <f t="shared" si="1910"/>
        <v>103.8</v>
      </c>
      <c r="R1152" s="87">
        <v>67</v>
      </c>
      <c r="T1152" s="235" t="str">
        <f t="shared" si="1826"/>
        <v xml:space="preserve"> </v>
      </c>
    </row>
    <row r="1153" spans="1:21" x14ac:dyDescent="0.25">
      <c r="F1153" s="11"/>
      <c r="G1153" s="11"/>
      <c r="H1153" s="11"/>
      <c r="I1153" s="11"/>
      <c r="J1153" s="11"/>
      <c r="K1153" s="11"/>
      <c r="R1153" s="88"/>
      <c r="T1153" s="235" t="str">
        <f t="shared" si="1826"/>
        <v xml:space="preserve"> </v>
      </c>
    </row>
    <row r="1154" spans="1:21" ht="45" x14ac:dyDescent="0.25">
      <c r="A1154" s="156">
        <v>148</v>
      </c>
      <c r="B1154" s="3" t="s">
        <v>430</v>
      </c>
      <c r="C1154" s="3" t="s">
        <v>431</v>
      </c>
      <c r="D1154" s="4" t="s">
        <v>18</v>
      </c>
      <c r="E1154" s="15"/>
      <c r="F1154" s="10"/>
      <c r="G1154" s="10"/>
      <c r="H1154" s="26">
        <f>VLOOKUP($A1154,'Model Inputs'!$A:$C,3,FALSE)</f>
        <v>1</v>
      </c>
      <c r="I1154" s="10"/>
      <c r="J1154" s="10">
        <f>SUBTOTAL(9,J1155)</f>
        <v>7500</v>
      </c>
      <c r="K1154" s="10"/>
      <c r="L1154" s="10">
        <f>ROUNDUP(MAX(L1155)/7500,0)</f>
        <v>1</v>
      </c>
      <c r="M1154" s="10">
        <f t="shared" ref="M1154:Q1154" si="1911">SUBTOTAL(9,M1155)</f>
        <v>0</v>
      </c>
      <c r="N1154" s="10">
        <f t="shared" si="1911"/>
        <v>0</v>
      </c>
      <c r="O1154" s="10">
        <f t="shared" si="1911"/>
        <v>0</v>
      </c>
      <c r="P1154" s="10">
        <f t="shared" si="1911"/>
        <v>7500</v>
      </c>
      <c r="Q1154" s="10">
        <f t="shared" si="1911"/>
        <v>7500</v>
      </c>
      <c r="R1154" s="86"/>
      <c r="T1154" s="235" t="str">
        <f t="shared" si="1826"/>
        <v xml:space="preserve"> </v>
      </c>
    </row>
    <row r="1155" spans="1:21" x14ac:dyDescent="0.25">
      <c r="A1155" s="157"/>
      <c r="B1155" s="6">
        <v>1</v>
      </c>
      <c r="C1155" s="9" t="s">
        <v>353</v>
      </c>
      <c r="D1155" s="6" t="s">
        <v>109</v>
      </c>
      <c r="E1155" s="17" t="str">
        <f>VLOOKUP(C1155,Resources!B:G,3,FALSE)</f>
        <v>S</v>
      </c>
      <c r="F1155" s="12">
        <v>1</v>
      </c>
      <c r="G1155" s="12">
        <v>1</v>
      </c>
      <c r="H1155" s="12">
        <f>H1154*7500</f>
        <v>7500</v>
      </c>
      <c r="I1155" s="12">
        <f>VLOOKUP(C1155,Resources!B:G,6,FALSE)</f>
        <v>1</v>
      </c>
      <c r="J1155" s="21">
        <f t="shared" ref="J1155" si="1912">(H1155/G1155)*I1155*F1155</f>
        <v>7500</v>
      </c>
      <c r="K1155" s="21">
        <f t="shared" ref="K1155" si="1913">IF(E1155="M"," ",L1155*F1155)</f>
        <v>7500</v>
      </c>
      <c r="L1155" s="24">
        <f t="shared" ref="L1155" si="1914">IF(E1155="M"," ",H1155/G1155)</f>
        <v>7500</v>
      </c>
      <c r="M1155" s="24">
        <f>IF($E1155="L",$J1155,0)</f>
        <v>0</v>
      </c>
      <c r="N1155" s="24">
        <f>IF($E1155="M",$J1155,0)</f>
        <v>0</v>
      </c>
      <c r="O1155" s="24">
        <f>IF($E1155="P",$J1155,0)</f>
        <v>0</v>
      </c>
      <c r="P1155" s="24">
        <f>IF($E1155="S",$J1155,0)</f>
        <v>7500</v>
      </c>
      <c r="Q1155" s="24">
        <f>SUM(M1155:P1155)</f>
        <v>7500</v>
      </c>
      <c r="R1155" s="87">
        <v>66</v>
      </c>
      <c r="T1155" s="235" t="str">
        <f t="shared" si="1826"/>
        <v xml:space="preserve"> </v>
      </c>
    </row>
    <row r="1156" spans="1:21" s="18" customFormat="1" x14ac:dyDescent="0.25">
      <c r="A1156" s="158"/>
      <c r="B1156" s="5"/>
      <c r="C1156" s="8"/>
      <c r="D1156" s="5"/>
      <c r="E1156" s="16"/>
      <c r="F1156" s="5"/>
      <c r="G1156" s="5"/>
      <c r="H1156" s="5"/>
      <c r="I1156" s="5"/>
      <c r="J1156" s="5"/>
      <c r="K1156" s="5"/>
      <c r="L1156" s="25"/>
      <c r="M1156" s="25"/>
      <c r="N1156" s="25"/>
      <c r="O1156" s="25"/>
      <c r="P1156" s="25"/>
      <c r="Q1156" s="25"/>
      <c r="R1156" s="16"/>
      <c r="T1156" s="235" t="str">
        <f t="shared" si="1826"/>
        <v xml:space="preserve"> </v>
      </c>
      <c r="U1156" s="232"/>
    </row>
    <row r="1157" spans="1:21" s="57" customFormat="1" x14ac:dyDescent="0.25">
      <c r="A1157" s="158"/>
      <c r="B1157" s="5"/>
      <c r="C1157" s="8"/>
      <c r="D1157" s="5"/>
      <c r="E1157" s="16"/>
      <c r="F1157" s="5"/>
      <c r="G1157" s="5"/>
      <c r="H1157" s="5"/>
      <c r="I1157" s="5"/>
      <c r="J1157" s="5"/>
      <c r="K1157" s="5"/>
      <c r="L1157" s="25"/>
      <c r="M1157" s="25"/>
      <c r="N1157" s="25"/>
      <c r="O1157" s="25"/>
      <c r="P1157" s="25"/>
      <c r="Q1157" s="25"/>
      <c r="R1157" s="16"/>
      <c r="T1157" s="235" t="str">
        <f t="shared" si="1826"/>
        <v xml:space="preserve"> </v>
      </c>
      <c r="U1157" s="232"/>
    </row>
    <row r="1158" spans="1:21" s="57" customFormat="1" x14ac:dyDescent="0.25">
      <c r="A1158" s="144"/>
      <c r="B1158" s="5"/>
      <c r="C1158" s="8"/>
      <c r="D1158" s="16"/>
      <c r="E1158" s="16"/>
      <c r="F1158" s="5"/>
      <c r="G1158" s="5"/>
      <c r="H1158" s="5"/>
      <c r="I1158" s="5"/>
      <c r="J1158" s="5"/>
      <c r="K1158" s="5"/>
      <c r="L1158" s="25"/>
      <c r="M1158" s="25"/>
      <c r="N1158" s="25"/>
      <c r="O1158" s="25"/>
      <c r="P1158" s="25"/>
      <c r="Q1158" s="25"/>
      <c r="R1158" s="16"/>
      <c r="T1158" s="235" t="str">
        <f t="shared" si="1826"/>
        <v xml:space="preserve"> </v>
      </c>
      <c r="U1158" s="232"/>
    </row>
    <row r="1159" spans="1:21" s="57" customFormat="1" x14ac:dyDescent="0.25">
      <c r="A1159" s="145"/>
      <c r="B1159" s="1" t="s">
        <v>0</v>
      </c>
      <c r="C1159" s="7" t="s">
        <v>1</v>
      </c>
      <c r="D1159" s="14" t="s">
        <v>3</v>
      </c>
      <c r="E1159" s="14" t="s">
        <v>470</v>
      </c>
      <c r="F1159" s="2" t="s">
        <v>4</v>
      </c>
      <c r="G1159" s="2" t="s">
        <v>5</v>
      </c>
      <c r="H1159" s="2" t="s">
        <v>6</v>
      </c>
      <c r="I1159" s="2" t="s">
        <v>7</v>
      </c>
      <c r="J1159" s="2" t="s">
        <v>471</v>
      </c>
      <c r="K1159" s="2" t="s">
        <v>472</v>
      </c>
      <c r="L1159" s="22" t="s">
        <v>473</v>
      </c>
      <c r="M1159" s="22" t="s">
        <v>8</v>
      </c>
      <c r="N1159" s="22" t="s">
        <v>9</v>
      </c>
      <c r="O1159" s="22" t="s">
        <v>10</v>
      </c>
      <c r="P1159" s="22" t="s">
        <v>11</v>
      </c>
      <c r="Q1159" s="22" t="s">
        <v>12</v>
      </c>
      <c r="R1159" s="14" t="s">
        <v>474</v>
      </c>
      <c r="T1159" s="235" t="str">
        <f t="shared" si="1826"/>
        <v xml:space="preserve"> </v>
      </c>
      <c r="U1159" s="232"/>
    </row>
    <row r="1160" spans="1:21" s="57" customFormat="1" ht="30.75" customHeight="1" x14ac:dyDescent="0.25">
      <c r="A1160" s="146">
        <v>149</v>
      </c>
      <c r="B1160" s="3" t="s">
        <v>674</v>
      </c>
      <c r="C1160" s="3" t="s">
        <v>675</v>
      </c>
      <c r="D1160" s="15" t="s">
        <v>676</v>
      </c>
      <c r="E1160" s="15"/>
      <c r="F1160" s="10"/>
      <c r="G1160" s="10"/>
      <c r="H1160" s="10">
        <v>1</v>
      </c>
      <c r="I1160" s="10"/>
      <c r="J1160" s="10">
        <f>SUBTOTAL(9,J1161:J1165)</f>
        <v>35549.910000000003</v>
      </c>
      <c r="K1160" s="10"/>
      <c r="L1160" s="10">
        <v>0</v>
      </c>
      <c r="M1160" s="10">
        <f t="shared" ref="M1160:Q1160" si="1915">SUBTOTAL(9,M1161:M1165)</f>
        <v>0</v>
      </c>
      <c r="N1160" s="10">
        <f t="shared" si="1915"/>
        <v>0</v>
      </c>
      <c r="O1160" s="10">
        <f t="shared" si="1915"/>
        <v>0</v>
      </c>
      <c r="P1160" s="10">
        <f t="shared" si="1915"/>
        <v>35549.910000000003</v>
      </c>
      <c r="Q1160" s="10">
        <f t="shared" si="1915"/>
        <v>35549.910000000003</v>
      </c>
      <c r="R1160" s="86"/>
      <c r="T1160" s="235" t="str">
        <f t="shared" ref="T1160:T1223" si="1916">IF(R1160=$U$7,"y"," ")</f>
        <v xml:space="preserve"> </v>
      </c>
      <c r="U1160" s="232"/>
    </row>
    <row r="1161" spans="1:21" s="57" customFormat="1" x14ac:dyDescent="0.25">
      <c r="A1161" s="147">
        <v>149.1</v>
      </c>
      <c r="B1161" s="6">
        <v>1</v>
      </c>
      <c r="C1161" s="9" t="s">
        <v>677</v>
      </c>
      <c r="D1161" s="17" t="s">
        <v>109</v>
      </c>
      <c r="E1161" s="17" t="str">
        <f>VLOOKUP(C1161,[1]Resources!B:G,3,FALSE)</f>
        <v>S</v>
      </c>
      <c r="F1161" s="12">
        <v>1</v>
      </c>
      <c r="G1161" s="12">
        <v>1</v>
      </c>
      <c r="H1161" s="26">
        <f>VLOOKUP($A1161,'Model Inputs'!$A:$C,3,FALSE)</f>
        <v>2280</v>
      </c>
      <c r="I1161" s="12">
        <f>VLOOKUP(C1161,[1]Resources!B:G,6,FALSE)</f>
        <v>0.52</v>
      </c>
      <c r="J1161" s="148">
        <f t="shared" ref="J1161:J1165" si="1917">(H1161/G1161)*I1161*F1161</f>
        <v>1185.6000000000001</v>
      </c>
      <c r="K1161" s="148"/>
      <c r="L1161" s="24">
        <v>0</v>
      </c>
      <c r="M1161" s="24">
        <f>IF($E1161="L",$J1161,0)</f>
        <v>0</v>
      </c>
      <c r="N1161" s="24">
        <f>IF($E1161="M",$J1161,0)</f>
        <v>0</v>
      </c>
      <c r="O1161" s="24">
        <f>IF($E1161="P",$J1161,0)</f>
        <v>0</v>
      </c>
      <c r="P1161" s="24">
        <f>IF($E1161="S",$J1161,0)</f>
        <v>1185.6000000000001</v>
      </c>
      <c r="Q1161" s="24">
        <f>SUM(M1161:P1161)</f>
        <v>1185.6000000000001</v>
      </c>
      <c r="R1161" s="87">
        <v>64</v>
      </c>
      <c r="T1161" s="235" t="str">
        <f t="shared" si="1916"/>
        <v xml:space="preserve"> </v>
      </c>
      <c r="U1161" s="232"/>
    </row>
    <row r="1162" spans="1:21" s="57" customFormat="1" x14ac:dyDescent="0.25">
      <c r="A1162" s="147">
        <v>149.19999999999999</v>
      </c>
      <c r="B1162" s="6">
        <v>2</v>
      </c>
      <c r="C1162" s="9" t="s">
        <v>678</v>
      </c>
      <c r="D1162" s="17" t="s">
        <v>109</v>
      </c>
      <c r="E1162" s="17" t="str">
        <f>VLOOKUP(C1162,[1]Resources!B:G,3,FALSE)</f>
        <v>S</v>
      </c>
      <c r="F1162" s="12">
        <v>1</v>
      </c>
      <c r="G1162" s="12">
        <v>1</v>
      </c>
      <c r="H1162" s="26">
        <f>VLOOKUP($A1162,'Model Inputs'!$A:$C,3,FALSE)</f>
        <v>4361</v>
      </c>
      <c r="I1162" s="12">
        <f>VLOOKUP(C1162,[1]Resources!B:G,6,FALSE)</f>
        <v>0.66</v>
      </c>
      <c r="J1162" s="148">
        <f t="shared" si="1917"/>
        <v>2878.26</v>
      </c>
      <c r="K1162" s="148"/>
      <c r="L1162" s="24">
        <v>0</v>
      </c>
      <c r="M1162" s="24">
        <f>IF($E1162="L",$J1162,0)</f>
        <v>0</v>
      </c>
      <c r="N1162" s="24">
        <f>IF($E1162="M",$J1162,0)</f>
        <v>0</v>
      </c>
      <c r="O1162" s="24">
        <f>IF($E1162="P",$J1162,0)</f>
        <v>0</v>
      </c>
      <c r="P1162" s="24">
        <f>IF($E1162="S",$J1162,0)</f>
        <v>2878.26</v>
      </c>
      <c r="Q1162" s="24">
        <f>SUM(M1162:P1162)</f>
        <v>2878.26</v>
      </c>
      <c r="R1162" s="87">
        <v>64</v>
      </c>
      <c r="T1162" s="235" t="str">
        <f t="shared" si="1916"/>
        <v xml:space="preserve"> </v>
      </c>
      <c r="U1162" s="232"/>
    </row>
    <row r="1163" spans="1:21" s="57" customFormat="1" x14ac:dyDescent="0.25">
      <c r="A1163" s="147">
        <v>149.30000000000001</v>
      </c>
      <c r="B1163" s="6">
        <v>3</v>
      </c>
      <c r="C1163" s="9" t="s">
        <v>679</v>
      </c>
      <c r="D1163" s="17" t="s">
        <v>109</v>
      </c>
      <c r="E1163" s="17" t="str">
        <f>VLOOKUP(C1163,[1]Resources!B:G,3,FALSE)</f>
        <v>S</v>
      </c>
      <c r="F1163" s="12">
        <v>1</v>
      </c>
      <c r="G1163" s="12">
        <v>1</v>
      </c>
      <c r="H1163" s="26">
        <f>VLOOKUP($A1163,'Model Inputs'!$A:$C,3,FALSE)</f>
        <v>18501</v>
      </c>
      <c r="I1163" s="12">
        <f>VLOOKUP(C1163,[1]Resources!B:G,6,FALSE)</f>
        <v>0.45</v>
      </c>
      <c r="J1163" s="148">
        <f t="shared" si="1917"/>
        <v>8325.4500000000007</v>
      </c>
      <c r="K1163" s="148"/>
      <c r="L1163" s="24">
        <v>0</v>
      </c>
      <c r="M1163" s="24">
        <f>IF($E1163="L",$J1163,0)</f>
        <v>0</v>
      </c>
      <c r="N1163" s="24">
        <f>IF($E1163="M",$J1163,0)</f>
        <v>0</v>
      </c>
      <c r="O1163" s="24">
        <f>IF($E1163="P",$J1163,0)</f>
        <v>0</v>
      </c>
      <c r="P1163" s="24">
        <f>IF($E1163="S",$J1163,0)</f>
        <v>8325.4500000000007</v>
      </c>
      <c r="Q1163" s="24">
        <f>SUM(M1163:P1163)</f>
        <v>8325.4500000000007</v>
      </c>
      <c r="R1163" s="87">
        <v>64</v>
      </c>
      <c r="T1163" s="235" t="str">
        <f t="shared" si="1916"/>
        <v xml:space="preserve"> </v>
      </c>
      <c r="U1163" s="232"/>
    </row>
    <row r="1164" spans="1:21" s="57" customFormat="1" x14ac:dyDescent="0.25">
      <c r="A1164" s="147">
        <v>149.4</v>
      </c>
      <c r="B1164" s="6">
        <v>4</v>
      </c>
      <c r="C1164" s="9" t="s">
        <v>680</v>
      </c>
      <c r="D1164" s="17" t="s">
        <v>109</v>
      </c>
      <c r="E1164" s="17" t="str">
        <f>VLOOKUP(C1164,[1]Resources!B:G,3,FALSE)</f>
        <v>S</v>
      </c>
      <c r="F1164" s="12">
        <v>1</v>
      </c>
      <c r="G1164" s="12">
        <v>1</v>
      </c>
      <c r="H1164" s="26">
        <f>VLOOKUP($A1164,'Model Inputs'!$A:$C,3,FALSE)</f>
        <v>1260</v>
      </c>
      <c r="I1164" s="12">
        <f>VLOOKUP(C1164,[1]Resources!B:G,6,FALSE)</f>
        <v>2.13</v>
      </c>
      <c r="J1164" s="148">
        <f t="shared" si="1917"/>
        <v>2683.7999999999997</v>
      </c>
      <c r="K1164" s="148"/>
      <c r="L1164" s="24">
        <v>0</v>
      </c>
      <c r="M1164" s="24">
        <f>IF($E1164="L",$J1164,0)</f>
        <v>0</v>
      </c>
      <c r="N1164" s="24">
        <f>IF($E1164="M",$J1164,0)</f>
        <v>0</v>
      </c>
      <c r="O1164" s="24">
        <f>IF($E1164="P",$J1164,0)</f>
        <v>0</v>
      </c>
      <c r="P1164" s="24">
        <f>IF($E1164="S",$J1164,0)</f>
        <v>2683.7999999999997</v>
      </c>
      <c r="Q1164" s="24">
        <f>SUM(M1164:P1164)</f>
        <v>2683.7999999999997</v>
      </c>
      <c r="R1164" s="87">
        <v>65</v>
      </c>
      <c r="T1164" s="235" t="str">
        <f t="shared" si="1916"/>
        <v xml:space="preserve"> </v>
      </c>
      <c r="U1164" s="232"/>
    </row>
    <row r="1165" spans="1:21" s="57" customFormat="1" x14ac:dyDescent="0.25">
      <c r="A1165" s="147">
        <v>149.5</v>
      </c>
      <c r="B1165" s="6">
        <v>5</v>
      </c>
      <c r="C1165" s="9" t="s">
        <v>681</v>
      </c>
      <c r="D1165" s="17" t="s">
        <v>109</v>
      </c>
      <c r="E1165" s="17" t="str">
        <f>VLOOKUP(C1165,[1]Resources!B:G,3,FALSE)</f>
        <v>S</v>
      </c>
      <c r="F1165" s="12">
        <v>1</v>
      </c>
      <c r="G1165" s="12">
        <v>1</v>
      </c>
      <c r="H1165" s="26">
        <f>VLOOKUP($A1165,'Model Inputs'!$A:$C,3,FALSE)</f>
        <v>5688</v>
      </c>
      <c r="I1165" s="12">
        <f>VLOOKUP(C1165,[1]Resources!B:G,6,FALSE)</f>
        <v>3.6</v>
      </c>
      <c r="J1165" s="148">
        <f t="shared" si="1917"/>
        <v>20476.8</v>
      </c>
      <c r="K1165" s="148"/>
      <c r="L1165" s="24">
        <v>0</v>
      </c>
      <c r="M1165" s="24">
        <f>IF($E1165="L",$J1165,0)</f>
        <v>0</v>
      </c>
      <c r="N1165" s="24">
        <f>IF($E1165="M",$J1165,0)</f>
        <v>0</v>
      </c>
      <c r="O1165" s="24">
        <f>IF($E1165="P",$J1165,0)</f>
        <v>0</v>
      </c>
      <c r="P1165" s="24">
        <f>IF($E1165="S",$J1165,0)</f>
        <v>20476.8</v>
      </c>
      <c r="Q1165" s="24">
        <f>SUM(M1165:P1165)</f>
        <v>20476.8</v>
      </c>
      <c r="R1165" s="87">
        <v>66</v>
      </c>
      <c r="T1165" s="235" t="str">
        <f t="shared" si="1916"/>
        <v xml:space="preserve"> </v>
      </c>
      <c r="U1165" s="232"/>
    </row>
    <row r="1166" spans="1:21" s="57" customFormat="1" x14ac:dyDescent="0.25">
      <c r="A1166" s="149" t="s">
        <v>682</v>
      </c>
      <c r="B1166" s="150" t="s">
        <v>682</v>
      </c>
      <c r="C1166" s="150" t="s">
        <v>682</v>
      </c>
      <c r="D1166" s="151" t="s">
        <v>682</v>
      </c>
      <c r="E1166" s="152" t="s">
        <v>682</v>
      </c>
      <c r="F1166" s="152" t="s">
        <v>682</v>
      </c>
      <c r="G1166" s="153" t="s">
        <v>682</v>
      </c>
      <c r="H1166" s="153" t="s">
        <v>682</v>
      </c>
      <c r="I1166" s="153" t="s">
        <v>682</v>
      </c>
      <c r="J1166" s="153" t="s">
        <v>682</v>
      </c>
      <c r="K1166" s="153" t="s">
        <v>682</v>
      </c>
      <c r="M1166" s="154" t="s">
        <v>682</v>
      </c>
      <c r="N1166" s="154" t="s">
        <v>682</v>
      </c>
      <c r="T1166" s="235" t="str">
        <f t="shared" si="1916"/>
        <v xml:space="preserve"> </v>
      </c>
      <c r="U1166" s="232"/>
    </row>
    <row r="1167" spans="1:21" s="57" customFormat="1" ht="21.75" customHeight="1" x14ac:dyDescent="0.25">
      <c r="A1167" s="146">
        <v>150</v>
      </c>
      <c r="B1167" s="3" t="s">
        <v>683</v>
      </c>
      <c r="C1167" s="3" t="s">
        <v>684</v>
      </c>
      <c r="D1167" s="15" t="s">
        <v>685</v>
      </c>
      <c r="E1167" s="15"/>
      <c r="F1167" s="10"/>
      <c r="G1167" s="10"/>
      <c r="H1167" s="26">
        <f>VLOOKUP($A1167,'Model Inputs'!$A:$C,3,FALSE)</f>
        <v>1</v>
      </c>
      <c r="I1167" s="10"/>
      <c r="J1167" s="10">
        <f>SUBTOTAL(9,J1172:J1280)</f>
        <v>-416088.28219583328</v>
      </c>
      <c r="K1167" s="10"/>
      <c r="L1167" s="10">
        <v>0</v>
      </c>
      <c r="M1167" s="10">
        <f>SUBTOTAL(9,M1172:M1280)</f>
        <v>19944.125512500006</v>
      </c>
      <c r="N1167" s="10">
        <f>SUBTOTAL(9,N1172:N1280)</f>
        <v>-550329.26749999996</v>
      </c>
      <c r="O1167" s="10">
        <f>SUBTOTAL(9,O1172:O1280)</f>
        <v>-14963.420208333315</v>
      </c>
      <c r="P1167" s="10">
        <f>SUBTOTAL(9,P1172:P1280)</f>
        <v>129260.28000000001</v>
      </c>
      <c r="Q1167" s="10">
        <f>SUBTOTAL(9,Q1172:Q1280)</f>
        <v>-416088.28219583328</v>
      </c>
      <c r="R1167" s="86"/>
      <c r="T1167" s="235" t="str">
        <f t="shared" si="1916"/>
        <v xml:space="preserve"> </v>
      </c>
      <c r="U1167" s="232"/>
    </row>
    <row r="1168" spans="1:21" s="57" customFormat="1" ht="21.75" customHeight="1" x14ac:dyDescent="0.25">
      <c r="A1168" s="146"/>
      <c r="B1168" s="3"/>
      <c r="C1168" s="3"/>
      <c r="D1168" s="15"/>
      <c r="E1168" s="15"/>
      <c r="F1168" s="10"/>
      <c r="G1168" s="10"/>
      <c r="H1168" s="26"/>
      <c r="I1168" s="10"/>
      <c r="J1168" s="10"/>
      <c r="K1168" s="10"/>
      <c r="L1168" s="10"/>
      <c r="M1168" s="10"/>
      <c r="N1168" s="10"/>
      <c r="O1168" s="10"/>
      <c r="P1168" s="10"/>
      <c r="Q1168" s="10"/>
      <c r="R1168" s="86"/>
      <c r="T1168" s="235" t="str">
        <f t="shared" si="1916"/>
        <v xml:space="preserve"> </v>
      </c>
      <c r="U1168" s="232"/>
    </row>
    <row r="1169" spans="1:21" s="57" customFormat="1" ht="75" x14ac:dyDescent="0.25">
      <c r="A1169" s="147"/>
      <c r="B1169" s="6"/>
      <c r="C1169" s="9" t="s">
        <v>686</v>
      </c>
      <c r="D1169" s="17"/>
      <c r="E1169" s="17"/>
      <c r="F1169" s="12"/>
      <c r="G1169" s="12"/>
      <c r="H1169" s="12"/>
      <c r="I1169" s="12"/>
      <c r="J1169" s="148"/>
      <c r="K1169" s="148"/>
      <c r="L1169" s="24"/>
      <c r="M1169" s="24"/>
      <c r="N1169" s="24"/>
      <c r="O1169" s="24"/>
      <c r="P1169" s="24"/>
      <c r="Q1169" s="24"/>
      <c r="R1169" s="87"/>
      <c r="T1169" s="235" t="str">
        <f t="shared" si="1916"/>
        <v xml:space="preserve"> </v>
      </c>
      <c r="U1169" s="232"/>
    </row>
    <row r="1170" spans="1:21" s="57" customFormat="1" ht="17.25" customHeight="1" x14ac:dyDescent="0.25">
      <c r="A1170" s="146"/>
      <c r="B1170" s="3"/>
      <c r="C1170" s="3" t="s">
        <v>733</v>
      </c>
      <c r="D1170" s="15"/>
      <c r="E1170" s="15"/>
      <c r="F1170" s="10"/>
      <c r="G1170" s="10"/>
      <c r="H1170" s="10"/>
      <c r="I1170" s="10"/>
      <c r="J1170" s="10">
        <f>SUBTOTAL(9,J1172:J1174)</f>
        <v>-266089.59999999998</v>
      </c>
      <c r="K1170" s="10"/>
      <c r="L1170" s="10"/>
      <c r="M1170" s="10">
        <f>SUBTOTAL(9,M1172:M1174)</f>
        <v>0</v>
      </c>
      <c r="N1170" s="10">
        <f t="shared" ref="N1170:Q1170" si="1918">SUBTOTAL(9,N1172:N1174)</f>
        <v>-266089.59999999998</v>
      </c>
      <c r="O1170" s="10">
        <f t="shared" si="1918"/>
        <v>0</v>
      </c>
      <c r="P1170" s="10">
        <f t="shared" si="1918"/>
        <v>0</v>
      </c>
      <c r="Q1170" s="10">
        <f t="shared" si="1918"/>
        <v>-266089.59999999998</v>
      </c>
      <c r="R1170" s="86"/>
      <c r="T1170" s="235" t="str">
        <f t="shared" si="1916"/>
        <v xml:space="preserve"> </v>
      </c>
      <c r="U1170" s="232"/>
    </row>
    <row r="1171" spans="1:21" s="57" customFormat="1" ht="45" x14ac:dyDescent="0.25">
      <c r="A1171" s="147"/>
      <c r="B1171" s="6"/>
      <c r="C1171" s="9" t="s">
        <v>706</v>
      </c>
      <c r="D1171" s="17"/>
      <c r="E1171" s="17"/>
      <c r="F1171" s="12"/>
      <c r="G1171" s="12"/>
      <c r="H1171" s="12"/>
      <c r="I1171" s="12"/>
      <c r="J1171" s="148"/>
      <c r="K1171" s="148"/>
      <c r="L1171" s="24"/>
      <c r="M1171" s="24"/>
      <c r="N1171" s="24"/>
      <c r="O1171" s="24"/>
      <c r="P1171" s="24"/>
      <c r="Q1171" s="24"/>
      <c r="R1171" s="87"/>
      <c r="T1171" s="235" t="str">
        <f t="shared" si="1916"/>
        <v xml:space="preserve"> </v>
      </c>
      <c r="U1171" s="232"/>
    </row>
    <row r="1172" spans="1:21" s="57" customFormat="1" x14ac:dyDescent="0.25">
      <c r="A1172" s="147">
        <v>150.1</v>
      </c>
      <c r="B1172" s="6"/>
      <c r="C1172" s="9" t="s">
        <v>198</v>
      </c>
      <c r="D1172" s="17" t="s">
        <v>687</v>
      </c>
      <c r="E1172" s="17" t="str">
        <f>VLOOKUP(C1172,[1]Resources!B:G,3,FALSE)</f>
        <v>M</v>
      </c>
      <c r="F1172" s="12">
        <v>1</v>
      </c>
      <c r="G1172" s="12">
        <v>1</v>
      </c>
      <c r="H1172" s="26">
        <f>VLOOKUP($A1172,'Model Inputs'!$A:$C,3,FALSE)</f>
        <v>-2708</v>
      </c>
      <c r="I1172" s="12">
        <f>VLOOKUP(C1172,[1]Resources!B:G,6,FALSE)</f>
        <v>33.75</v>
      </c>
      <c r="J1172" s="12">
        <f t="shared" ref="J1172:J1174" si="1919">(H1172/G1172)*I1172*F1172</f>
        <v>-91395</v>
      </c>
      <c r="K1172" s="148" t="str">
        <f t="shared" ref="K1172" si="1920">IF(E1172="M"," ",L1172*F1172)</f>
        <v xml:space="preserve"> </v>
      </c>
      <c r="L1172" s="24">
        <v>0</v>
      </c>
      <c r="M1172" s="24">
        <f>IF($E1172="L",$J1172,0)</f>
        <v>0</v>
      </c>
      <c r="N1172" s="24">
        <f>IF($E1172="M",$J1172,0)</f>
        <v>-91395</v>
      </c>
      <c r="O1172" s="24">
        <f>IF($E1172="P",$J1172,0)</f>
        <v>0</v>
      </c>
      <c r="P1172" s="24">
        <f>IF($E1172="S",$J1172,0)</f>
        <v>0</v>
      </c>
      <c r="Q1172" s="24">
        <f>SUM(M1172:P1172)</f>
        <v>-91395</v>
      </c>
      <c r="R1172" s="87" t="s">
        <v>539</v>
      </c>
      <c r="T1172" s="235" t="str">
        <f t="shared" si="1916"/>
        <v xml:space="preserve"> </v>
      </c>
      <c r="U1172" s="232"/>
    </row>
    <row r="1173" spans="1:21" s="57" customFormat="1" x14ac:dyDescent="0.25">
      <c r="A1173" s="147">
        <v>150.19999999999999</v>
      </c>
      <c r="B1173" s="6"/>
      <c r="C1173" s="9" t="s">
        <v>103</v>
      </c>
      <c r="D1173" s="17" t="s">
        <v>687</v>
      </c>
      <c r="E1173" s="17" t="str">
        <f>VLOOKUP(C1173,[1]Resources!B:G,3,FALSE)</f>
        <v>M</v>
      </c>
      <c r="F1173" s="12">
        <v>1</v>
      </c>
      <c r="G1173" s="12">
        <v>1</v>
      </c>
      <c r="H1173" s="26">
        <f>VLOOKUP($A1173,'Model Inputs'!$A:$C,3,FALSE)</f>
        <v>-4470</v>
      </c>
      <c r="I1173" s="12">
        <f>VLOOKUP(C1173,[1]Resources!B:G,6,FALSE)</f>
        <v>32.5</v>
      </c>
      <c r="J1173" s="12">
        <f t="shared" si="1919"/>
        <v>-145275</v>
      </c>
      <c r="K1173" s="148"/>
      <c r="L1173" s="24">
        <v>0</v>
      </c>
      <c r="M1173" s="24">
        <f t="shared" ref="M1173:M1174" si="1921">IF($E1173="L",$J1173,0)</f>
        <v>0</v>
      </c>
      <c r="N1173" s="24">
        <f t="shared" ref="N1173:N1174" si="1922">IF($E1173="M",$J1173,0)</f>
        <v>-145275</v>
      </c>
      <c r="O1173" s="24">
        <f t="shared" ref="O1173:O1174" si="1923">IF($E1173="P",$J1173,0)</f>
        <v>0</v>
      </c>
      <c r="P1173" s="24">
        <f t="shared" ref="P1173:P1174" si="1924">IF($E1173="S",$J1173,0)</f>
        <v>0</v>
      </c>
      <c r="Q1173" s="24">
        <f t="shared" ref="Q1173:Q1174" si="1925">SUM(M1173:P1173)</f>
        <v>-145275</v>
      </c>
      <c r="R1173" s="87" t="s">
        <v>539</v>
      </c>
      <c r="T1173" s="235" t="str">
        <f t="shared" si="1916"/>
        <v xml:space="preserve"> </v>
      </c>
      <c r="U1173" s="232"/>
    </row>
    <row r="1174" spans="1:21" s="57" customFormat="1" x14ac:dyDescent="0.25">
      <c r="A1174" s="147">
        <v>150.30000000000001</v>
      </c>
      <c r="B1174" s="6"/>
      <c r="C1174" s="9" t="s">
        <v>480</v>
      </c>
      <c r="D1174" s="17" t="s">
        <v>687</v>
      </c>
      <c r="E1174" s="17" t="str">
        <f>VLOOKUP(C1174,[1]Resources!B:G,3,FALSE)</f>
        <v>M</v>
      </c>
      <c r="F1174" s="12">
        <v>1</v>
      </c>
      <c r="G1174" s="12">
        <v>1</v>
      </c>
      <c r="H1174" s="26">
        <f>VLOOKUP($A1174,'Model Inputs'!$A:$C,3,FALSE)</f>
        <v>-931</v>
      </c>
      <c r="I1174" s="12">
        <f>VLOOKUP(C1174,[1]Resources!B:G,6,FALSE)</f>
        <v>31.6</v>
      </c>
      <c r="J1174" s="12">
        <f t="shared" si="1919"/>
        <v>-29419.600000000002</v>
      </c>
      <c r="K1174" s="148"/>
      <c r="L1174" s="24">
        <v>0</v>
      </c>
      <c r="M1174" s="24">
        <f t="shared" si="1921"/>
        <v>0</v>
      </c>
      <c r="N1174" s="24">
        <f t="shared" si="1922"/>
        <v>-29419.600000000002</v>
      </c>
      <c r="O1174" s="24">
        <f t="shared" si="1923"/>
        <v>0</v>
      </c>
      <c r="P1174" s="24">
        <f t="shared" si="1924"/>
        <v>0</v>
      </c>
      <c r="Q1174" s="24">
        <f t="shared" si="1925"/>
        <v>-29419.600000000002</v>
      </c>
      <c r="R1174" s="87" t="s">
        <v>539</v>
      </c>
      <c r="T1174" s="235" t="str">
        <f t="shared" si="1916"/>
        <v xml:space="preserve"> </v>
      </c>
      <c r="U1174" s="232"/>
    </row>
    <row r="1175" spans="1:21" s="57" customFormat="1" x14ac:dyDescent="0.25">
      <c r="A1175" s="147"/>
      <c r="B1175" s="6"/>
      <c r="C1175" s="9"/>
      <c r="D1175" s="17"/>
      <c r="E1175" s="17"/>
      <c r="F1175" s="12"/>
      <c r="G1175" s="12"/>
      <c r="H1175" s="12"/>
      <c r="I1175" s="12"/>
      <c r="J1175" s="148"/>
      <c r="K1175" s="148"/>
      <c r="L1175" s="24"/>
      <c r="M1175" s="24"/>
      <c r="N1175" s="24"/>
      <c r="O1175" s="24"/>
      <c r="P1175" s="24"/>
      <c r="Q1175" s="24"/>
      <c r="R1175" s="87"/>
      <c r="T1175" s="235" t="str">
        <f t="shared" si="1916"/>
        <v xml:space="preserve"> </v>
      </c>
      <c r="U1175" s="232"/>
    </row>
    <row r="1176" spans="1:21" s="57" customFormat="1" x14ac:dyDescent="0.25">
      <c r="A1176" s="147"/>
      <c r="B1176" s="6"/>
      <c r="C1176" s="9" t="s">
        <v>688</v>
      </c>
      <c r="D1176" s="17"/>
      <c r="E1176" s="17"/>
      <c r="F1176" s="12"/>
      <c r="G1176" s="12"/>
      <c r="H1176" s="12"/>
      <c r="I1176" s="12"/>
      <c r="J1176" s="148"/>
      <c r="K1176" s="148"/>
      <c r="L1176" s="24"/>
      <c r="M1176" s="24"/>
      <c r="N1176" s="24"/>
      <c r="O1176" s="24"/>
      <c r="P1176" s="24"/>
      <c r="Q1176" s="24"/>
      <c r="R1176" s="87"/>
      <c r="T1176" s="235" t="str">
        <f t="shared" si="1916"/>
        <v xml:space="preserve"> </v>
      </c>
      <c r="U1176" s="232"/>
    </row>
    <row r="1177" spans="1:21" s="57" customFormat="1" x14ac:dyDescent="0.25">
      <c r="A1177" s="147"/>
      <c r="B1177" s="6"/>
      <c r="C1177" s="9"/>
      <c r="D1177" s="17"/>
      <c r="E1177" s="17"/>
      <c r="F1177" s="12"/>
      <c r="G1177" s="12"/>
      <c r="H1177" s="12"/>
      <c r="I1177" s="12"/>
      <c r="J1177" s="148"/>
      <c r="K1177" s="148"/>
      <c r="L1177" s="24"/>
      <c r="M1177" s="24"/>
      <c r="N1177" s="24"/>
      <c r="O1177" s="24"/>
      <c r="P1177" s="24"/>
      <c r="Q1177" s="24"/>
      <c r="R1177" s="87"/>
      <c r="T1177" s="235" t="str">
        <f t="shared" si="1916"/>
        <v xml:space="preserve"> </v>
      </c>
      <c r="U1177" s="232"/>
    </row>
    <row r="1178" spans="1:21" s="57" customFormat="1" x14ac:dyDescent="0.25">
      <c r="A1178" s="147"/>
      <c r="B1178" s="6"/>
      <c r="C1178" s="9"/>
      <c r="D1178" s="17"/>
      <c r="E1178" s="17"/>
      <c r="F1178" s="12"/>
      <c r="G1178" s="12"/>
      <c r="H1178" s="12"/>
      <c r="I1178" s="12"/>
      <c r="J1178" s="148"/>
      <c r="K1178" s="148"/>
      <c r="L1178" s="24"/>
      <c r="M1178" s="24"/>
      <c r="N1178" s="24"/>
      <c r="O1178" s="24"/>
      <c r="P1178" s="24"/>
      <c r="Q1178" s="24"/>
      <c r="R1178" s="87"/>
      <c r="T1178" s="235" t="str">
        <f t="shared" si="1916"/>
        <v xml:space="preserve"> </v>
      </c>
      <c r="U1178" s="232"/>
    </row>
    <row r="1179" spans="1:21" s="57" customFormat="1" x14ac:dyDescent="0.25">
      <c r="A1179" s="149" t="s">
        <v>682</v>
      </c>
      <c r="B1179" s="150" t="s">
        <v>682</v>
      </c>
      <c r="C1179" s="150" t="s">
        <v>682</v>
      </c>
      <c r="D1179" s="151" t="s">
        <v>682</v>
      </c>
      <c r="E1179" s="152" t="s">
        <v>682</v>
      </c>
      <c r="F1179" s="152" t="s">
        <v>682</v>
      </c>
      <c r="G1179" s="153" t="s">
        <v>682</v>
      </c>
      <c r="H1179" s="153" t="s">
        <v>682</v>
      </c>
      <c r="I1179" s="153" t="s">
        <v>682</v>
      </c>
      <c r="J1179" s="153" t="s">
        <v>682</v>
      </c>
      <c r="K1179" s="153" t="s">
        <v>682</v>
      </c>
      <c r="L1179" s="57" t="s">
        <v>682</v>
      </c>
      <c r="M1179" s="154" t="s">
        <v>682</v>
      </c>
      <c r="N1179" s="154" t="s">
        <v>682</v>
      </c>
      <c r="T1179" s="235" t="str">
        <f t="shared" si="1916"/>
        <v xml:space="preserve"> </v>
      </c>
      <c r="U1179" s="232"/>
    </row>
    <row r="1180" spans="1:21" s="57" customFormat="1" ht="30" x14ac:dyDescent="0.25">
      <c r="A1180" s="156"/>
      <c r="B1180" s="3"/>
      <c r="C1180" s="3" t="s">
        <v>707</v>
      </c>
      <c r="D1180" s="4"/>
      <c r="E1180" s="15"/>
      <c r="F1180" s="10"/>
      <c r="G1180" s="10"/>
      <c r="H1180" s="10"/>
      <c r="I1180" s="10"/>
      <c r="J1180" s="10"/>
      <c r="K1180" s="10"/>
      <c r="L1180" s="23"/>
      <c r="M1180" s="23"/>
      <c r="N1180" s="23"/>
      <c r="O1180" s="23"/>
      <c r="P1180" s="23"/>
      <c r="Q1180" s="23"/>
      <c r="R1180" s="86"/>
      <c r="T1180" s="235" t="str">
        <f t="shared" si="1916"/>
        <v xml:space="preserve"> </v>
      </c>
      <c r="U1180" s="232"/>
    </row>
    <row r="1181" spans="1:21" s="57" customFormat="1" ht="90" x14ac:dyDescent="0.25">
      <c r="A1181" s="156">
        <v>151</v>
      </c>
      <c r="B1181" s="3" t="s">
        <v>714</v>
      </c>
      <c r="C1181" s="3" t="s">
        <v>556</v>
      </c>
      <c r="D1181" s="4" t="s">
        <v>74</v>
      </c>
      <c r="E1181" s="15"/>
      <c r="F1181" s="10"/>
      <c r="G1181" s="10"/>
      <c r="H1181" s="26">
        <f>VLOOKUP($A1181,'Model Inputs'!$A:$C,3,FALSE)</f>
        <v>-2804</v>
      </c>
      <c r="I1181" s="10"/>
      <c r="J1181" s="10">
        <f>SUBTOTAL(9,J1183:J1186,J1188:J1190)</f>
        <v>-28211.351999999995</v>
      </c>
      <c r="K1181" s="10"/>
      <c r="L1181" s="10"/>
      <c r="M1181" s="10">
        <f>SUBTOTAL(9,M1183:M1186,M1188:M1190)</f>
        <v>-1976.3519999999999</v>
      </c>
      <c r="N1181" s="10">
        <f t="shared" ref="N1181:Q1181" si="1926">SUBTOTAL(9,N1183:N1186,N1188:N1190)</f>
        <v>0</v>
      </c>
      <c r="O1181" s="10">
        <f t="shared" si="1926"/>
        <v>-26234.999999999996</v>
      </c>
      <c r="P1181" s="10">
        <f t="shared" si="1926"/>
        <v>0</v>
      </c>
      <c r="Q1181" s="10">
        <f t="shared" si="1926"/>
        <v>-28211.351999999995</v>
      </c>
      <c r="R1181" s="86"/>
      <c r="T1181" s="235" t="str">
        <f t="shared" si="1916"/>
        <v xml:space="preserve"> </v>
      </c>
      <c r="U1181" s="232"/>
    </row>
    <row r="1182" spans="1:21" s="57" customFormat="1" x14ac:dyDescent="0.25">
      <c r="A1182" s="157"/>
      <c r="B1182" s="6">
        <v>1</v>
      </c>
      <c r="C1182" s="9" t="s">
        <v>75</v>
      </c>
      <c r="D1182" s="6"/>
      <c r="E1182" s="17"/>
      <c r="F1182" s="12"/>
      <c r="G1182" s="12"/>
      <c r="H1182" s="12"/>
      <c r="I1182" s="12"/>
      <c r="J1182" s="21"/>
      <c r="K1182" s="21"/>
      <c r="L1182" s="24"/>
      <c r="M1182" s="24"/>
      <c r="N1182" s="24"/>
      <c r="O1182" s="24"/>
      <c r="P1182" s="24"/>
      <c r="Q1182" s="24"/>
      <c r="R1182" s="87"/>
      <c r="T1182" s="235" t="str">
        <f t="shared" si="1916"/>
        <v xml:space="preserve"> </v>
      </c>
      <c r="U1182" s="232"/>
    </row>
    <row r="1183" spans="1:21" s="57" customFormat="1" x14ac:dyDescent="0.25">
      <c r="A1183" s="157">
        <v>151.1</v>
      </c>
      <c r="B1183" s="6">
        <v>2</v>
      </c>
      <c r="C1183" s="9" t="s">
        <v>70</v>
      </c>
      <c r="D1183" s="6" t="s">
        <v>26</v>
      </c>
      <c r="E1183" s="17" t="str">
        <f>VLOOKUP(C1183,Resources!B:G,3,FALSE)</f>
        <v>P</v>
      </c>
      <c r="F1183" s="12">
        <v>1</v>
      </c>
      <c r="G1183" s="26">
        <f>VLOOKUP($A1183,'Model Inputs'!$A:$C,3,FALSE)</f>
        <v>50</v>
      </c>
      <c r="H1183" s="12">
        <f>H1181</f>
        <v>-2804</v>
      </c>
      <c r="I1183" s="12">
        <f>VLOOKUP(C1183,Resources!B:G,6,FALSE)</f>
        <v>135</v>
      </c>
      <c r="J1183" s="21">
        <f t="shared" ref="J1183:J1186" si="1927">(H1183/G1183)*I1183*F1183</f>
        <v>-7570.8</v>
      </c>
      <c r="K1183" s="21"/>
      <c r="L1183" s="24">
        <v>0</v>
      </c>
      <c r="M1183" s="24">
        <f t="shared" ref="M1183:M1186" si="1928">IF($E1183="L",$J1183,0)</f>
        <v>0</v>
      </c>
      <c r="N1183" s="24">
        <f t="shared" ref="N1183:N1186" si="1929">IF($E1183="M",$J1183,0)</f>
        <v>0</v>
      </c>
      <c r="O1183" s="24">
        <f t="shared" ref="O1183:O1186" si="1930">IF($E1183="P",$J1183,0)</f>
        <v>-7570.8</v>
      </c>
      <c r="P1183" s="24">
        <f t="shared" ref="P1183:P1186" si="1931">IF($E1183="S",$J1183,0)</f>
        <v>0</v>
      </c>
      <c r="Q1183" s="24">
        <f t="shared" ref="Q1183:Q1186" si="1932">SUM(M1183:P1183)</f>
        <v>-7570.8</v>
      </c>
      <c r="R1183" s="87">
        <v>53</v>
      </c>
      <c r="T1183" s="235" t="str">
        <f t="shared" si="1916"/>
        <v xml:space="preserve"> </v>
      </c>
      <c r="U1183" s="232"/>
    </row>
    <row r="1184" spans="1:21" s="57" customFormat="1" x14ac:dyDescent="0.25">
      <c r="A1184" s="157"/>
      <c r="B1184" s="6">
        <v>3</v>
      </c>
      <c r="C1184" s="9" t="s">
        <v>27</v>
      </c>
      <c r="D1184" s="6" t="s">
        <v>26</v>
      </c>
      <c r="E1184" s="17" t="str">
        <f>VLOOKUP(C1184,Resources!B:G,3,FALSE)</f>
        <v>P</v>
      </c>
      <c r="F1184" s="12">
        <v>3</v>
      </c>
      <c r="G1184" s="12">
        <f>G1183</f>
        <v>50</v>
      </c>
      <c r="H1184" s="12">
        <f>H1181</f>
        <v>-2804</v>
      </c>
      <c r="I1184" s="12">
        <f>VLOOKUP(C1184,Resources!B:G,6,FALSE)</f>
        <v>90</v>
      </c>
      <c r="J1184" s="21">
        <f t="shared" si="1927"/>
        <v>-15141.599999999999</v>
      </c>
      <c r="K1184" s="21"/>
      <c r="L1184" s="24">
        <v>0</v>
      </c>
      <c r="M1184" s="24">
        <f t="shared" si="1928"/>
        <v>0</v>
      </c>
      <c r="N1184" s="24">
        <f t="shared" si="1929"/>
        <v>0</v>
      </c>
      <c r="O1184" s="24">
        <f t="shared" si="1930"/>
        <v>-15141.599999999999</v>
      </c>
      <c r="P1184" s="24">
        <f t="shared" si="1931"/>
        <v>0</v>
      </c>
      <c r="Q1184" s="24">
        <f t="shared" si="1932"/>
        <v>-15141.599999999999</v>
      </c>
      <c r="R1184" s="87">
        <v>53</v>
      </c>
      <c r="T1184" s="235" t="str">
        <f t="shared" si="1916"/>
        <v xml:space="preserve"> </v>
      </c>
      <c r="U1184" s="232"/>
    </row>
    <row r="1185" spans="1:21" s="57" customFormat="1" x14ac:dyDescent="0.25">
      <c r="A1185" s="157"/>
      <c r="B1185" s="6">
        <v>4</v>
      </c>
      <c r="C1185" s="9" t="s">
        <v>28</v>
      </c>
      <c r="D1185" s="6" t="s">
        <v>26</v>
      </c>
      <c r="E1185" s="17" t="str">
        <f>VLOOKUP(C1185,Resources!B:G,3,FALSE)</f>
        <v>P</v>
      </c>
      <c r="F1185" s="12">
        <v>1</v>
      </c>
      <c r="G1185" s="12">
        <f>G1183</f>
        <v>50</v>
      </c>
      <c r="H1185" s="12">
        <f>H1181</f>
        <v>-2804</v>
      </c>
      <c r="I1185" s="12">
        <f>VLOOKUP(C1185,Resources!B:G,6,FALSE)</f>
        <v>95</v>
      </c>
      <c r="J1185" s="21">
        <f t="shared" si="1927"/>
        <v>-5327.5999999999995</v>
      </c>
      <c r="K1185" s="21"/>
      <c r="L1185" s="24">
        <v>0</v>
      </c>
      <c r="M1185" s="24">
        <f t="shared" si="1928"/>
        <v>0</v>
      </c>
      <c r="N1185" s="24">
        <f t="shared" si="1929"/>
        <v>0</v>
      </c>
      <c r="O1185" s="24">
        <f t="shared" si="1930"/>
        <v>-5327.5999999999995</v>
      </c>
      <c r="P1185" s="24">
        <f t="shared" si="1931"/>
        <v>0</v>
      </c>
      <c r="Q1185" s="24">
        <f t="shared" si="1932"/>
        <v>-5327.5999999999995</v>
      </c>
      <c r="R1185" s="87">
        <v>53</v>
      </c>
      <c r="T1185" s="235" t="str">
        <f t="shared" si="1916"/>
        <v xml:space="preserve"> </v>
      </c>
      <c r="U1185" s="232"/>
    </row>
    <row r="1186" spans="1:21" s="57" customFormat="1" x14ac:dyDescent="0.25">
      <c r="A1186" s="157"/>
      <c r="B1186" s="6">
        <v>5</v>
      </c>
      <c r="C1186" s="9" t="s">
        <v>8</v>
      </c>
      <c r="D1186" s="6" t="s">
        <v>26</v>
      </c>
      <c r="E1186" s="17" t="str">
        <f>VLOOKUP(C1186,Resources!B:G,3,FALSE)</f>
        <v>L</v>
      </c>
      <c r="F1186" s="12">
        <v>1</v>
      </c>
      <c r="G1186" s="12">
        <f>G1183</f>
        <v>50</v>
      </c>
      <c r="H1186" s="12">
        <f>H1181</f>
        <v>-2804</v>
      </c>
      <c r="I1186" s="12">
        <f>VLOOKUP(C1186,Resources!B:G,6,FALSE)</f>
        <v>51.9</v>
      </c>
      <c r="J1186" s="21">
        <f t="shared" si="1927"/>
        <v>-2910.5519999999997</v>
      </c>
      <c r="K1186" s="21"/>
      <c r="L1186" s="24">
        <v>0</v>
      </c>
      <c r="M1186" s="24">
        <f t="shared" si="1928"/>
        <v>-2910.5519999999997</v>
      </c>
      <c r="N1186" s="24">
        <f t="shared" si="1929"/>
        <v>0</v>
      </c>
      <c r="O1186" s="24">
        <f t="shared" si="1930"/>
        <v>0</v>
      </c>
      <c r="P1186" s="24">
        <f t="shared" si="1931"/>
        <v>0</v>
      </c>
      <c r="Q1186" s="24">
        <f t="shared" si="1932"/>
        <v>-2910.5519999999997</v>
      </c>
      <c r="R1186" s="87">
        <v>53</v>
      </c>
      <c r="T1186" s="235" t="str">
        <f t="shared" si="1916"/>
        <v xml:space="preserve"> </v>
      </c>
      <c r="U1186" s="232"/>
    </row>
    <row r="1187" spans="1:21" s="57" customFormat="1" x14ac:dyDescent="0.25">
      <c r="A1187" s="157"/>
      <c r="B1187" s="6">
        <v>6</v>
      </c>
      <c r="C1187" s="9" t="s">
        <v>76</v>
      </c>
      <c r="D1187" s="6"/>
      <c r="E1187" s="17"/>
      <c r="F1187" s="12"/>
      <c r="G1187" s="12"/>
      <c r="H1187" s="12"/>
      <c r="I1187" s="12"/>
      <c r="J1187" s="21"/>
      <c r="K1187" s="21"/>
      <c r="L1187" s="24">
        <v>0</v>
      </c>
      <c r="M1187" s="24"/>
      <c r="N1187" s="24"/>
      <c r="O1187" s="24"/>
      <c r="P1187" s="24"/>
      <c r="Q1187" s="24"/>
      <c r="R1187" s="87"/>
      <c r="T1187" s="235" t="str">
        <f t="shared" si="1916"/>
        <v xml:space="preserve"> </v>
      </c>
      <c r="U1187" s="232"/>
    </row>
    <row r="1188" spans="1:21" s="57" customFormat="1" x14ac:dyDescent="0.25">
      <c r="A1188" s="157"/>
      <c r="B1188" s="6">
        <v>7</v>
      </c>
      <c r="C1188" s="9" t="s">
        <v>77</v>
      </c>
      <c r="D1188" s="6" t="s">
        <v>25</v>
      </c>
      <c r="E1188" s="17" t="str">
        <f>VLOOKUP(C1188,Resources!B:G,3,FALSE)</f>
        <v>P</v>
      </c>
      <c r="F1188" s="12">
        <v>1</v>
      </c>
      <c r="G1188" s="12">
        <v>225</v>
      </c>
      <c r="H1188" s="12">
        <v>225</v>
      </c>
      <c r="I1188" s="12">
        <f>VLOOKUP(C1188,Resources!B:G,6,FALSE)</f>
        <v>365</v>
      </c>
      <c r="J1188" s="21">
        <f t="shared" ref="J1188:J1190" si="1933">(H1188/G1188)*I1188*F1188</f>
        <v>365</v>
      </c>
      <c r="K1188" s="21"/>
      <c r="L1188" s="24">
        <v>0</v>
      </c>
      <c r="M1188" s="24">
        <f t="shared" ref="M1188:M1190" si="1934">IF($E1188="L",$J1188,0)</f>
        <v>0</v>
      </c>
      <c r="N1188" s="24">
        <f t="shared" ref="N1188:N1190" si="1935">IF($E1188="M",$J1188,0)</f>
        <v>0</v>
      </c>
      <c r="O1188" s="24">
        <f t="shared" ref="O1188:O1190" si="1936">IF($E1188="P",$J1188,0)</f>
        <v>365</v>
      </c>
      <c r="P1188" s="24">
        <f t="shared" ref="P1188:P1190" si="1937">IF($E1188="S",$J1188,0)</f>
        <v>0</v>
      </c>
      <c r="Q1188" s="24">
        <f t="shared" ref="Q1188:Q1190" si="1938">SUM(M1188:P1188)</f>
        <v>365</v>
      </c>
      <c r="R1188" s="87">
        <v>53</v>
      </c>
      <c r="T1188" s="235" t="str">
        <f t="shared" si="1916"/>
        <v xml:space="preserve"> </v>
      </c>
      <c r="U1188" s="232"/>
    </row>
    <row r="1189" spans="1:21" s="57" customFormat="1" x14ac:dyDescent="0.25">
      <c r="A1189" s="157"/>
      <c r="B1189" s="6">
        <v>8</v>
      </c>
      <c r="C1189" s="9" t="s">
        <v>78</v>
      </c>
      <c r="D1189" s="6" t="s">
        <v>26</v>
      </c>
      <c r="E1189" s="17" t="str">
        <f>VLOOKUP(C1189,Resources!B:G,3,FALSE)</f>
        <v>P</v>
      </c>
      <c r="F1189" s="12">
        <v>1</v>
      </c>
      <c r="G1189" s="12">
        <v>25</v>
      </c>
      <c r="H1189" s="12">
        <v>225</v>
      </c>
      <c r="I1189" s="12">
        <f>VLOOKUP(C1189,Resources!B:G,6,FALSE)</f>
        <v>160</v>
      </c>
      <c r="J1189" s="21">
        <f t="shared" si="1933"/>
        <v>1440</v>
      </c>
      <c r="K1189" s="21"/>
      <c r="L1189" s="24">
        <v>0</v>
      </c>
      <c r="M1189" s="24">
        <f t="shared" si="1934"/>
        <v>0</v>
      </c>
      <c r="N1189" s="24">
        <f t="shared" si="1935"/>
        <v>0</v>
      </c>
      <c r="O1189" s="24">
        <f t="shared" si="1936"/>
        <v>1440</v>
      </c>
      <c r="P1189" s="24">
        <f t="shared" si="1937"/>
        <v>0</v>
      </c>
      <c r="Q1189" s="24">
        <f t="shared" si="1938"/>
        <v>1440</v>
      </c>
      <c r="R1189" s="87">
        <v>53</v>
      </c>
      <c r="T1189" s="235" t="str">
        <f t="shared" si="1916"/>
        <v xml:space="preserve"> </v>
      </c>
      <c r="U1189" s="232"/>
    </row>
    <row r="1190" spans="1:21" s="57" customFormat="1" x14ac:dyDescent="0.25">
      <c r="A1190" s="157"/>
      <c r="B1190" s="6">
        <v>9</v>
      </c>
      <c r="C1190" s="9" t="s">
        <v>8</v>
      </c>
      <c r="D1190" s="6" t="s">
        <v>26</v>
      </c>
      <c r="E1190" s="17" t="str">
        <f>VLOOKUP(C1190,Resources!B:G,3,FALSE)</f>
        <v>L</v>
      </c>
      <c r="F1190" s="12">
        <v>2</v>
      </c>
      <c r="G1190" s="12">
        <v>25</v>
      </c>
      <c r="H1190" s="12">
        <v>225</v>
      </c>
      <c r="I1190" s="12">
        <f>VLOOKUP(C1190,Resources!B:G,6,FALSE)</f>
        <v>51.9</v>
      </c>
      <c r="J1190" s="21">
        <f t="shared" si="1933"/>
        <v>934.19999999999993</v>
      </c>
      <c r="K1190" s="21"/>
      <c r="L1190" s="24">
        <v>0</v>
      </c>
      <c r="M1190" s="24">
        <f t="shared" si="1934"/>
        <v>934.19999999999993</v>
      </c>
      <c r="N1190" s="24">
        <f t="shared" si="1935"/>
        <v>0</v>
      </c>
      <c r="O1190" s="24">
        <f t="shared" si="1936"/>
        <v>0</v>
      </c>
      <c r="P1190" s="24">
        <f t="shared" si="1937"/>
        <v>0</v>
      </c>
      <c r="Q1190" s="24">
        <f t="shared" si="1938"/>
        <v>934.19999999999993</v>
      </c>
      <c r="R1190" s="87">
        <v>53</v>
      </c>
      <c r="T1190" s="235" t="str">
        <f t="shared" si="1916"/>
        <v xml:space="preserve"> </v>
      </c>
      <c r="U1190" s="232"/>
    </row>
    <row r="1191" spans="1:21" s="57" customFormat="1" x14ac:dyDescent="0.25">
      <c r="A1191" s="158"/>
      <c r="B1191" s="5"/>
      <c r="C1191" s="8"/>
      <c r="D1191" s="5"/>
      <c r="E1191" s="16"/>
      <c r="F1191" s="11"/>
      <c r="G1191" s="11"/>
      <c r="H1191" s="11"/>
      <c r="I1191" s="11"/>
      <c r="J1191" s="11"/>
      <c r="K1191" s="11"/>
      <c r="L1191" s="25"/>
      <c r="M1191" s="25"/>
      <c r="N1191" s="25"/>
      <c r="O1191" s="25"/>
      <c r="P1191" s="25"/>
      <c r="Q1191" s="25"/>
      <c r="R1191" s="88"/>
      <c r="T1191" s="235" t="str">
        <f t="shared" si="1916"/>
        <v xml:space="preserve"> </v>
      </c>
      <c r="U1191" s="232"/>
    </row>
    <row r="1192" spans="1:21" s="57" customFormat="1" ht="45" x14ac:dyDescent="0.25">
      <c r="A1192" s="156">
        <v>152</v>
      </c>
      <c r="B1192" s="3" t="s">
        <v>715</v>
      </c>
      <c r="C1192" s="3" t="s">
        <v>708</v>
      </c>
      <c r="D1192" s="4" t="s">
        <v>74</v>
      </c>
      <c r="E1192" s="15"/>
      <c r="F1192" s="10"/>
      <c r="G1192" s="10"/>
      <c r="H1192" s="26">
        <f>VLOOKUP($A1192,'Model Inputs'!$A:$C,3,FALSE)</f>
        <v>-40</v>
      </c>
      <c r="I1192" s="10"/>
      <c r="J1192" s="10">
        <f>SUBTOTAL(9,J1193:J1198)</f>
        <v>-2514.8000000000002</v>
      </c>
      <c r="K1192" s="10"/>
      <c r="L1192" s="10"/>
      <c r="M1192" s="10">
        <f>SUBTOTAL(9,M1193:M1198)</f>
        <v>-622.79999999999995</v>
      </c>
      <c r="N1192" s="10">
        <f t="shared" ref="N1192:Q1192" si="1939">SUBTOTAL(9,N1193:N1198)</f>
        <v>0</v>
      </c>
      <c r="O1192" s="10">
        <f t="shared" si="1939"/>
        <v>-1892</v>
      </c>
      <c r="P1192" s="10">
        <f t="shared" si="1939"/>
        <v>0</v>
      </c>
      <c r="Q1192" s="10">
        <f t="shared" si="1939"/>
        <v>-2514.8000000000002</v>
      </c>
      <c r="R1192" s="86"/>
      <c r="T1192" s="235" t="str">
        <f t="shared" si="1916"/>
        <v xml:space="preserve"> </v>
      </c>
      <c r="U1192" s="232"/>
    </row>
    <row r="1193" spans="1:21" s="57" customFormat="1" x14ac:dyDescent="0.25">
      <c r="A1193" s="157">
        <v>152.1</v>
      </c>
      <c r="B1193" s="6">
        <v>1</v>
      </c>
      <c r="C1193" s="9" t="s">
        <v>70</v>
      </c>
      <c r="D1193" s="6" t="s">
        <v>26</v>
      </c>
      <c r="E1193" s="17" t="str">
        <f>VLOOKUP(C1193,Resources!B:G,3,FALSE)</f>
        <v>P</v>
      </c>
      <c r="F1193" s="12">
        <v>1</v>
      </c>
      <c r="G1193" s="26">
        <f>VLOOKUP($A1193,'Model Inputs'!$A:$C,3,FALSE)</f>
        <v>10</v>
      </c>
      <c r="H1193" s="12">
        <f>H1192</f>
        <v>-40</v>
      </c>
      <c r="I1193" s="12">
        <f>VLOOKUP(C1193,Resources!B:G,6,FALSE)</f>
        <v>135</v>
      </c>
      <c r="J1193" s="21">
        <f t="shared" ref="J1193:J1198" si="1940">(H1193/G1193)*I1193*F1193</f>
        <v>-540</v>
      </c>
      <c r="K1193" s="21"/>
      <c r="L1193" s="24">
        <v>0</v>
      </c>
      <c r="M1193" s="24">
        <f t="shared" ref="M1193:M1198" si="1941">IF($E1193="L",$J1193,0)</f>
        <v>0</v>
      </c>
      <c r="N1193" s="24">
        <f t="shared" ref="N1193:N1198" si="1942">IF($E1193="M",$J1193,0)</f>
        <v>0</v>
      </c>
      <c r="O1193" s="24">
        <f t="shared" ref="O1193:O1198" si="1943">IF($E1193="P",$J1193,0)</f>
        <v>-540</v>
      </c>
      <c r="P1193" s="24">
        <f t="shared" ref="P1193:P1198" si="1944">IF($E1193="S",$J1193,0)</f>
        <v>0</v>
      </c>
      <c r="Q1193" s="24">
        <f t="shared" ref="Q1193:Q1198" si="1945">SUM(M1193:P1193)</f>
        <v>-540</v>
      </c>
      <c r="R1193" s="87">
        <v>57</v>
      </c>
      <c r="T1193" s="235" t="str">
        <f t="shared" si="1916"/>
        <v xml:space="preserve"> </v>
      </c>
      <c r="U1193" s="232"/>
    </row>
    <row r="1194" spans="1:21" s="57" customFormat="1" x14ac:dyDescent="0.25">
      <c r="A1194" s="157"/>
      <c r="B1194" s="6">
        <v>2</v>
      </c>
      <c r="C1194" s="9" t="s">
        <v>27</v>
      </c>
      <c r="D1194" s="6" t="s">
        <v>26</v>
      </c>
      <c r="E1194" s="17" t="str">
        <f>VLOOKUP(C1194,Resources!B:G,3,FALSE)</f>
        <v>P</v>
      </c>
      <c r="F1194" s="12">
        <v>1</v>
      </c>
      <c r="G1194" s="12">
        <f>G1193</f>
        <v>10</v>
      </c>
      <c r="H1194" s="12">
        <f>H1192</f>
        <v>-40</v>
      </c>
      <c r="I1194" s="12">
        <f>VLOOKUP(C1194,Resources!B:G,6,FALSE)</f>
        <v>90</v>
      </c>
      <c r="J1194" s="21">
        <f t="shared" si="1940"/>
        <v>-360</v>
      </c>
      <c r="K1194" s="21"/>
      <c r="L1194" s="24">
        <v>0</v>
      </c>
      <c r="M1194" s="24">
        <f t="shared" si="1941"/>
        <v>0</v>
      </c>
      <c r="N1194" s="24">
        <f t="shared" si="1942"/>
        <v>0</v>
      </c>
      <c r="O1194" s="24">
        <f t="shared" si="1943"/>
        <v>-360</v>
      </c>
      <c r="P1194" s="24">
        <f t="shared" si="1944"/>
        <v>0</v>
      </c>
      <c r="Q1194" s="24">
        <f t="shared" si="1945"/>
        <v>-360</v>
      </c>
      <c r="R1194" s="87">
        <v>57</v>
      </c>
      <c r="T1194" s="235" t="str">
        <f t="shared" si="1916"/>
        <v xml:space="preserve"> </v>
      </c>
      <c r="U1194" s="232"/>
    </row>
    <row r="1195" spans="1:21" s="57" customFormat="1" x14ac:dyDescent="0.25">
      <c r="A1195" s="157"/>
      <c r="B1195" s="6">
        <v>3</v>
      </c>
      <c r="C1195" s="9" t="s">
        <v>81</v>
      </c>
      <c r="D1195" s="6" t="s">
        <v>26</v>
      </c>
      <c r="E1195" s="17" t="str">
        <f>VLOOKUP(C1195,Resources!B:G,3,FALSE)</f>
        <v>P</v>
      </c>
      <c r="F1195" s="12">
        <v>1</v>
      </c>
      <c r="G1195" s="12">
        <f>G1193</f>
        <v>10</v>
      </c>
      <c r="H1195" s="12">
        <f>H1192</f>
        <v>-40</v>
      </c>
      <c r="I1195" s="12">
        <f>VLOOKUP(C1195,Resources!B:G,6,FALSE)</f>
        <v>58</v>
      </c>
      <c r="J1195" s="21">
        <f t="shared" si="1940"/>
        <v>-232</v>
      </c>
      <c r="K1195" s="21"/>
      <c r="L1195" s="24">
        <v>0</v>
      </c>
      <c r="M1195" s="24">
        <f t="shared" si="1941"/>
        <v>0</v>
      </c>
      <c r="N1195" s="24">
        <f t="shared" si="1942"/>
        <v>0</v>
      </c>
      <c r="O1195" s="24">
        <f t="shared" si="1943"/>
        <v>-232</v>
      </c>
      <c r="P1195" s="24">
        <f t="shared" si="1944"/>
        <v>0</v>
      </c>
      <c r="Q1195" s="24">
        <f t="shared" si="1945"/>
        <v>-232</v>
      </c>
      <c r="R1195" s="87">
        <v>57</v>
      </c>
      <c r="T1195" s="235" t="str">
        <f t="shared" si="1916"/>
        <v xml:space="preserve"> </v>
      </c>
      <c r="U1195" s="232"/>
    </row>
    <row r="1196" spans="1:21" s="57" customFormat="1" x14ac:dyDescent="0.25">
      <c r="A1196" s="157"/>
      <c r="B1196" s="6">
        <v>4</v>
      </c>
      <c r="C1196" s="9" t="s">
        <v>28</v>
      </c>
      <c r="D1196" s="6" t="s">
        <v>26</v>
      </c>
      <c r="E1196" s="17" t="str">
        <f>VLOOKUP(C1196,Resources!B:G,3,FALSE)</f>
        <v>P</v>
      </c>
      <c r="F1196" s="12">
        <v>1</v>
      </c>
      <c r="G1196" s="12">
        <f>G1193</f>
        <v>10</v>
      </c>
      <c r="H1196" s="12">
        <f>H1192</f>
        <v>-40</v>
      </c>
      <c r="I1196" s="12">
        <f>VLOOKUP(C1196,Resources!B:G,6,FALSE)</f>
        <v>95</v>
      </c>
      <c r="J1196" s="21">
        <f t="shared" si="1940"/>
        <v>-380</v>
      </c>
      <c r="K1196" s="21"/>
      <c r="L1196" s="24">
        <v>0</v>
      </c>
      <c r="M1196" s="24">
        <f t="shared" si="1941"/>
        <v>0</v>
      </c>
      <c r="N1196" s="24">
        <f t="shared" si="1942"/>
        <v>0</v>
      </c>
      <c r="O1196" s="24">
        <f t="shared" si="1943"/>
        <v>-380</v>
      </c>
      <c r="P1196" s="24">
        <f t="shared" si="1944"/>
        <v>0</v>
      </c>
      <c r="Q1196" s="24">
        <f t="shared" si="1945"/>
        <v>-380</v>
      </c>
      <c r="R1196" s="87">
        <v>57</v>
      </c>
      <c r="T1196" s="235" t="str">
        <f t="shared" si="1916"/>
        <v xml:space="preserve"> </v>
      </c>
      <c r="U1196" s="232"/>
    </row>
    <row r="1197" spans="1:21" s="57" customFormat="1" x14ac:dyDescent="0.25">
      <c r="A1197" s="157"/>
      <c r="B1197" s="6">
        <v>5</v>
      </c>
      <c r="C1197" s="9" t="s">
        <v>8</v>
      </c>
      <c r="D1197" s="6" t="s">
        <v>26</v>
      </c>
      <c r="E1197" s="17" t="str">
        <f>VLOOKUP(C1197,Resources!B:G,3,FALSE)</f>
        <v>L</v>
      </c>
      <c r="F1197" s="12">
        <v>3</v>
      </c>
      <c r="G1197" s="12">
        <f>G1193</f>
        <v>10</v>
      </c>
      <c r="H1197" s="12">
        <f>H1192</f>
        <v>-40</v>
      </c>
      <c r="I1197" s="12">
        <f>VLOOKUP(C1197,Resources!B:G,6,FALSE)</f>
        <v>51.9</v>
      </c>
      <c r="J1197" s="21">
        <f t="shared" si="1940"/>
        <v>-622.79999999999995</v>
      </c>
      <c r="K1197" s="21"/>
      <c r="L1197" s="24">
        <v>0</v>
      </c>
      <c r="M1197" s="24">
        <f t="shared" si="1941"/>
        <v>-622.79999999999995</v>
      </c>
      <c r="N1197" s="24">
        <f t="shared" si="1942"/>
        <v>0</v>
      </c>
      <c r="O1197" s="24">
        <f t="shared" si="1943"/>
        <v>0</v>
      </c>
      <c r="P1197" s="24">
        <f t="shared" si="1944"/>
        <v>0</v>
      </c>
      <c r="Q1197" s="24">
        <f t="shared" si="1945"/>
        <v>-622.79999999999995</v>
      </c>
      <c r="R1197" s="87">
        <v>57</v>
      </c>
      <c r="T1197" s="235" t="str">
        <f t="shared" si="1916"/>
        <v xml:space="preserve"> </v>
      </c>
      <c r="U1197" s="232"/>
    </row>
    <row r="1198" spans="1:21" s="57" customFormat="1" x14ac:dyDescent="0.25">
      <c r="A1198" s="157"/>
      <c r="B1198" s="6">
        <v>6</v>
      </c>
      <c r="C1198" s="9" t="s">
        <v>82</v>
      </c>
      <c r="D1198" s="6" t="s">
        <v>26</v>
      </c>
      <c r="E1198" s="17" t="str">
        <f>VLOOKUP(C1198,Resources!B:G,3,FALSE)</f>
        <v>P</v>
      </c>
      <c r="F1198" s="12">
        <v>1</v>
      </c>
      <c r="G1198" s="12">
        <f>G1193</f>
        <v>10</v>
      </c>
      <c r="H1198" s="12">
        <f>H1192</f>
        <v>-40</v>
      </c>
      <c r="I1198" s="12">
        <f>VLOOKUP(C1198,Resources!B:G,6,FALSE)</f>
        <v>95</v>
      </c>
      <c r="J1198" s="21">
        <f t="shared" si="1940"/>
        <v>-380</v>
      </c>
      <c r="K1198" s="21"/>
      <c r="L1198" s="24">
        <v>0</v>
      </c>
      <c r="M1198" s="24">
        <f t="shared" si="1941"/>
        <v>0</v>
      </c>
      <c r="N1198" s="24">
        <f t="shared" si="1942"/>
        <v>0</v>
      </c>
      <c r="O1198" s="24">
        <f t="shared" si="1943"/>
        <v>-380</v>
      </c>
      <c r="P1198" s="24">
        <f t="shared" si="1944"/>
        <v>0</v>
      </c>
      <c r="Q1198" s="24">
        <f t="shared" si="1945"/>
        <v>-380</v>
      </c>
      <c r="R1198" s="87">
        <v>57</v>
      </c>
      <c r="T1198" s="235" t="str">
        <f t="shared" si="1916"/>
        <v xml:space="preserve"> </v>
      </c>
      <c r="U1198" s="232"/>
    </row>
    <row r="1199" spans="1:21" s="57" customFormat="1" x14ac:dyDescent="0.25">
      <c r="A1199" s="158"/>
      <c r="B1199" s="5"/>
      <c r="C1199" s="8"/>
      <c r="D1199" s="5"/>
      <c r="E1199" s="16"/>
      <c r="F1199" s="11"/>
      <c r="G1199" s="11"/>
      <c r="H1199" s="11"/>
      <c r="I1199" s="11"/>
      <c r="J1199" s="11"/>
      <c r="K1199" s="11"/>
      <c r="L1199" s="25"/>
      <c r="M1199" s="25"/>
      <c r="N1199" s="25"/>
      <c r="O1199" s="25"/>
      <c r="P1199" s="25"/>
      <c r="Q1199" s="25"/>
      <c r="R1199" s="88"/>
      <c r="T1199" s="235" t="str">
        <f t="shared" si="1916"/>
        <v xml:space="preserve"> </v>
      </c>
      <c r="U1199" s="232"/>
    </row>
    <row r="1200" spans="1:21" s="57" customFormat="1" ht="60" x14ac:dyDescent="0.25">
      <c r="A1200" s="156">
        <v>153</v>
      </c>
      <c r="B1200" s="3" t="s">
        <v>716</v>
      </c>
      <c r="C1200" s="3" t="s">
        <v>709</v>
      </c>
      <c r="D1200" s="4" t="s">
        <v>74</v>
      </c>
      <c r="E1200" s="15"/>
      <c r="F1200" s="10"/>
      <c r="G1200" s="10"/>
      <c r="H1200" s="26">
        <f>VLOOKUP($A1200,'Model Inputs'!$A:$C,3,FALSE)</f>
        <v>-423</v>
      </c>
      <c r="I1200" s="10"/>
      <c r="J1200" s="10">
        <f>SUBTOTAL(9,J1202:J1205)</f>
        <v>-9338.1479999999992</v>
      </c>
      <c r="K1200" s="10"/>
      <c r="L1200" s="10"/>
      <c r="M1200" s="10">
        <f>SUBTOTAL(9,M1202:M1205)</f>
        <v>-878.14800000000002</v>
      </c>
      <c r="N1200" s="10">
        <f t="shared" ref="N1200:Q1200" si="1946">SUBTOTAL(9,N1202:N1205)</f>
        <v>0</v>
      </c>
      <c r="O1200" s="10">
        <f t="shared" si="1946"/>
        <v>-8460</v>
      </c>
      <c r="P1200" s="10">
        <f t="shared" si="1946"/>
        <v>0</v>
      </c>
      <c r="Q1200" s="10">
        <f t="shared" si="1946"/>
        <v>-9338.1479999999992</v>
      </c>
      <c r="R1200" s="86"/>
      <c r="T1200" s="235" t="str">
        <f t="shared" si="1916"/>
        <v xml:space="preserve"> </v>
      </c>
      <c r="U1200" s="232"/>
    </row>
    <row r="1201" spans="1:21" s="57" customFormat="1" x14ac:dyDescent="0.25">
      <c r="A1201" s="157"/>
      <c r="B1201" s="6">
        <v>1</v>
      </c>
      <c r="C1201" s="9" t="s">
        <v>75</v>
      </c>
      <c r="D1201" s="6"/>
      <c r="E1201" s="17"/>
      <c r="F1201" s="12"/>
      <c r="G1201" s="12"/>
      <c r="H1201" s="12"/>
      <c r="I1201" s="12"/>
      <c r="J1201" s="21"/>
      <c r="K1201" s="21"/>
      <c r="L1201" s="24"/>
      <c r="M1201" s="24"/>
      <c r="N1201" s="24"/>
      <c r="O1201" s="24"/>
      <c r="P1201" s="24"/>
      <c r="Q1201" s="24"/>
      <c r="R1201" s="87"/>
      <c r="T1201" s="235" t="str">
        <f t="shared" si="1916"/>
        <v xml:space="preserve"> </v>
      </c>
      <c r="U1201" s="232"/>
    </row>
    <row r="1202" spans="1:21" s="57" customFormat="1" x14ac:dyDescent="0.25">
      <c r="A1202" s="157">
        <v>153.1</v>
      </c>
      <c r="B1202" s="6">
        <v>2</v>
      </c>
      <c r="C1202" s="9" t="s">
        <v>70</v>
      </c>
      <c r="D1202" s="6" t="s">
        <v>26</v>
      </c>
      <c r="E1202" s="17" t="str">
        <f>VLOOKUP(C1202,Resources!B:G,3,FALSE)</f>
        <v>P</v>
      </c>
      <c r="F1202" s="12">
        <v>1</v>
      </c>
      <c r="G1202" s="26">
        <f>VLOOKUP($A1202,'Model Inputs'!$A:$C,3,FALSE)</f>
        <v>25</v>
      </c>
      <c r="H1202" s="12">
        <f>H1200</f>
        <v>-423</v>
      </c>
      <c r="I1202" s="12">
        <f>VLOOKUP(C1202,Resources!B:G,6,FALSE)</f>
        <v>135</v>
      </c>
      <c r="J1202" s="21">
        <f t="shared" ref="J1202:J1205" si="1947">(H1202/G1202)*I1202*F1202</f>
        <v>-2284.2000000000003</v>
      </c>
      <c r="K1202" s="21"/>
      <c r="L1202" s="24">
        <v>0</v>
      </c>
      <c r="M1202" s="24">
        <f t="shared" ref="M1202:M1205" si="1948">IF($E1202="L",$J1202,0)</f>
        <v>0</v>
      </c>
      <c r="N1202" s="24">
        <f t="shared" ref="N1202:N1205" si="1949">IF($E1202="M",$J1202,0)</f>
        <v>0</v>
      </c>
      <c r="O1202" s="24">
        <f t="shared" ref="O1202:O1205" si="1950">IF($E1202="P",$J1202,0)</f>
        <v>-2284.2000000000003</v>
      </c>
      <c r="P1202" s="24">
        <f t="shared" ref="P1202:P1205" si="1951">IF($E1202="S",$J1202,0)</f>
        <v>0</v>
      </c>
      <c r="Q1202" s="24">
        <f t="shared" ref="Q1202:Q1205" si="1952">SUM(M1202:P1202)</f>
        <v>-2284.2000000000003</v>
      </c>
      <c r="R1202" s="87">
        <v>53</v>
      </c>
      <c r="T1202" s="235" t="str">
        <f t="shared" si="1916"/>
        <v xml:space="preserve"> </v>
      </c>
      <c r="U1202" s="232"/>
    </row>
    <row r="1203" spans="1:21" s="57" customFormat="1" x14ac:dyDescent="0.25">
      <c r="A1203" s="157"/>
      <c r="B1203" s="6">
        <v>3</v>
      </c>
      <c r="C1203" s="9" t="s">
        <v>27</v>
      </c>
      <c r="D1203" s="6" t="s">
        <v>26</v>
      </c>
      <c r="E1203" s="17" t="str">
        <f>VLOOKUP(C1203,Resources!B:G,3,FALSE)</f>
        <v>P</v>
      </c>
      <c r="F1203" s="12">
        <v>3</v>
      </c>
      <c r="G1203" s="12">
        <f>G1202</f>
        <v>25</v>
      </c>
      <c r="H1203" s="12">
        <f>H1200</f>
        <v>-423</v>
      </c>
      <c r="I1203" s="12">
        <f>VLOOKUP(C1203,Resources!B:G,6,FALSE)</f>
        <v>90</v>
      </c>
      <c r="J1203" s="21">
        <f t="shared" si="1947"/>
        <v>-4568.4000000000005</v>
      </c>
      <c r="K1203" s="21"/>
      <c r="L1203" s="24">
        <v>0</v>
      </c>
      <c r="M1203" s="24">
        <f t="shared" si="1948"/>
        <v>0</v>
      </c>
      <c r="N1203" s="24">
        <f t="shared" si="1949"/>
        <v>0</v>
      </c>
      <c r="O1203" s="24">
        <f t="shared" si="1950"/>
        <v>-4568.4000000000005</v>
      </c>
      <c r="P1203" s="24">
        <f t="shared" si="1951"/>
        <v>0</v>
      </c>
      <c r="Q1203" s="24">
        <f t="shared" si="1952"/>
        <v>-4568.4000000000005</v>
      </c>
      <c r="R1203" s="87">
        <v>53</v>
      </c>
      <c r="T1203" s="235" t="str">
        <f t="shared" si="1916"/>
        <v xml:space="preserve"> </v>
      </c>
      <c r="U1203" s="232"/>
    </row>
    <row r="1204" spans="1:21" s="57" customFormat="1" x14ac:dyDescent="0.25">
      <c r="A1204" s="157"/>
      <c r="B1204" s="6">
        <v>4</v>
      </c>
      <c r="C1204" s="9" t="s">
        <v>28</v>
      </c>
      <c r="D1204" s="6" t="s">
        <v>26</v>
      </c>
      <c r="E1204" s="17" t="str">
        <f>VLOOKUP(C1204,Resources!B:G,3,FALSE)</f>
        <v>P</v>
      </c>
      <c r="F1204" s="12">
        <v>1</v>
      </c>
      <c r="G1204" s="12">
        <f>G1202</f>
        <v>25</v>
      </c>
      <c r="H1204" s="12">
        <f>H1200</f>
        <v>-423</v>
      </c>
      <c r="I1204" s="12">
        <f>VLOOKUP(C1204,Resources!B:G,6,FALSE)</f>
        <v>95</v>
      </c>
      <c r="J1204" s="21">
        <f t="shared" si="1947"/>
        <v>-1607.4</v>
      </c>
      <c r="K1204" s="21"/>
      <c r="L1204" s="24">
        <v>0</v>
      </c>
      <c r="M1204" s="24">
        <f t="shared" si="1948"/>
        <v>0</v>
      </c>
      <c r="N1204" s="24">
        <f t="shared" si="1949"/>
        <v>0</v>
      </c>
      <c r="O1204" s="24">
        <f t="shared" si="1950"/>
        <v>-1607.4</v>
      </c>
      <c r="P1204" s="24">
        <f t="shared" si="1951"/>
        <v>0</v>
      </c>
      <c r="Q1204" s="24">
        <f t="shared" si="1952"/>
        <v>-1607.4</v>
      </c>
      <c r="R1204" s="87">
        <v>53</v>
      </c>
      <c r="T1204" s="235" t="str">
        <f t="shared" si="1916"/>
        <v xml:space="preserve"> </v>
      </c>
      <c r="U1204" s="232"/>
    </row>
    <row r="1205" spans="1:21" s="57" customFormat="1" x14ac:dyDescent="0.25">
      <c r="A1205" s="157"/>
      <c r="B1205" s="6">
        <v>5</v>
      </c>
      <c r="C1205" s="9" t="s">
        <v>8</v>
      </c>
      <c r="D1205" s="6" t="s">
        <v>26</v>
      </c>
      <c r="E1205" s="17" t="str">
        <f>VLOOKUP(C1205,Resources!B:G,3,FALSE)</f>
        <v>L</v>
      </c>
      <c r="F1205" s="12">
        <v>1</v>
      </c>
      <c r="G1205" s="12">
        <f>G1202</f>
        <v>25</v>
      </c>
      <c r="H1205" s="12">
        <f>H1200</f>
        <v>-423</v>
      </c>
      <c r="I1205" s="12">
        <f>VLOOKUP(C1205,Resources!B:G,6,FALSE)</f>
        <v>51.9</v>
      </c>
      <c r="J1205" s="21">
        <f t="shared" si="1947"/>
        <v>-878.14800000000002</v>
      </c>
      <c r="K1205" s="21"/>
      <c r="L1205" s="24">
        <v>0</v>
      </c>
      <c r="M1205" s="24">
        <f t="shared" si="1948"/>
        <v>-878.14800000000002</v>
      </c>
      <c r="N1205" s="24">
        <f t="shared" si="1949"/>
        <v>0</v>
      </c>
      <c r="O1205" s="24">
        <f t="shared" si="1950"/>
        <v>0</v>
      </c>
      <c r="P1205" s="24">
        <f t="shared" si="1951"/>
        <v>0</v>
      </c>
      <c r="Q1205" s="24">
        <f t="shared" si="1952"/>
        <v>-878.14800000000002</v>
      </c>
      <c r="R1205" s="87">
        <v>53</v>
      </c>
      <c r="T1205" s="235" t="str">
        <f t="shared" si="1916"/>
        <v xml:space="preserve"> </v>
      </c>
      <c r="U1205" s="232"/>
    </row>
    <row r="1206" spans="1:21" s="57" customFormat="1" x14ac:dyDescent="0.25">
      <c r="A1206" s="158"/>
      <c r="B1206" s="5"/>
      <c r="C1206" s="8"/>
      <c r="D1206" s="5"/>
      <c r="E1206" s="16"/>
      <c r="F1206" s="11"/>
      <c r="G1206" s="11"/>
      <c r="H1206" s="11"/>
      <c r="I1206" s="11"/>
      <c r="J1206" s="11"/>
      <c r="K1206" s="11"/>
      <c r="L1206" s="25"/>
      <c r="M1206" s="25"/>
      <c r="N1206" s="25"/>
      <c r="O1206" s="25"/>
      <c r="P1206" s="25"/>
      <c r="Q1206" s="25"/>
      <c r="R1206" s="88"/>
      <c r="T1206" s="235" t="str">
        <f t="shared" si="1916"/>
        <v xml:space="preserve"> </v>
      </c>
      <c r="U1206" s="232"/>
    </row>
    <row r="1207" spans="1:21" s="57" customFormat="1" ht="60" x14ac:dyDescent="0.25">
      <c r="A1207" s="156"/>
      <c r="B1207" s="3"/>
      <c r="C1207" s="3" t="s">
        <v>710</v>
      </c>
      <c r="D1207" s="4"/>
      <c r="E1207" s="15"/>
      <c r="F1207" s="10"/>
      <c r="G1207" s="10"/>
      <c r="H1207" s="10"/>
      <c r="I1207" s="10"/>
      <c r="J1207" s="10"/>
      <c r="K1207" s="10"/>
      <c r="L1207" s="23"/>
      <c r="M1207" s="23"/>
      <c r="N1207" s="23"/>
      <c r="O1207" s="23"/>
      <c r="P1207" s="23"/>
      <c r="Q1207" s="23"/>
      <c r="R1207" s="86"/>
      <c r="T1207" s="235" t="str">
        <f t="shared" si="1916"/>
        <v xml:space="preserve"> </v>
      </c>
      <c r="U1207" s="232"/>
    </row>
    <row r="1208" spans="1:21" s="57" customFormat="1" ht="60" x14ac:dyDescent="0.25">
      <c r="A1208" s="156">
        <v>154</v>
      </c>
      <c r="B1208" s="3" t="s">
        <v>717</v>
      </c>
      <c r="C1208" s="3" t="s">
        <v>557</v>
      </c>
      <c r="D1208" s="4" t="s">
        <v>88</v>
      </c>
      <c r="E1208" s="15"/>
      <c r="F1208" s="10"/>
      <c r="G1208" s="10"/>
      <c r="H1208" s="26">
        <f>VLOOKUP($A1208,'Model Inputs'!$A:$C,3,FALSE)</f>
        <v>-11270</v>
      </c>
      <c r="I1208" s="10"/>
      <c r="J1208" s="10">
        <f>SUBTOTAL(9,J1209:J1215)</f>
        <v>-32985.411666666667</v>
      </c>
      <c r="K1208" s="10"/>
      <c r="L1208" s="10"/>
      <c r="M1208" s="10">
        <f>SUBTOTAL(9,M1209:M1215)</f>
        <v>-8773.6949999999997</v>
      </c>
      <c r="N1208" s="10">
        <f t="shared" ref="N1208:Q1208" si="1953">SUBTOTAL(9,N1209:N1215)</f>
        <v>0</v>
      </c>
      <c r="O1208" s="10">
        <f t="shared" si="1953"/>
        <v>-24211.716666666667</v>
      </c>
      <c r="P1208" s="10">
        <f t="shared" si="1953"/>
        <v>0</v>
      </c>
      <c r="Q1208" s="10">
        <f t="shared" si="1953"/>
        <v>-32985.411666666667</v>
      </c>
      <c r="R1208" s="86"/>
      <c r="T1208" s="235" t="str">
        <f t="shared" si="1916"/>
        <v xml:space="preserve"> </v>
      </c>
      <c r="U1208" s="232"/>
    </row>
    <row r="1209" spans="1:21" s="57" customFormat="1" x14ac:dyDescent="0.25">
      <c r="A1209" s="157">
        <v>154.1</v>
      </c>
      <c r="B1209" s="6">
        <v>1</v>
      </c>
      <c r="C1209" s="9" t="s">
        <v>78</v>
      </c>
      <c r="D1209" s="6" t="s">
        <v>26</v>
      </c>
      <c r="E1209" s="17" t="str">
        <f>VLOOKUP(C1209,Resources!B:G,3,FALSE)</f>
        <v>P</v>
      </c>
      <c r="F1209" s="12">
        <v>1</v>
      </c>
      <c r="G1209" s="26">
        <f>VLOOKUP($A1209,'Model Inputs'!$A:$C,3,FALSE)</f>
        <v>200</v>
      </c>
      <c r="H1209" s="12">
        <f>H1208</f>
        <v>-11270</v>
      </c>
      <c r="I1209" s="12">
        <f>VLOOKUP(C1209,Resources!B:G,6,FALSE)</f>
        <v>160</v>
      </c>
      <c r="J1209" s="21">
        <f t="shared" ref="J1209:J1215" si="1954">(H1209/G1209)*I1209*F1209</f>
        <v>-9016</v>
      </c>
      <c r="K1209" s="21"/>
      <c r="L1209" s="24">
        <v>0</v>
      </c>
      <c r="M1209" s="24">
        <f t="shared" ref="M1209:M1215" si="1955">IF($E1209="L",$J1209,0)</f>
        <v>0</v>
      </c>
      <c r="N1209" s="24">
        <f t="shared" ref="N1209:N1215" si="1956">IF($E1209="M",$J1209,0)</f>
        <v>0</v>
      </c>
      <c r="O1209" s="24">
        <f t="shared" ref="O1209:O1215" si="1957">IF($E1209="P",$J1209,0)</f>
        <v>-9016</v>
      </c>
      <c r="P1209" s="24">
        <f t="shared" ref="P1209:P1215" si="1958">IF($E1209="S",$J1209,0)</f>
        <v>0</v>
      </c>
      <c r="Q1209" s="24">
        <f t="shared" ref="Q1209:Q1215" si="1959">SUM(M1209:P1209)</f>
        <v>-9016</v>
      </c>
      <c r="R1209" s="87">
        <v>61</v>
      </c>
      <c r="T1209" s="235" t="str">
        <f t="shared" si="1916"/>
        <v xml:space="preserve"> </v>
      </c>
      <c r="U1209" s="232"/>
    </row>
    <row r="1210" spans="1:21" s="57" customFormat="1" x14ac:dyDescent="0.25">
      <c r="A1210" s="157"/>
      <c r="B1210" s="6">
        <v>2</v>
      </c>
      <c r="C1210" s="9" t="s">
        <v>89</v>
      </c>
      <c r="D1210" s="6" t="s">
        <v>26</v>
      </c>
      <c r="E1210" s="17" t="str">
        <f>VLOOKUP(C1210,Resources!B:G,3,FALSE)</f>
        <v>P</v>
      </c>
      <c r="F1210" s="12">
        <v>1</v>
      </c>
      <c r="G1210" s="12">
        <f>G1209</f>
        <v>200</v>
      </c>
      <c r="H1210" s="12">
        <f>H1208</f>
        <v>-11270</v>
      </c>
      <c r="I1210" s="12">
        <f>VLOOKUP(C1210,Resources!B:G,6,FALSE)</f>
        <v>55</v>
      </c>
      <c r="J1210" s="21">
        <f t="shared" si="1954"/>
        <v>-3099.25</v>
      </c>
      <c r="K1210" s="21"/>
      <c r="L1210" s="24">
        <v>0</v>
      </c>
      <c r="M1210" s="24">
        <f t="shared" si="1955"/>
        <v>0</v>
      </c>
      <c r="N1210" s="24">
        <f t="shared" si="1956"/>
        <v>0</v>
      </c>
      <c r="O1210" s="24">
        <f t="shared" si="1957"/>
        <v>-3099.25</v>
      </c>
      <c r="P1210" s="24">
        <f t="shared" si="1958"/>
        <v>0</v>
      </c>
      <c r="Q1210" s="24">
        <f t="shared" si="1959"/>
        <v>-3099.25</v>
      </c>
      <c r="R1210" s="87">
        <v>61</v>
      </c>
      <c r="T1210" s="235" t="str">
        <f t="shared" si="1916"/>
        <v xml:space="preserve"> </v>
      </c>
      <c r="U1210" s="232"/>
    </row>
    <row r="1211" spans="1:21" s="57" customFormat="1" x14ac:dyDescent="0.25">
      <c r="A1211" s="157"/>
      <c r="B1211" s="6">
        <v>3</v>
      </c>
      <c r="C1211" s="9" t="s">
        <v>81</v>
      </c>
      <c r="D1211" s="6" t="s">
        <v>26</v>
      </c>
      <c r="E1211" s="17" t="str">
        <f>VLOOKUP(C1211,Resources!B:G,3,FALSE)</f>
        <v>P</v>
      </c>
      <c r="F1211" s="12">
        <v>1</v>
      </c>
      <c r="G1211" s="12">
        <f>G1209</f>
        <v>200</v>
      </c>
      <c r="H1211" s="12">
        <f>H1208</f>
        <v>-11270</v>
      </c>
      <c r="I1211" s="12">
        <f>VLOOKUP(C1211,Resources!B:G,6,FALSE)</f>
        <v>58</v>
      </c>
      <c r="J1211" s="21">
        <f t="shared" si="1954"/>
        <v>-3268.3</v>
      </c>
      <c r="K1211" s="21"/>
      <c r="L1211" s="24">
        <v>0</v>
      </c>
      <c r="M1211" s="24">
        <f t="shared" si="1955"/>
        <v>0</v>
      </c>
      <c r="N1211" s="24">
        <f t="shared" si="1956"/>
        <v>0</v>
      </c>
      <c r="O1211" s="24">
        <f t="shared" si="1957"/>
        <v>-3268.3</v>
      </c>
      <c r="P1211" s="24">
        <f t="shared" si="1958"/>
        <v>0</v>
      </c>
      <c r="Q1211" s="24">
        <f t="shared" si="1959"/>
        <v>-3268.3</v>
      </c>
      <c r="R1211" s="87">
        <v>61</v>
      </c>
      <c r="T1211" s="235" t="str">
        <f t="shared" si="1916"/>
        <v xml:space="preserve"> </v>
      </c>
      <c r="U1211" s="232"/>
    </row>
    <row r="1212" spans="1:21" s="57" customFormat="1" x14ac:dyDescent="0.25">
      <c r="A1212" s="157"/>
      <c r="B1212" s="6">
        <v>4</v>
      </c>
      <c r="C1212" s="9" t="s">
        <v>28</v>
      </c>
      <c r="D1212" s="6" t="s">
        <v>26</v>
      </c>
      <c r="E1212" s="17" t="str">
        <f>VLOOKUP(C1212,Resources!B:G,3,FALSE)</f>
        <v>P</v>
      </c>
      <c r="F1212" s="12">
        <v>1</v>
      </c>
      <c r="G1212" s="12">
        <f>G1209</f>
        <v>200</v>
      </c>
      <c r="H1212" s="12">
        <f>H1208</f>
        <v>-11270</v>
      </c>
      <c r="I1212" s="12">
        <f>VLOOKUP(C1212,Resources!B:G,6,FALSE)</f>
        <v>95</v>
      </c>
      <c r="J1212" s="21">
        <f t="shared" si="1954"/>
        <v>-5353.25</v>
      </c>
      <c r="K1212" s="21"/>
      <c r="L1212" s="24">
        <v>0</v>
      </c>
      <c r="M1212" s="24">
        <f t="shared" si="1955"/>
        <v>0</v>
      </c>
      <c r="N1212" s="24">
        <f t="shared" si="1956"/>
        <v>0</v>
      </c>
      <c r="O1212" s="24">
        <f t="shared" si="1957"/>
        <v>-5353.25</v>
      </c>
      <c r="P1212" s="24">
        <f t="shared" si="1958"/>
        <v>0</v>
      </c>
      <c r="Q1212" s="24">
        <f t="shared" si="1959"/>
        <v>-5353.25</v>
      </c>
      <c r="R1212" s="87">
        <v>61</v>
      </c>
      <c r="T1212" s="235" t="str">
        <f t="shared" si="1916"/>
        <v xml:space="preserve"> </v>
      </c>
      <c r="U1212" s="232"/>
    </row>
    <row r="1213" spans="1:21" s="57" customFormat="1" x14ac:dyDescent="0.25">
      <c r="A1213" s="157"/>
      <c r="B1213" s="6">
        <v>5</v>
      </c>
      <c r="C1213" s="9" t="s">
        <v>8</v>
      </c>
      <c r="D1213" s="6" t="s">
        <v>26</v>
      </c>
      <c r="E1213" s="17" t="str">
        <f>VLOOKUP(C1213,Resources!B:G,3,FALSE)</f>
        <v>L</v>
      </c>
      <c r="F1213" s="12">
        <v>3</v>
      </c>
      <c r="G1213" s="12">
        <f>G1209</f>
        <v>200</v>
      </c>
      <c r="H1213" s="12">
        <f>H1208</f>
        <v>-11270</v>
      </c>
      <c r="I1213" s="12">
        <f>VLOOKUP(C1213,Resources!B:G,6,FALSE)</f>
        <v>51.9</v>
      </c>
      <c r="J1213" s="21">
        <f t="shared" si="1954"/>
        <v>-8773.6949999999997</v>
      </c>
      <c r="K1213" s="21"/>
      <c r="L1213" s="24">
        <v>0</v>
      </c>
      <c r="M1213" s="24">
        <f t="shared" si="1955"/>
        <v>-8773.6949999999997</v>
      </c>
      <c r="N1213" s="24">
        <f t="shared" si="1956"/>
        <v>0</v>
      </c>
      <c r="O1213" s="24">
        <f t="shared" si="1957"/>
        <v>0</v>
      </c>
      <c r="P1213" s="24">
        <f t="shared" si="1958"/>
        <v>0</v>
      </c>
      <c r="Q1213" s="24">
        <f t="shared" si="1959"/>
        <v>-8773.6949999999997</v>
      </c>
      <c r="R1213" s="87">
        <v>61</v>
      </c>
      <c r="T1213" s="235" t="str">
        <f t="shared" si="1916"/>
        <v xml:space="preserve"> </v>
      </c>
      <c r="U1213" s="232"/>
    </row>
    <row r="1214" spans="1:21" s="57" customFormat="1" x14ac:dyDescent="0.25">
      <c r="A1214" s="157"/>
      <c r="B1214" s="6">
        <v>6</v>
      </c>
      <c r="C1214" s="9" t="s">
        <v>82</v>
      </c>
      <c r="D1214" s="6" t="s">
        <v>26</v>
      </c>
      <c r="E1214" s="17" t="str">
        <f>VLOOKUP(C1214,Resources!B:G,3,FALSE)</f>
        <v>P</v>
      </c>
      <c r="F1214" s="12">
        <v>1</v>
      </c>
      <c r="G1214" s="12">
        <f>G1209*3</f>
        <v>600</v>
      </c>
      <c r="H1214" s="12">
        <f>H1208</f>
        <v>-11270</v>
      </c>
      <c r="I1214" s="12">
        <f>VLOOKUP(C1214,Resources!B:G,6,FALSE)</f>
        <v>95</v>
      </c>
      <c r="J1214" s="21">
        <f t="shared" si="1954"/>
        <v>-1784.4166666666667</v>
      </c>
      <c r="K1214" s="21"/>
      <c r="L1214" s="24">
        <v>0</v>
      </c>
      <c r="M1214" s="24">
        <f t="shared" si="1955"/>
        <v>0</v>
      </c>
      <c r="N1214" s="24">
        <f t="shared" si="1956"/>
        <v>0</v>
      </c>
      <c r="O1214" s="24">
        <f t="shared" si="1957"/>
        <v>-1784.4166666666667</v>
      </c>
      <c r="P1214" s="24">
        <f t="shared" si="1958"/>
        <v>0</v>
      </c>
      <c r="Q1214" s="24">
        <f t="shared" si="1959"/>
        <v>-1784.4166666666667</v>
      </c>
      <c r="R1214" s="87">
        <v>61</v>
      </c>
      <c r="T1214" s="235" t="str">
        <f t="shared" si="1916"/>
        <v xml:space="preserve"> </v>
      </c>
      <c r="U1214" s="232"/>
    </row>
    <row r="1215" spans="1:21" s="57" customFormat="1" x14ac:dyDescent="0.25">
      <c r="A1215" s="157"/>
      <c r="B1215" s="6">
        <v>7</v>
      </c>
      <c r="C1215" s="9" t="s">
        <v>27</v>
      </c>
      <c r="D1215" s="6" t="s">
        <v>26</v>
      </c>
      <c r="E1215" s="17" t="str">
        <f>VLOOKUP(C1215,Resources!B:G,3,FALSE)</f>
        <v>P</v>
      </c>
      <c r="F1215" s="12">
        <v>1</v>
      </c>
      <c r="G1215" s="12">
        <f>G1214</f>
        <v>600</v>
      </c>
      <c r="H1215" s="12">
        <f>H1208</f>
        <v>-11270</v>
      </c>
      <c r="I1215" s="12">
        <f>VLOOKUP(C1215,Resources!B:G,6,FALSE)</f>
        <v>90</v>
      </c>
      <c r="J1215" s="21">
        <f t="shared" si="1954"/>
        <v>-1690.5000000000002</v>
      </c>
      <c r="K1215" s="21"/>
      <c r="L1215" s="24">
        <v>0</v>
      </c>
      <c r="M1215" s="24">
        <f t="shared" si="1955"/>
        <v>0</v>
      </c>
      <c r="N1215" s="24">
        <f t="shared" si="1956"/>
        <v>0</v>
      </c>
      <c r="O1215" s="24">
        <f t="shared" si="1957"/>
        <v>-1690.5000000000002</v>
      </c>
      <c r="P1215" s="24">
        <f t="shared" si="1958"/>
        <v>0</v>
      </c>
      <c r="Q1215" s="24">
        <f t="shared" si="1959"/>
        <v>-1690.5000000000002</v>
      </c>
      <c r="R1215" s="87">
        <v>61</v>
      </c>
      <c r="T1215" s="235" t="str">
        <f t="shared" si="1916"/>
        <v xml:space="preserve"> </v>
      </c>
      <c r="U1215" s="232"/>
    </row>
    <row r="1216" spans="1:21" s="57" customFormat="1" x14ac:dyDescent="0.25">
      <c r="A1216" s="158"/>
      <c r="B1216" s="5"/>
      <c r="C1216" s="8"/>
      <c r="D1216" s="5"/>
      <c r="E1216" s="16"/>
      <c r="F1216" s="11"/>
      <c r="G1216" s="11"/>
      <c r="H1216" s="11"/>
      <c r="I1216" s="11"/>
      <c r="J1216" s="11"/>
      <c r="K1216" s="11"/>
      <c r="L1216" s="25"/>
      <c r="M1216" s="25"/>
      <c r="N1216" s="25"/>
      <c r="O1216" s="25"/>
      <c r="P1216" s="25"/>
      <c r="Q1216" s="25"/>
      <c r="R1216" s="88"/>
      <c r="T1216" s="235" t="str">
        <f t="shared" si="1916"/>
        <v xml:space="preserve"> </v>
      </c>
      <c r="U1216" s="232"/>
    </row>
    <row r="1217" spans="1:21" s="57" customFormat="1" x14ac:dyDescent="0.25">
      <c r="A1217" s="156"/>
      <c r="B1217" s="3"/>
      <c r="C1217" s="3" t="s">
        <v>711</v>
      </c>
      <c r="D1217" s="4"/>
      <c r="E1217" s="15"/>
      <c r="F1217" s="10"/>
      <c r="G1217" s="10"/>
      <c r="H1217" s="10"/>
      <c r="I1217" s="10"/>
      <c r="J1217" s="10"/>
      <c r="K1217" s="10"/>
      <c r="L1217" s="23"/>
      <c r="M1217" s="23"/>
      <c r="N1217" s="23"/>
      <c r="O1217" s="23"/>
      <c r="P1217" s="23"/>
      <c r="Q1217" s="23"/>
      <c r="R1217" s="86"/>
      <c r="T1217" s="235" t="str">
        <f t="shared" si="1916"/>
        <v xml:space="preserve"> </v>
      </c>
      <c r="U1217" s="232"/>
    </row>
    <row r="1218" spans="1:21" s="57" customFormat="1" ht="30" x14ac:dyDescent="0.25">
      <c r="A1218" s="156"/>
      <c r="B1218" s="3"/>
      <c r="C1218" s="3" t="s">
        <v>96</v>
      </c>
      <c r="D1218" s="4"/>
      <c r="E1218" s="15"/>
      <c r="F1218" s="10"/>
      <c r="G1218" s="10"/>
      <c r="H1218" s="10"/>
      <c r="I1218" s="10"/>
      <c r="J1218" s="10"/>
      <c r="K1218" s="10"/>
      <c r="L1218" s="23"/>
      <c r="M1218" s="23"/>
      <c r="N1218" s="23"/>
      <c r="O1218" s="23"/>
      <c r="P1218" s="23"/>
      <c r="Q1218" s="23"/>
      <c r="R1218" s="86"/>
      <c r="T1218" s="235" t="str">
        <f t="shared" si="1916"/>
        <v xml:space="preserve"> </v>
      </c>
      <c r="U1218" s="232"/>
    </row>
    <row r="1219" spans="1:21" s="57" customFormat="1" x14ac:dyDescent="0.25">
      <c r="A1219" s="156"/>
      <c r="B1219" s="3"/>
      <c r="C1219" s="3" t="s">
        <v>98</v>
      </c>
      <c r="D1219" s="4"/>
      <c r="E1219" s="15"/>
      <c r="F1219" s="10"/>
      <c r="G1219" s="10"/>
      <c r="H1219" s="10"/>
      <c r="I1219" s="10"/>
      <c r="J1219" s="10"/>
      <c r="K1219" s="10"/>
      <c r="L1219" s="23"/>
      <c r="M1219" s="23"/>
      <c r="N1219" s="23"/>
      <c r="O1219" s="23"/>
      <c r="P1219" s="23"/>
      <c r="Q1219" s="23"/>
      <c r="R1219" s="86"/>
      <c r="T1219" s="235" t="str">
        <f t="shared" si="1916"/>
        <v xml:space="preserve"> </v>
      </c>
      <c r="U1219" s="232"/>
    </row>
    <row r="1220" spans="1:21" s="57" customFormat="1" ht="60" x14ac:dyDescent="0.25">
      <c r="A1220" s="156">
        <v>155</v>
      </c>
      <c r="B1220" s="3" t="s">
        <v>718</v>
      </c>
      <c r="C1220" s="3" t="s">
        <v>559</v>
      </c>
      <c r="D1220" s="4" t="s">
        <v>74</v>
      </c>
      <c r="E1220" s="15"/>
      <c r="F1220" s="10"/>
      <c r="G1220" s="10"/>
      <c r="H1220" s="26">
        <f>VLOOKUP($A1220,'Model Inputs'!$A:$C,3,FALSE)</f>
        <v>-1231</v>
      </c>
      <c r="I1220" s="10"/>
      <c r="J1220" s="10">
        <f>SUBTOTAL(9,J1221:J1225,J1227:J1228)</f>
        <v>-131510.40742500001</v>
      </c>
      <c r="K1220" s="10"/>
      <c r="L1220" s="10"/>
      <c r="M1220" s="10">
        <f>SUBTOTAL(9,M1221:M1225,M1227:M1228)</f>
        <v>-6756.2511749999985</v>
      </c>
      <c r="N1220" s="10">
        <f t="shared" ref="N1220:Q1220" si="1960">SUBTOTAL(9,N1221:N1225,N1227:N1228)</f>
        <v>-97633.6875</v>
      </c>
      <c r="O1220" s="10">
        <f t="shared" si="1960"/>
        <v>-27120.468749999996</v>
      </c>
      <c r="P1220" s="10">
        <f t="shared" si="1960"/>
        <v>0</v>
      </c>
      <c r="Q1220" s="10">
        <f t="shared" si="1960"/>
        <v>-131510.40742500001</v>
      </c>
      <c r="R1220" s="86"/>
      <c r="T1220" s="235" t="str">
        <f t="shared" si="1916"/>
        <v xml:space="preserve"> </v>
      </c>
      <c r="U1220" s="232"/>
    </row>
    <row r="1221" spans="1:21" s="57" customFormat="1" x14ac:dyDescent="0.25">
      <c r="A1221" s="157"/>
      <c r="B1221" s="6">
        <v>1</v>
      </c>
      <c r="C1221" s="9" t="s">
        <v>198</v>
      </c>
      <c r="D1221" s="6" t="s">
        <v>100</v>
      </c>
      <c r="E1221" s="17" t="str">
        <f>VLOOKUP(C1221,Resources!B:G,3,FALSE)</f>
        <v>M</v>
      </c>
      <c r="F1221" s="12">
        <v>1</v>
      </c>
      <c r="G1221" s="12">
        <v>1</v>
      </c>
      <c r="H1221" s="12">
        <f>H1220*2.35</f>
        <v>-2892.85</v>
      </c>
      <c r="I1221" s="12">
        <f>VLOOKUP(C1221,Resources!B:G,6,FALSE)</f>
        <v>33.75</v>
      </c>
      <c r="J1221" s="21">
        <f t="shared" ref="J1221:J1225" si="1961">(H1221/G1221)*I1221*F1221</f>
        <v>-97633.6875</v>
      </c>
      <c r="K1221" s="21"/>
      <c r="L1221" s="24" t="str">
        <f t="shared" ref="L1221" si="1962">IF(E1221="M"," ",H1221/G1221)</f>
        <v xml:space="preserve"> </v>
      </c>
      <c r="M1221" s="24">
        <f t="shared" ref="M1221:M1225" si="1963">IF($E1221="L",$J1221,0)</f>
        <v>0</v>
      </c>
      <c r="N1221" s="24">
        <f t="shared" ref="N1221:N1225" si="1964">IF($E1221="M",$J1221,0)</f>
        <v>-97633.6875</v>
      </c>
      <c r="O1221" s="24">
        <f t="shared" ref="O1221:O1225" si="1965">IF($E1221="P",$J1221,0)</f>
        <v>0</v>
      </c>
      <c r="P1221" s="24">
        <f t="shared" ref="P1221:P1225" si="1966">IF($E1221="S",$J1221,0)</f>
        <v>0</v>
      </c>
      <c r="Q1221" s="24">
        <f t="shared" ref="Q1221:Q1225" si="1967">SUM(M1221:P1221)</f>
        <v>-97633.6875</v>
      </c>
      <c r="R1221" s="87" t="s">
        <v>539</v>
      </c>
      <c r="T1221" s="235" t="str">
        <f t="shared" si="1916"/>
        <v xml:space="preserve"> </v>
      </c>
      <c r="U1221" s="232"/>
    </row>
    <row r="1222" spans="1:21" s="57" customFormat="1" x14ac:dyDescent="0.25">
      <c r="A1222" s="157">
        <v>155.1</v>
      </c>
      <c r="B1222" s="6">
        <v>2</v>
      </c>
      <c r="C1222" s="9" t="s">
        <v>78</v>
      </c>
      <c r="D1222" s="6" t="s">
        <v>26</v>
      </c>
      <c r="E1222" s="17" t="str">
        <f>VLOOKUP(C1222,Resources!B:G,3,FALSE)</f>
        <v>P</v>
      </c>
      <c r="F1222" s="12">
        <v>1</v>
      </c>
      <c r="G1222" s="26">
        <f>VLOOKUP($A1222,'Model Inputs'!$A:$C,3,FALSE)</f>
        <v>66.666666666666671</v>
      </c>
      <c r="H1222" s="12">
        <f>H1221</f>
        <v>-2892.85</v>
      </c>
      <c r="I1222" s="12">
        <f>VLOOKUP(C1222,Resources!B:G,6,FALSE)</f>
        <v>160</v>
      </c>
      <c r="J1222" s="21">
        <f t="shared" si="1961"/>
        <v>-6942.8399999999983</v>
      </c>
      <c r="K1222" s="21"/>
      <c r="L1222" s="24">
        <v>0</v>
      </c>
      <c r="M1222" s="24">
        <f t="shared" si="1963"/>
        <v>0</v>
      </c>
      <c r="N1222" s="24">
        <f t="shared" si="1964"/>
        <v>0</v>
      </c>
      <c r="O1222" s="24">
        <f t="shared" si="1965"/>
        <v>-6942.8399999999983</v>
      </c>
      <c r="P1222" s="24">
        <f t="shared" si="1966"/>
        <v>0</v>
      </c>
      <c r="Q1222" s="24">
        <f t="shared" si="1967"/>
        <v>-6942.8399999999983</v>
      </c>
      <c r="R1222" s="87">
        <v>62</v>
      </c>
      <c r="T1222" s="235" t="str">
        <f t="shared" si="1916"/>
        <v xml:space="preserve"> </v>
      </c>
      <c r="U1222" s="232"/>
    </row>
    <row r="1223" spans="1:21" s="57" customFormat="1" x14ac:dyDescent="0.25">
      <c r="A1223" s="157"/>
      <c r="B1223" s="6">
        <v>3</v>
      </c>
      <c r="C1223" s="9" t="s">
        <v>89</v>
      </c>
      <c r="D1223" s="6" t="s">
        <v>26</v>
      </c>
      <c r="E1223" s="17" t="str">
        <f>VLOOKUP(C1223,Resources!B:G,3,FALSE)</f>
        <v>P</v>
      </c>
      <c r="F1223" s="12">
        <v>1</v>
      </c>
      <c r="G1223" s="12">
        <f>G1222</f>
        <v>66.666666666666671</v>
      </c>
      <c r="H1223" s="12">
        <f>H1221</f>
        <v>-2892.85</v>
      </c>
      <c r="I1223" s="12">
        <f>VLOOKUP(C1223,Resources!B:G,6,FALSE)</f>
        <v>55</v>
      </c>
      <c r="J1223" s="21">
        <f t="shared" si="1961"/>
        <v>-2386.6012499999997</v>
      </c>
      <c r="K1223" s="21"/>
      <c r="L1223" s="24">
        <v>0</v>
      </c>
      <c r="M1223" s="24">
        <f t="shared" si="1963"/>
        <v>0</v>
      </c>
      <c r="N1223" s="24">
        <f t="shared" si="1964"/>
        <v>0</v>
      </c>
      <c r="O1223" s="24">
        <f t="shared" si="1965"/>
        <v>-2386.6012499999997</v>
      </c>
      <c r="P1223" s="24">
        <f t="shared" si="1966"/>
        <v>0</v>
      </c>
      <c r="Q1223" s="24">
        <f t="shared" si="1967"/>
        <v>-2386.6012499999997</v>
      </c>
      <c r="R1223" s="87">
        <v>62</v>
      </c>
      <c r="T1223" s="235" t="str">
        <f t="shared" si="1916"/>
        <v xml:space="preserve"> </v>
      </c>
      <c r="U1223" s="232"/>
    </row>
    <row r="1224" spans="1:21" s="57" customFormat="1" x14ac:dyDescent="0.25">
      <c r="A1224" s="157"/>
      <c r="B1224" s="6">
        <v>4</v>
      </c>
      <c r="C1224" s="9" t="s">
        <v>28</v>
      </c>
      <c r="D1224" s="6" t="s">
        <v>26</v>
      </c>
      <c r="E1224" s="17" t="str">
        <f>VLOOKUP(C1224,Resources!B:G,3,FALSE)</f>
        <v>P</v>
      </c>
      <c r="F1224" s="12">
        <v>1</v>
      </c>
      <c r="G1224" s="12">
        <f>G1222</f>
        <v>66.666666666666671</v>
      </c>
      <c r="H1224" s="12">
        <f>H1221</f>
        <v>-2892.85</v>
      </c>
      <c r="I1224" s="12">
        <f>VLOOKUP(C1224,Resources!B:G,6,FALSE)</f>
        <v>95</v>
      </c>
      <c r="J1224" s="21">
        <f t="shared" si="1961"/>
        <v>-4122.3112499999988</v>
      </c>
      <c r="K1224" s="21"/>
      <c r="L1224" s="24">
        <v>0</v>
      </c>
      <c r="M1224" s="24">
        <f t="shared" si="1963"/>
        <v>0</v>
      </c>
      <c r="N1224" s="24">
        <f t="shared" si="1964"/>
        <v>0</v>
      </c>
      <c r="O1224" s="24">
        <f t="shared" si="1965"/>
        <v>-4122.3112499999988</v>
      </c>
      <c r="P1224" s="24">
        <f t="shared" si="1966"/>
        <v>0</v>
      </c>
      <c r="Q1224" s="24">
        <f t="shared" si="1967"/>
        <v>-4122.3112499999988</v>
      </c>
      <c r="R1224" s="87">
        <v>62</v>
      </c>
      <c r="T1224" s="235" t="str">
        <f t="shared" ref="T1224:T1287" si="1968">IF(R1224=$U$7,"y"," ")</f>
        <v xml:space="preserve"> </v>
      </c>
      <c r="U1224" s="232"/>
    </row>
    <row r="1225" spans="1:21" s="57" customFormat="1" x14ac:dyDescent="0.25">
      <c r="A1225" s="157"/>
      <c r="B1225" s="6">
        <v>5</v>
      </c>
      <c r="C1225" s="9" t="s">
        <v>8</v>
      </c>
      <c r="D1225" s="6" t="s">
        <v>26</v>
      </c>
      <c r="E1225" s="17" t="str">
        <f>VLOOKUP(C1225,Resources!B:G,3,FALSE)</f>
        <v>L</v>
      </c>
      <c r="F1225" s="12">
        <v>3</v>
      </c>
      <c r="G1225" s="12">
        <f>G1222</f>
        <v>66.666666666666671</v>
      </c>
      <c r="H1225" s="12">
        <f>H1221</f>
        <v>-2892.85</v>
      </c>
      <c r="I1225" s="12">
        <f>VLOOKUP(C1225,Resources!B:G,6,FALSE)</f>
        <v>51.9</v>
      </c>
      <c r="J1225" s="21">
        <f t="shared" si="1961"/>
        <v>-6756.2511749999985</v>
      </c>
      <c r="K1225" s="21"/>
      <c r="L1225" s="24">
        <v>0</v>
      </c>
      <c r="M1225" s="24">
        <f t="shared" si="1963"/>
        <v>-6756.2511749999985</v>
      </c>
      <c r="N1225" s="24">
        <f t="shared" si="1964"/>
        <v>0</v>
      </c>
      <c r="O1225" s="24">
        <f t="shared" si="1965"/>
        <v>0</v>
      </c>
      <c r="P1225" s="24">
        <f t="shared" si="1966"/>
        <v>0</v>
      </c>
      <c r="Q1225" s="24">
        <f t="shared" si="1967"/>
        <v>-6756.2511749999985</v>
      </c>
      <c r="R1225" s="87">
        <v>62</v>
      </c>
      <c r="T1225" s="235" t="str">
        <f t="shared" si="1968"/>
        <v xml:space="preserve"> </v>
      </c>
      <c r="U1225" s="232"/>
    </row>
    <row r="1226" spans="1:21" s="57" customFormat="1" ht="30" x14ac:dyDescent="0.25">
      <c r="A1226" s="157"/>
      <c r="B1226" s="6">
        <v>6</v>
      </c>
      <c r="C1226" s="9" t="s">
        <v>101</v>
      </c>
      <c r="D1226" s="6"/>
      <c r="E1226" s="17"/>
      <c r="F1226" s="12"/>
      <c r="G1226" s="12"/>
      <c r="H1226" s="12"/>
      <c r="I1226" s="12"/>
      <c r="J1226" s="21"/>
      <c r="K1226" s="21"/>
      <c r="L1226" s="24"/>
      <c r="M1226" s="24"/>
      <c r="N1226" s="24"/>
      <c r="O1226" s="24"/>
      <c r="P1226" s="24"/>
      <c r="Q1226" s="24"/>
      <c r="R1226" s="87"/>
      <c r="T1226" s="235" t="str">
        <f t="shared" si="1968"/>
        <v xml:space="preserve"> </v>
      </c>
      <c r="U1226" s="232"/>
    </row>
    <row r="1227" spans="1:21" s="57" customFormat="1" x14ac:dyDescent="0.25">
      <c r="A1227" s="157"/>
      <c r="B1227" s="6">
        <v>7</v>
      </c>
      <c r="C1227" s="9" t="s">
        <v>70</v>
      </c>
      <c r="D1227" s="6" t="s">
        <v>26</v>
      </c>
      <c r="E1227" s="17" t="str">
        <f>VLOOKUP(C1227,Resources!B:G,3,FALSE)</f>
        <v>P</v>
      </c>
      <c r="F1227" s="12">
        <v>1</v>
      </c>
      <c r="G1227" s="12">
        <f>G1222</f>
        <v>66.666666666666671</v>
      </c>
      <c r="H1227" s="12">
        <f>H1221</f>
        <v>-2892.85</v>
      </c>
      <c r="I1227" s="12">
        <f>VLOOKUP(C1227,Resources!B:G,6,FALSE)</f>
        <v>135</v>
      </c>
      <c r="J1227" s="21">
        <f t="shared" ref="J1227:J1228" si="1969">(H1227/G1227)*I1227*F1227</f>
        <v>-5858.0212499999989</v>
      </c>
      <c r="K1227" s="21"/>
      <c r="L1227" s="24">
        <v>0</v>
      </c>
      <c r="M1227" s="24">
        <f t="shared" ref="M1227:M1228" si="1970">IF($E1227="L",$J1227,0)</f>
        <v>0</v>
      </c>
      <c r="N1227" s="24">
        <f t="shared" ref="N1227:N1228" si="1971">IF($E1227="M",$J1227,0)</f>
        <v>0</v>
      </c>
      <c r="O1227" s="24">
        <f t="shared" ref="O1227:O1228" si="1972">IF($E1227="P",$J1227,0)</f>
        <v>-5858.0212499999989</v>
      </c>
      <c r="P1227" s="24">
        <f t="shared" ref="P1227:P1228" si="1973">IF($E1227="S",$J1227,0)</f>
        <v>0</v>
      </c>
      <c r="Q1227" s="24">
        <f t="shared" ref="Q1227:Q1228" si="1974">SUM(M1227:P1227)</f>
        <v>-5858.0212499999989</v>
      </c>
      <c r="R1227" s="87">
        <v>62</v>
      </c>
      <c r="T1227" s="235" t="str">
        <f t="shared" si="1968"/>
        <v xml:space="preserve"> </v>
      </c>
      <c r="U1227" s="232"/>
    </row>
    <row r="1228" spans="1:21" s="57" customFormat="1" x14ac:dyDescent="0.25">
      <c r="A1228" s="157"/>
      <c r="B1228" s="6">
        <v>8</v>
      </c>
      <c r="C1228" s="9" t="s">
        <v>27</v>
      </c>
      <c r="D1228" s="6" t="s">
        <v>26</v>
      </c>
      <c r="E1228" s="17" t="str">
        <f>VLOOKUP(C1228,Resources!B:G,3,FALSE)</f>
        <v>P</v>
      </c>
      <c r="F1228" s="12">
        <v>2</v>
      </c>
      <c r="G1228" s="12">
        <f>G1222</f>
        <v>66.666666666666671</v>
      </c>
      <c r="H1228" s="12">
        <f>H1221</f>
        <v>-2892.85</v>
      </c>
      <c r="I1228" s="12">
        <f>VLOOKUP(C1228,Resources!B:G,6,FALSE)</f>
        <v>90</v>
      </c>
      <c r="J1228" s="21">
        <f t="shared" si="1969"/>
        <v>-7810.6949999999988</v>
      </c>
      <c r="K1228" s="21"/>
      <c r="L1228" s="24">
        <v>0</v>
      </c>
      <c r="M1228" s="24">
        <f t="shared" si="1970"/>
        <v>0</v>
      </c>
      <c r="N1228" s="24">
        <f t="shared" si="1971"/>
        <v>0</v>
      </c>
      <c r="O1228" s="24">
        <f t="shared" si="1972"/>
        <v>-7810.6949999999988</v>
      </c>
      <c r="P1228" s="24">
        <f t="shared" si="1973"/>
        <v>0</v>
      </c>
      <c r="Q1228" s="24">
        <f t="shared" si="1974"/>
        <v>-7810.6949999999988</v>
      </c>
      <c r="R1228" s="87">
        <v>62</v>
      </c>
      <c r="T1228" s="235" t="str">
        <f t="shared" si="1968"/>
        <v xml:space="preserve"> </v>
      </c>
      <c r="U1228" s="232"/>
    </row>
    <row r="1229" spans="1:21" s="57" customFormat="1" x14ac:dyDescent="0.25">
      <c r="A1229" s="158"/>
      <c r="B1229" s="5"/>
      <c r="C1229" s="8"/>
      <c r="D1229" s="5"/>
      <c r="E1229" s="16"/>
      <c r="F1229" s="11"/>
      <c r="G1229" s="11"/>
      <c r="H1229" s="11"/>
      <c r="I1229" s="11"/>
      <c r="J1229" s="11"/>
      <c r="K1229" s="11"/>
      <c r="L1229" s="25"/>
      <c r="M1229" s="25"/>
      <c r="N1229" s="25"/>
      <c r="O1229" s="25"/>
      <c r="P1229" s="25"/>
      <c r="Q1229" s="25"/>
      <c r="R1229" s="88"/>
      <c r="T1229" s="235" t="str">
        <f t="shared" si="1968"/>
        <v xml:space="preserve"> </v>
      </c>
      <c r="U1229" s="232"/>
    </row>
    <row r="1230" spans="1:21" s="57" customFormat="1" ht="75" x14ac:dyDescent="0.25">
      <c r="A1230" s="156">
        <v>156</v>
      </c>
      <c r="B1230" s="3" t="s">
        <v>719</v>
      </c>
      <c r="C1230" s="3" t="s">
        <v>712</v>
      </c>
      <c r="D1230" s="4" t="s">
        <v>74</v>
      </c>
      <c r="E1230" s="15"/>
      <c r="F1230" s="10"/>
      <c r="G1230" s="10"/>
      <c r="H1230" s="26">
        <f>VLOOKUP($A1230,'Model Inputs'!$A:$C,3,FALSE)</f>
        <v>-2032</v>
      </c>
      <c r="I1230" s="10"/>
      <c r="J1230" s="10">
        <f>SUBTOTAL(9,J1231:J1235,J1237:J1238)</f>
        <v>-211113.97960000002</v>
      </c>
      <c r="K1230" s="10"/>
      <c r="L1230" s="10"/>
      <c r="M1230" s="10">
        <f>SUBTOTAL(9,M1231:M1235,M1237:M1238)</f>
        <v>-11152.479599999997</v>
      </c>
      <c r="N1230" s="10">
        <f t="shared" ref="N1230:Q1230" si="1975">SUBTOTAL(9,N1231:N1235,N1237:N1238)</f>
        <v>-155194</v>
      </c>
      <c r="O1230" s="10">
        <f t="shared" si="1975"/>
        <v>-44767.499999999993</v>
      </c>
      <c r="P1230" s="10">
        <f t="shared" si="1975"/>
        <v>0</v>
      </c>
      <c r="Q1230" s="10">
        <f t="shared" si="1975"/>
        <v>-211113.97960000002</v>
      </c>
      <c r="R1230" s="86"/>
      <c r="T1230" s="235" t="str">
        <f t="shared" si="1968"/>
        <v xml:space="preserve"> </v>
      </c>
      <c r="U1230" s="232"/>
    </row>
    <row r="1231" spans="1:21" s="57" customFormat="1" x14ac:dyDescent="0.25">
      <c r="A1231" s="157"/>
      <c r="B1231" s="6">
        <v>1</v>
      </c>
      <c r="C1231" s="9" t="s">
        <v>103</v>
      </c>
      <c r="D1231" s="6" t="s">
        <v>100</v>
      </c>
      <c r="E1231" s="17" t="str">
        <f>VLOOKUP(C1231,Resources!B:G,3,FALSE)</f>
        <v>M</v>
      </c>
      <c r="F1231" s="12">
        <v>1</v>
      </c>
      <c r="G1231" s="12">
        <v>1</v>
      </c>
      <c r="H1231" s="12">
        <f>H1230*2.35</f>
        <v>-4775.2</v>
      </c>
      <c r="I1231" s="12">
        <f>VLOOKUP(C1231,Resources!B:G,6,FALSE)</f>
        <v>32.5</v>
      </c>
      <c r="J1231" s="21">
        <f t="shared" ref="J1231:J1235" si="1976">(H1231/G1231)*I1231*F1231</f>
        <v>-155194</v>
      </c>
      <c r="K1231" s="21"/>
      <c r="L1231" s="24" t="str">
        <f t="shared" ref="L1231" si="1977">IF(E1231="M"," ",H1231/G1231)</f>
        <v xml:space="preserve"> </v>
      </c>
      <c r="M1231" s="24">
        <f t="shared" ref="M1231:M1235" si="1978">IF($E1231="L",$J1231,0)</f>
        <v>0</v>
      </c>
      <c r="N1231" s="24">
        <f t="shared" ref="N1231:N1235" si="1979">IF($E1231="M",$J1231,0)</f>
        <v>-155194</v>
      </c>
      <c r="O1231" s="24">
        <f t="shared" ref="O1231:O1235" si="1980">IF($E1231="P",$J1231,0)</f>
        <v>0</v>
      </c>
      <c r="P1231" s="24">
        <f t="shared" ref="P1231:P1235" si="1981">IF($E1231="S",$J1231,0)</f>
        <v>0</v>
      </c>
      <c r="Q1231" s="24">
        <f t="shared" ref="Q1231:Q1235" si="1982">SUM(M1231:P1231)</f>
        <v>-155194</v>
      </c>
      <c r="R1231" s="87" t="s">
        <v>539</v>
      </c>
      <c r="T1231" s="235" t="str">
        <f t="shared" si="1968"/>
        <v xml:space="preserve"> </v>
      </c>
      <c r="U1231" s="232"/>
    </row>
    <row r="1232" spans="1:21" s="57" customFormat="1" x14ac:dyDescent="0.25">
      <c r="A1232" s="157">
        <v>156.1</v>
      </c>
      <c r="B1232" s="6">
        <v>2</v>
      </c>
      <c r="C1232" s="9" t="s">
        <v>78</v>
      </c>
      <c r="D1232" s="6" t="s">
        <v>26</v>
      </c>
      <c r="E1232" s="17" t="str">
        <f>VLOOKUP(C1232,Resources!B:G,3,FALSE)</f>
        <v>P</v>
      </c>
      <c r="F1232" s="12">
        <v>1</v>
      </c>
      <c r="G1232" s="26">
        <f>VLOOKUP($A1232,'Model Inputs'!$A:$C,3,FALSE)</f>
        <v>66.666666666666671</v>
      </c>
      <c r="H1232" s="12">
        <f>H1231</f>
        <v>-4775.2</v>
      </c>
      <c r="I1232" s="12">
        <f>VLOOKUP(C1232,Resources!B:G,6,FALSE)</f>
        <v>160</v>
      </c>
      <c r="J1232" s="21">
        <f t="shared" si="1976"/>
        <v>-11460.479999999998</v>
      </c>
      <c r="K1232" s="21"/>
      <c r="L1232" s="24">
        <v>0</v>
      </c>
      <c r="M1232" s="24">
        <f t="shared" si="1978"/>
        <v>0</v>
      </c>
      <c r="N1232" s="24">
        <f t="shared" si="1979"/>
        <v>0</v>
      </c>
      <c r="O1232" s="24">
        <f t="shared" si="1980"/>
        <v>-11460.479999999998</v>
      </c>
      <c r="P1232" s="24">
        <f t="shared" si="1981"/>
        <v>0</v>
      </c>
      <c r="Q1232" s="24">
        <f t="shared" si="1982"/>
        <v>-11460.479999999998</v>
      </c>
      <c r="R1232" s="87">
        <v>62</v>
      </c>
      <c r="T1232" s="235" t="str">
        <f t="shared" si="1968"/>
        <v xml:space="preserve"> </v>
      </c>
      <c r="U1232" s="232"/>
    </row>
    <row r="1233" spans="1:21" s="57" customFormat="1" x14ac:dyDescent="0.25">
      <c r="A1233" s="157"/>
      <c r="B1233" s="6">
        <v>3</v>
      </c>
      <c r="C1233" s="9" t="s">
        <v>89</v>
      </c>
      <c r="D1233" s="6" t="s">
        <v>26</v>
      </c>
      <c r="E1233" s="17" t="str">
        <f>VLOOKUP(C1233,Resources!B:G,3,FALSE)</f>
        <v>P</v>
      </c>
      <c r="F1233" s="12">
        <v>1</v>
      </c>
      <c r="G1233" s="12">
        <f>G1232</f>
        <v>66.666666666666671</v>
      </c>
      <c r="H1233" s="12">
        <f>H1231</f>
        <v>-4775.2</v>
      </c>
      <c r="I1233" s="12">
        <f>VLOOKUP(C1233,Resources!B:G,6,FALSE)</f>
        <v>55</v>
      </c>
      <c r="J1233" s="21">
        <f t="shared" si="1976"/>
        <v>-3939.5399999999991</v>
      </c>
      <c r="K1233" s="21"/>
      <c r="L1233" s="24">
        <v>0</v>
      </c>
      <c r="M1233" s="24">
        <f t="shared" si="1978"/>
        <v>0</v>
      </c>
      <c r="N1233" s="24">
        <f t="shared" si="1979"/>
        <v>0</v>
      </c>
      <c r="O1233" s="24">
        <f t="shared" si="1980"/>
        <v>-3939.5399999999991</v>
      </c>
      <c r="P1233" s="24">
        <f t="shared" si="1981"/>
        <v>0</v>
      </c>
      <c r="Q1233" s="24">
        <f t="shared" si="1982"/>
        <v>-3939.5399999999991</v>
      </c>
      <c r="R1233" s="87">
        <v>62</v>
      </c>
      <c r="T1233" s="235" t="str">
        <f t="shared" si="1968"/>
        <v xml:space="preserve"> </v>
      </c>
      <c r="U1233" s="232"/>
    </row>
    <row r="1234" spans="1:21" s="57" customFormat="1" x14ac:dyDescent="0.25">
      <c r="A1234" s="157"/>
      <c r="B1234" s="6">
        <v>4</v>
      </c>
      <c r="C1234" s="9" t="s">
        <v>28</v>
      </c>
      <c r="D1234" s="6" t="s">
        <v>26</v>
      </c>
      <c r="E1234" s="17" t="str">
        <f>VLOOKUP(C1234,Resources!B:G,3,FALSE)</f>
        <v>P</v>
      </c>
      <c r="F1234" s="12">
        <v>1</v>
      </c>
      <c r="G1234" s="12">
        <f>G1232</f>
        <v>66.666666666666671</v>
      </c>
      <c r="H1234" s="12">
        <f>H1231</f>
        <v>-4775.2</v>
      </c>
      <c r="I1234" s="12">
        <f>VLOOKUP(C1234,Resources!B:G,6,FALSE)</f>
        <v>95</v>
      </c>
      <c r="J1234" s="21">
        <f t="shared" si="1976"/>
        <v>-6804.6599999999989</v>
      </c>
      <c r="K1234" s="21"/>
      <c r="L1234" s="24">
        <v>0</v>
      </c>
      <c r="M1234" s="24">
        <f t="shared" si="1978"/>
        <v>0</v>
      </c>
      <c r="N1234" s="24">
        <f t="shared" si="1979"/>
        <v>0</v>
      </c>
      <c r="O1234" s="24">
        <f t="shared" si="1980"/>
        <v>-6804.6599999999989</v>
      </c>
      <c r="P1234" s="24">
        <f t="shared" si="1981"/>
        <v>0</v>
      </c>
      <c r="Q1234" s="24">
        <f t="shared" si="1982"/>
        <v>-6804.6599999999989</v>
      </c>
      <c r="R1234" s="87">
        <v>62</v>
      </c>
      <c r="T1234" s="235" t="str">
        <f t="shared" si="1968"/>
        <v xml:space="preserve"> </v>
      </c>
      <c r="U1234" s="232"/>
    </row>
    <row r="1235" spans="1:21" s="57" customFormat="1" x14ac:dyDescent="0.25">
      <c r="A1235" s="157"/>
      <c r="B1235" s="6">
        <v>5</v>
      </c>
      <c r="C1235" s="9" t="s">
        <v>8</v>
      </c>
      <c r="D1235" s="6" t="s">
        <v>26</v>
      </c>
      <c r="E1235" s="17" t="str">
        <f>VLOOKUP(C1235,Resources!B:G,3,FALSE)</f>
        <v>L</v>
      </c>
      <c r="F1235" s="12">
        <v>3</v>
      </c>
      <c r="G1235" s="12">
        <f>G1232</f>
        <v>66.666666666666671</v>
      </c>
      <c r="H1235" s="12">
        <f>H1231</f>
        <v>-4775.2</v>
      </c>
      <c r="I1235" s="12">
        <f>VLOOKUP(C1235,Resources!B:G,6,FALSE)</f>
        <v>51.9</v>
      </c>
      <c r="J1235" s="21">
        <f t="shared" si="1976"/>
        <v>-11152.479599999997</v>
      </c>
      <c r="K1235" s="21"/>
      <c r="L1235" s="24">
        <v>0</v>
      </c>
      <c r="M1235" s="24">
        <f t="shared" si="1978"/>
        <v>-11152.479599999997</v>
      </c>
      <c r="N1235" s="24">
        <f t="shared" si="1979"/>
        <v>0</v>
      </c>
      <c r="O1235" s="24">
        <f t="shared" si="1980"/>
        <v>0</v>
      </c>
      <c r="P1235" s="24">
        <f t="shared" si="1981"/>
        <v>0</v>
      </c>
      <c r="Q1235" s="24">
        <f t="shared" si="1982"/>
        <v>-11152.479599999997</v>
      </c>
      <c r="R1235" s="87">
        <v>62</v>
      </c>
      <c r="T1235" s="235" t="str">
        <f t="shared" si="1968"/>
        <v xml:space="preserve"> </v>
      </c>
      <c r="U1235" s="232"/>
    </row>
    <row r="1236" spans="1:21" s="57" customFormat="1" ht="30" x14ac:dyDescent="0.25">
      <c r="A1236" s="157"/>
      <c r="B1236" s="6">
        <v>6</v>
      </c>
      <c r="C1236" s="9" t="s">
        <v>101</v>
      </c>
      <c r="D1236" s="6"/>
      <c r="E1236" s="17"/>
      <c r="F1236" s="12"/>
      <c r="G1236" s="12"/>
      <c r="H1236" s="12"/>
      <c r="I1236" s="12"/>
      <c r="J1236" s="21"/>
      <c r="K1236" s="21"/>
      <c r="L1236" s="24"/>
      <c r="M1236" s="24"/>
      <c r="N1236" s="24"/>
      <c r="O1236" s="24"/>
      <c r="P1236" s="24"/>
      <c r="Q1236" s="24"/>
      <c r="R1236" s="87"/>
      <c r="T1236" s="235" t="str">
        <f t="shared" si="1968"/>
        <v xml:space="preserve"> </v>
      </c>
      <c r="U1236" s="232"/>
    </row>
    <row r="1237" spans="1:21" s="57" customFormat="1" x14ac:dyDescent="0.25">
      <c r="A1237" s="157"/>
      <c r="B1237" s="6">
        <v>7</v>
      </c>
      <c r="C1237" s="9" t="s">
        <v>70</v>
      </c>
      <c r="D1237" s="6" t="s">
        <v>26</v>
      </c>
      <c r="E1237" s="17" t="str">
        <f>VLOOKUP(C1237,Resources!B:G,3,FALSE)</f>
        <v>P</v>
      </c>
      <c r="F1237" s="12">
        <v>1</v>
      </c>
      <c r="G1237" s="12">
        <f>G1232</f>
        <v>66.666666666666671</v>
      </c>
      <c r="H1237" s="12">
        <f>H1231</f>
        <v>-4775.2</v>
      </c>
      <c r="I1237" s="12">
        <f>VLOOKUP(C1237,Resources!B:G,6,FALSE)</f>
        <v>135</v>
      </c>
      <c r="J1237" s="21">
        <f t="shared" ref="J1237:J1238" si="1983">(H1237/G1237)*I1237*F1237</f>
        <v>-9669.7799999999988</v>
      </c>
      <c r="K1237" s="21"/>
      <c r="L1237" s="24">
        <v>0</v>
      </c>
      <c r="M1237" s="24">
        <f t="shared" ref="M1237:M1238" si="1984">IF($E1237="L",$J1237,0)</f>
        <v>0</v>
      </c>
      <c r="N1237" s="24">
        <f t="shared" ref="N1237:N1238" si="1985">IF($E1237="M",$J1237,0)</f>
        <v>0</v>
      </c>
      <c r="O1237" s="24">
        <f t="shared" ref="O1237:O1238" si="1986">IF($E1237="P",$J1237,0)</f>
        <v>-9669.7799999999988</v>
      </c>
      <c r="P1237" s="24">
        <f t="shared" ref="P1237:P1238" si="1987">IF($E1237="S",$J1237,0)</f>
        <v>0</v>
      </c>
      <c r="Q1237" s="24">
        <f t="shared" ref="Q1237:Q1238" si="1988">SUM(M1237:P1237)</f>
        <v>-9669.7799999999988</v>
      </c>
      <c r="R1237" s="87">
        <v>62</v>
      </c>
      <c r="T1237" s="235" t="str">
        <f t="shared" si="1968"/>
        <v xml:space="preserve"> </v>
      </c>
      <c r="U1237" s="232"/>
    </row>
    <row r="1238" spans="1:21" s="57" customFormat="1" x14ac:dyDescent="0.25">
      <c r="A1238" s="157"/>
      <c r="B1238" s="6">
        <v>8</v>
      </c>
      <c r="C1238" s="9" t="s">
        <v>27</v>
      </c>
      <c r="D1238" s="6" t="s">
        <v>26</v>
      </c>
      <c r="E1238" s="17" t="str">
        <f>VLOOKUP(C1238,Resources!B:G,3,FALSE)</f>
        <v>P</v>
      </c>
      <c r="F1238" s="12">
        <v>2</v>
      </c>
      <c r="G1238" s="12">
        <f>G1232</f>
        <v>66.666666666666671</v>
      </c>
      <c r="H1238" s="12">
        <f>H1231</f>
        <v>-4775.2</v>
      </c>
      <c r="I1238" s="12">
        <f>VLOOKUP(C1238,Resources!B:G,6,FALSE)</f>
        <v>90</v>
      </c>
      <c r="J1238" s="21">
        <f t="shared" si="1983"/>
        <v>-12893.039999999997</v>
      </c>
      <c r="K1238" s="21"/>
      <c r="L1238" s="24">
        <v>0</v>
      </c>
      <c r="M1238" s="24">
        <f t="shared" si="1984"/>
        <v>0</v>
      </c>
      <c r="N1238" s="24">
        <f t="shared" si="1985"/>
        <v>0</v>
      </c>
      <c r="O1238" s="24">
        <f t="shared" si="1986"/>
        <v>-12893.039999999997</v>
      </c>
      <c r="P1238" s="24">
        <f t="shared" si="1987"/>
        <v>0</v>
      </c>
      <c r="Q1238" s="24">
        <f t="shared" si="1988"/>
        <v>-12893.039999999997</v>
      </c>
      <c r="R1238" s="87">
        <v>62</v>
      </c>
      <c r="T1238" s="235" t="str">
        <f t="shared" si="1968"/>
        <v xml:space="preserve"> </v>
      </c>
      <c r="U1238" s="232"/>
    </row>
    <row r="1239" spans="1:21" s="57" customFormat="1" x14ac:dyDescent="0.25">
      <c r="A1239" s="158"/>
      <c r="B1239" s="5"/>
      <c r="C1239" s="8"/>
      <c r="D1239" s="5"/>
      <c r="E1239" s="16"/>
      <c r="F1239" s="11"/>
      <c r="G1239" s="11"/>
      <c r="H1239" s="11"/>
      <c r="I1239" s="11"/>
      <c r="J1239" s="11"/>
      <c r="K1239" s="11"/>
      <c r="L1239" s="25"/>
      <c r="M1239" s="25"/>
      <c r="N1239" s="25"/>
      <c r="O1239" s="25"/>
      <c r="P1239" s="25"/>
      <c r="Q1239" s="25"/>
      <c r="R1239" s="88"/>
      <c r="T1239" s="235" t="str">
        <f t="shared" si="1968"/>
        <v xml:space="preserve"> </v>
      </c>
      <c r="U1239" s="232"/>
    </row>
    <row r="1240" spans="1:21" s="57" customFormat="1" ht="105" x14ac:dyDescent="0.25">
      <c r="A1240" s="156">
        <v>157</v>
      </c>
      <c r="B1240" s="3" t="s">
        <v>720</v>
      </c>
      <c r="C1240" s="3" t="s">
        <v>713</v>
      </c>
      <c r="D1240" s="4" t="s">
        <v>74</v>
      </c>
      <c r="E1240" s="15"/>
      <c r="F1240" s="10"/>
      <c r="G1240" s="10"/>
      <c r="H1240" s="26">
        <f>VLOOKUP($A1240,'Model Inputs'!$A:$C,3,FALSE)</f>
        <v>-423</v>
      </c>
      <c r="I1240" s="10"/>
      <c r="J1240" s="10">
        <f>SUBTOTAL(9,J1241:J1245,J1247:J1248)</f>
        <v>-48873.213787500012</v>
      </c>
      <c r="K1240" s="10"/>
      <c r="L1240" s="10"/>
      <c r="M1240" s="10">
        <f>SUBTOTAL(9,M1241:M1245,M1247:M1248)</f>
        <v>-3482.4056625000007</v>
      </c>
      <c r="N1240" s="10">
        <f t="shared" ref="N1240:Q1240" si="1989">SUBTOTAL(9,N1241:N1245,N1247:N1248)</f>
        <v>-31411.980000000003</v>
      </c>
      <c r="O1240" s="10">
        <f t="shared" si="1989"/>
        <v>-13978.828125000002</v>
      </c>
      <c r="P1240" s="10">
        <f t="shared" si="1989"/>
        <v>0</v>
      </c>
      <c r="Q1240" s="10">
        <f t="shared" si="1989"/>
        <v>-48873.213787500012</v>
      </c>
      <c r="R1240" s="86"/>
      <c r="T1240" s="235" t="str">
        <f t="shared" si="1968"/>
        <v xml:space="preserve"> </v>
      </c>
      <c r="U1240" s="232"/>
    </row>
    <row r="1241" spans="1:21" s="57" customFormat="1" x14ac:dyDescent="0.25">
      <c r="A1241" s="157"/>
      <c r="B1241" s="6">
        <v>1</v>
      </c>
      <c r="C1241" s="9" t="s">
        <v>480</v>
      </c>
      <c r="D1241" s="6" t="s">
        <v>100</v>
      </c>
      <c r="E1241" s="17" t="str">
        <f>VLOOKUP(C1241,Resources!B:G,3,FALSE)</f>
        <v>M</v>
      </c>
      <c r="F1241" s="12">
        <v>1</v>
      </c>
      <c r="G1241" s="12">
        <v>1</v>
      </c>
      <c r="H1241" s="12">
        <f>H1240*2.35</f>
        <v>-994.05000000000007</v>
      </c>
      <c r="I1241" s="12">
        <f>VLOOKUP(C1241,Resources!B:G,6,FALSE)</f>
        <v>31.6</v>
      </c>
      <c r="J1241" s="21">
        <f t="shared" ref="J1241:J1245" si="1990">(H1241/G1241)*I1241*F1241</f>
        <v>-31411.980000000003</v>
      </c>
      <c r="K1241" s="21"/>
      <c r="L1241" s="24" t="str">
        <f t="shared" ref="L1241" si="1991">IF(E1241="M"," ",H1241/G1241)</f>
        <v xml:space="preserve"> </v>
      </c>
      <c r="M1241" s="24">
        <f t="shared" ref="M1241:M1245" si="1992">IF($E1241="L",$J1241,0)</f>
        <v>0</v>
      </c>
      <c r="N1241" s="24">
        <f t="shared" ref="N1241:N1245" si="1993">IF($E1241="M",$J1241,0)</f>
        <v>-31411.980000000003</v>
      </c>
      <c r="O1241" s="24">
        <f t="shared" ref="O1241:O1245" si="1994">IF($E1241="P",$J1241,0)</f>
        <v>0</v>
      </c>
      <c r="P1241" s="24">
        <f t="shared" ref="P1241:P1245" si="1995">IF($E1241="S",$J1241,0)</f>
        <v>0</v>
      </c>
      <c r="Q1241" s="24">
        <f t="shared" ref="Q1241:Q1245" si="1996">SUM(M1241:P1241)</f>
        <v>-31411.980000000003</v>
      </c>
      <c r="R1241" s="87" t="s">
        <v>539</v>
      </c>
      <c r="T1241" s="235" t="str">
        <f t="shared" si="1968"/>
        <v xml:space="preserve"> </v>
      </c>
      <c r="U1241" s="232"/>
    </row>
    <row r="1242" spans="1:21" s="57" customFormat="1" x14ac:dyDescent="0.25">
      <c r="A1242" s="157">
        <v>157.1</v>
      </c>
      <c r="B1242" s="6">
        <v>2</v>
      </c>
      <c r="C1242" s="9" t="s">
        <v>78</v>
      </c>
      <c r="D1242" s="6" t="s">
        <v>26</v>
      </c>
      <c r="E1242" s="17" t="str">
        <f>VLOOKUP(C1242,Resources!B:G,3,FALSE)</f>
        <v>P</v>
      </c>
      <c r="F1242" s="12">
        <v>1</v>
      </c>
      <c r="G1242" s="26">
        <f>VLOOKUP($A1242,'Model Inputs'!$A:$C,3,FALSE)</f>
        <v>44.444444444444443</v>
      </c>
      <c r="H1242" s="12">
        <f>H1241</f>
        <v>-994.05000000000007</v>
      </c>
      <c r="I1242" s="12">
        <f>VLOOKUP(C1242,Resources!B:G,6,FALSE)</f>
        <v>160</v>
      </c>
      <c r="J1242" s="21">
        <f t="shared" si="1990"/>
        <v>-3578.5800000000008</v>
      </c>
      <c r="K1242" s="21"/>
      <c r="L1242" s="24">
        <v>0</v>
      </c>
      <c r="M1242" s="24">
        <f t="shared" si="1992"/>
        <v>0</v>
      </c>
      <c r="N1242" s="24">
        <f t="shared" si="1993"/>
        <v>0</v>
      </c>
      <c r="O1242" s="24">
        <f t="shared" si="1994"/>
        <v>-3578.5800000000008</v>
      </c>
      <c r="P1242" s="24">
        <f t="shared" si="1995"/>
        <v>0</v>
      </c>
      <c r="Q1242" s="24">
        <f t="shared" si="1996"/>
        <v>-3578.5800000000008</v>
      </c>
      <c r="R1242" s="87">
        <v>62</v>
      </c>
      <c r="T1242" s="235" t="str">
        <f t="shared" si="1968"/>
        <v xml:space="preserve"> </v>
      </c>
      <c r="U1242" s="232"/>
    </row>
    <row r="1243" spans="1:21" s="57" customFormat="1" x14ac:dyDescent="0.25">
      <c r="A1243" s="157"/>
      <c r="B1243" s="6">
        <v>3</v>
      </c>
      <c r="C1243" s="9" t="s">
        <v>89</v>
      </c>
      <c r="D1243" s="6" t="s">
        <v>26</v>
      </c>
      <c r="E1243" s="17" t="str">
        <f>VLOOKUP(C1243,Resources!B:G,3,FALSE)</f>
        <v>P</v>
      </c>
      <c r="F1243" s="12">
        <v>1</v>
      </c>
      <c r="G1243" s="12">
        <f>G1242</f>
        <v>44.444444444444443</v>
      </c>
      <c r="H1243" s="12">
        <f>H1241</f>
        <v>-994.05000000000007</v>
      </c>
      <c r="I1243" s="12">
        <f>VLOOKUP(C1243,Resources!B:G,6,FALSE)</f>
        <v>55</v>
      </c>
      <c r="J1243" s="21">
        <f t="shared" si="1990"/>
        <v>-1230.1368750000001</v>
      </c>
      <c r="K1243" s="21"/>
      <c r="L1243" s="24">
        <v>0</v>
      </c>
      <c r="M1243" s="24">
        <f t="shared" si="1992"/>
        <v>0</v>
      </c>
      <c r="N1243" s="24">
        <f t="shared" si="1993"/>
        <v>0</v>
      </c>
      <c r="O1243" s="24">
        <f t="shared" si="1994"/>
        <v>-1230.1368750000001</v>
      </c>
      <c r="P1243" s="24">
        <f t="shared" si="1995"/>
        <v>0</v>
      </c>
      <c r="Q1243" s="24">
        <f t="shared" si="1996"/>
        <v>-1230.1368750000001</v>
      </c>
      <c r="R1243" s="87">
        <v>62</v>
      </c>
      <c r="T1243" s="235" t="str">
        <f t="shared" si="1968"/>
        <v xml:space="preserve"> </v>
      </c>
      <c r="U1243" s="232"/>
    </row>
    <row r="1244" spans="1:21" s="57" customFormat="1" x14ac:dyDescent="0.25">
      <c r="A1244" s="157"/>
      <c r="B1244" s="6">
        <v>4</v>
      </c>
      <c r="C1244" s="9" t="s">
        <v>28</v>
      </c>
      <c r="D1244" s="6" t="s">
        <v>26</v>
      </c>
      <c r="E1244" s="17" t="str">
        <f>VLOOKUP(C1244,Resources!B:G,3,FALSE)</f>
        <v>P</v>
      </c>
      <c r="F1244" s="12">
        <v>1</v>
      </c>
      <c r="G1244" s="12">
        <f>G1242</f>
        <v>44.444444444444443</v>
      </c>
      <c r="H1244" s="12">
        <f>H1241</f>
        <v>-994.05000000000007</v>
      </c>
      <c r="I1244" s="12">
        <f>VLOOKUP(C1244,Resources!B:G,6,FALSE)</f>
        <v>95</v>
      </c>
      <c r="J1244" s="21">
        <f t="shared" si="1990"/>
        <v>-2124.7818750000006</v>
      </c>
      <c r="K1244" s="21"/>
      <c r="L1244" s="24">
        <v>0</v>
      </c>
      <c r="M1244" s="24">
        <f t="shared" si="1992"/>
        <v>0</v>
      </c>
      <c r="N1244" s="24">
        <f t="shared" si="1993"/>
        <v>0</v>
      </c>
      <c r="O1244" s="24">
        <f t="shared" si="1994"/>
        <v>-2124.7818750000006</v>
      </c>
      <c r="P1244" s="24">
        <f t="shared" si="1995"/>
        <v>0</v>
      </c>
      <c r="Q1244" s="24">
        <f t="shared" si="1996"/>
        <v>-2124.7818750000006</v>
      </c>
      <c r="R1244" s="87">
        <v>62</v>
      </c>
      <c r="T1244" s="235" t="str">
        <f t="shared" si="1968"/>
        <v xml:space="preserve"> </v>
      </c>
      <c r="U1244" s="232"/>
    </row>
    <row r="1245" spans="1:21" s="57" customFormat="1" x14ac:dyDescent="0.25">
      <c r="A1245" s="157"/>
      <c r="B1245" s="6">
        <v>5</v>
      </c>
      <c r="C1245" s="9" t="s">
        <v>8</v>
      </c>
      <c r="D1245" s="6" t="s">
        <v>26</v>
      </c>
      <c r="E1245" s="17" t="str">
        <f>VLOOKUP(C1245,Resources!B:G,3,FALSE)</f>
        <v>L</v>
      </c>
      <c r="F1245" s="12">
        <v>3</v>
      </c>
      <c r="G1245" s="12">
        <f>G1242</f>
        <v>44.444444444444443</v>
      </c>
      <c r="H1245" s="12">
        <f>H1241</f>
        <v>-994.05000000000007</v>
      </c>
      <c r="I1245" s="12">
        <f>VLOOKUP(C1245,Resources!B:G,6,FALSE)</f>
        <v>51.9</v>
      </c>
      <c r="J1245" s="21">
        <f t="shared" si="1990"/>
        <v>-3482.4056625000007</v>
      </c>
      <c r="K1245" s="21"/>
      <c r="L1245" s="24">
        <v>0</v>
      </c>
      <c r="M1245" s="24">
        <f t="shared" si="1992"/>
        <v>-3482.4056625000007</v>
      </c>
      <c r="N1245" s="24">
        <f t="shared" si="1993"/>
        <v>0</v>
      </c>
      <c r="O1245" s="24">
        <f t="shared" si="1994"/>
        <v>0</v>
      </c>
      <c r="P1245" s="24">
        <f t="shared" si="1995"/>
        <v>0</v>
      </c>
      <c r="Q1245" s="24">
        <f t="shared" si="1996"/>
        <v>-3482.4056625000007</v>
      </c>
      <c r="R1245" s="87">
        <v>62</v>
      </c>
      <c r="T1245" s="235" t="str">
        <f t="shared" si="1968"/>
        <v xml:space="preserve"> </v>
      </c>
      <c r="U1245" s="232"/>
    </row>
    <row r="1246" spans="1:21" s="57" customFormat="1" ht="30" x14ac:dyDescent="0.25">
      <c r="A1246" s="157"/>
      <c r="B1246" s="6">
        <v>6</v>
      </c>
      <c r="C1246" s="9" t="s">
        <v>101</v>
      </c>
      <c r="D1246" s="6"/>
      <c r="E1246" s="17"/>
      <c r="F1246" s="12"/>
      <c r="G1246" s="12"/>
      <c r="H1246" s="12"/>
      <c r="I1246" s="12"/>
      <c r="J1246" s="21"/>
      <c r="K1246" s="21"/>
      <c r="L1246" s="24"/>
      <c r="M1246" s="24"/>
      <c r="N1246" s="24"/>
      <c r="O1246" s="24"/>
      <c r="P1246" s="24"/>
      <c r="Q1246" s="24"/>
      <c r="R1246" s="87"/>
      <c r="T1246" s="235" t="str">
        <f t="shared" si="1968"/>
        <v xml:space="preserve"> </v>
      </c>
      <c r="U1246" s="232"/>
    </row>
    <row r="1247" spans="1:21" s="57" customFormat="1" x14ac:dyDescent="0.25">
      <c r="A1247" s="157"/>
      <c r="B1247" s="6">
        <v>7</v>
      </c>
      <c r="C1247" s="9" t="s">
        <v>70</v>
      </c>
      <c r="D1247" s="6" t="s">
        <v>26</v>
      </c>
      <c r="E1247" s="17" t="str">
        <f>VLOOKUP(C1247,Resources!B:G,3,FALSE)</f>
        <v>P</v>
      </c>
      <c r="F1247" s="12">
        <v>1</v>
      </c>
      <c r="G1247" s="12">
        <f>G1242</f>
        <v>44.444444444444443</v>
      </c>
      <c r="H1247" s="12">
        <f>H1241</f>
        <v>-994.05000000000007</v>
      </c>
      <c r="I1247" s="12">
        <f>VLOOKUP(C1247,Resources!B:G,6,FALSE)</f>
        <v>135</v>
      </c>
      <c r="J1247" s="21">
        <f t="shared" ref="J1247:J1248" si="1997">(H1247/G1247)*I1247*F1247</f>
        <v>-3019.4268750000006</v>
      </c>
      <c r="K1247" s="21"/>
      <c r="L1247" s="24">
        <v>0</v>
      </c>
      <c r="M1247" s="24">
        <f t="shared" ref="M1247:M1248" si="1998">IF($E1247="L",$J1247,0)</f>
        <v>0</v>
      </c>
      <c r="N1247" s="24">
        <f t="shared" ref="N1247:N1248" si="1999">IF($E1247="M",$J1247,0)</f>
        <v>0</v>
      </c>
      <c r="O1247" s="24">
        <f t="shared" ref="O1247:O1248" si="2000">IF($E1247="P",$J1247,0)</f>
        <v>-3019.4268750000006</v>
      </c>
      <c r="P1247" s="24">
        <f t="shared" ref="P1247:P1248" si="2001">IF($E1247="S",$J1247,0)</f>
        <v>0</v>
      </c>
      <c r="Q1247" s="24">
        <f t="shared" ref="Q1247:Q1248" si="2002">SUM(M1247:P1247)</f>
        <v>-3019.4268750000006</v>
      </c>
      <c r="R1247" s="87">
        <v>62</v>
      </c>
      <c r="T1247" s="235" t="str">
        <f t="shared" si="1968"/>
        <v xml:space="preserve"> </v>
      </c>
      <c r="U1247" s="232"/>
    </row>
    <row r="1248" spans="1:21" s="57" customFormat="1" x14ac:dyDescent="0.25">
      <c r="A1248" s="157"/>
      <c r="B1248" s="6">
        <v>8</v>
      </c>
      <c r="C1248" s="9" t="s">
        <v>27</v>
      </c>
      <c r="D1248" s="6" t="s">
        <v>26</v>
      </c>
      <c r="E1248" s="17" t="str">
        <f>VLOOKUP(C1248,Resources!B:G,3,FALSE)</f>
        <v>P</v>
      </c>
      <c r="F1248" s="12">
        <v>2</v>
      </c>
      <c r="G1248" s="12">
        <f>G1242</f>
        <v>44.444444444444443</v>
      </c>
      <c r="H1248" s="12">
        <f>H1241</f>
        <v>-994.05000000000007</v>
      </c>
      <c r="I1248" s="12">
        <f>VLOOKUP(C1248,Resources!B:G,6,FALSE)</f>
        <v>90</v>
      </c>
      <c r="J1248" s="21">
        <f t="shared" si="1997"/>
        <v>-4025.9025000000006</v>
      </c>
      <c r="K1248" s="21"/>
      <c r="L1248" s="24">
        <v>0</v>
      </c>
      <c r="M1248" s="24">
        <f t="shared" si="1998"/>
        <v>0</v>
      </c>
      <c r="N1248" s="24">
        <f t="shared" si="1999"/>
        <v>0</v>
      </c>
      <c r="O1248" s="24">
        <f t="shared" si="2000"/>
        <v>-4025.9025000000006</v>
      </c>
      <c r="P1248" s="24">
        <f t="shared" si="2001"/>
        <v>0</v>
      </c>
      <c r="Q1248" s="24">
        <f t="shared" si="2002"/>
        <v>-4025.9025000000006</v>
      </c>
      <c r="R1248" s="87">
        <v>62</v>
      </c>
      <c r="T1248" s="235" t="str">
        <f t="shared" si="1968"/>
        <v xml:space="preserve"> </v>
      </c>
      <c r="U1248" s="232"/>
    </row>
    <row r="1249" spans="1:21" s="57" customFormat="1" x14ac:dyDescent="0.25">
      <c r="A1249" s="149"/>
      <c r="B1249" s="150"/>
      <c r="C1249" s="150"/>
      <c r="D1249" s="151"/>
      <c r="E1249" s="152"/>
      <c r="F1249" s="152"/>
      <c r="G1249" s="153"/>
      <c r="H1249" s="153"/>
      <c r="I1249" s="153"/>
      <c r="J1249" s="153"/>
      <c r="K1249" s="153"/>
      <c r="M1249" s="154"/>
      <c r="N1249" s="154"/>
      <c r="T1249" s="235" t="str">
        <f t="shared" si="1968"/>
        <v xml:space="preserve"> </v>
      </c>
      <c r="U1249" s="232"/>
    </row>
    <row r="1250" spans="1:21" s="57" customFormat="1" ht="60" x14ac:dyDescent="0.25">
      <c r="A1250" s="156"/>
      <c r="B1250" s="3"/>
      <c r="C1250" s="3" t="s">
        <v>721</v>
      </c>
      <c r="D1250" s="4"/>
      <c r="E1250" s="15"/>
      <c r="F1250" s="10"/>
      <c r="G1250" s="10"/>
      <c r="H1250" s="10"/>
      <c r="I1250" s="10"/>
      <c r="J1250" s="10"/>
      <c r="K1250" s="10"/>
      <c r="L1250" s="23"/>
      <c r="M1250" s="23"/>
      <c r="N1250" s="23"/>
      <c r="O1250" s="23"/>
      <c r="P1250" s="23"/>
      <c r="Q1250" s="23"/>
      <c r="R1250" s="86"/>
      <c r="T1250" s="235" t="str">
        <f t="shared" si="1968"/>
        <v xml:space="preserve"> </v>
      </c>
      <c r="U1250" s="232"/>
    </row>
    <row r="1251" spans="1:21" s="57" customFormat="1" ht="60" x14ac:dyDescent="0.25">
      <c r="A1251" s="156">
        <v>158</v>
      </c>
      <c r="B1251" s="3" t="s">
        <v>717</v>
      </c>
      <c r="C1251" s="3" t="s">
        <v>557</v>
      </c>
      <c r="D1251" s="4" t="s">
        <v>88</v>
      </c>
      <c r="E1251" s="15"/>
      <c r="F1251" s="10"/>
      <c r="G1251" s="10"/>
      <c r="H1251" s="26">
        <f>VLOOKUP($A1251,'Model Inputs'!$A:$C,3,FALSE)</f>
        <v>11455</v>
      </c>
      <c r="I1251" s="10">
        <f>J1251/H1251</f>
        <v>2.9268333333333332</v>
      </c>
      <c r="J1251" s="10">
        <f>SUBTOTAL(9,J1252:J1258)</f>
        <v>33526.875833333332</v>
      </c>
      <c r="K1251" s="10"/>
      <c r="L1251" s="10"/>
      <c r="M1251" s="10">
        <f>SUBTOTAL(9,M1252:M1258)</f>
        <v>8917.7174999999988</v>
      </c>
      <c r="N1251" s="10">
        <f t="shared" ref="N1251:Q1251" si="2003">SUBTOTAL(9,N1252:N1258)</f>
        <v>0</v>
      </c>
      <c r="O1251" s="10">
        <f t="shared" si="2003"/>
        <v>24609.158333333333</v>
      </c>
      <c r="P1251" s="10">
        <f t="shared" si="2003"/>
        <v>0</v>
      </c>
      <c r="Q1251" s="10">
        <f t="shared" si="2003"/>
        <v>33526.875833333332</v>
      </c>
      <c r="R1251" s="86"/>
      <c r="T1251" s="235" t="str">
        <f t="shared" si="1968"/>
        <v xml:space="preserve"> </v>
      </c>
      <c r="U1251" s="232"/>
    </row>
    <row r="1252" spans="1:21" s="57" customFormat="1" x14ac:dyDescent="0.25">
      <c r="A1252" s="157">
        <v>158.1</v>
      </c>
      <c r="B1252" s="6">
        <v>1</v>
      </c>
      <c r="C1252" s="9" t="s">
        <v>78</v>
      </c>
      <c r="D1252" s="6" t="s">
        <v>26</v>
      </c>
      <c r="E1252" s="17" t="str">
        <f>VLOOKUP(C1252,Resources!B:G,3,FALSE)</f>
        <v>P</v>
      </c>
      <c r="F1252" s="12">
        <v>1</v>
      </c>
      <c r="G1252" s="26">
        <f>VLOOKUP($A1252,'Model Inputs'!$A:$C,3,FALSE)</f>
        <v>200</v>
      </c>
      <c r="H1252" s="12">
        <f>H1251</f>
        <v>11455</v>
      </c>
      <c r="I1252" s="12">
        <f>VLOOKUP(C1252,Resources!B:G,6,FALSE)</f>
        <v>160</v>
      </c>
      <c r="J1252" s="21">
        <f t="shared" ref="J1252:J1258" si="2004">(H1252/G1252)*I1252*F1252</f>
        <v>9164</v>
      </c>
      <c r="K1252" s="21"/>
      <c r="L1252" s="24">
        <v>0</v>
      </c>
      <c r="M1252" s="24">
        <f t="shared" ref="M1252:M1258" si="2005">IF($E1252="L",$J1252,0)</f>
        <v>0</v>
      </c>
      <c r="N1252" s="24">
        <f t="shared" ref="N1252:N1258" si="2006">IF($E1252="M",$J1252,0)</f>
        <v>0</v>
      </c>
      <c r="O1252" s="24">
        <f t="shared" ref="O1252:O1258" si="2007">IF($E1252="P",$J1252,0)</f>
        <v>9164</v>
      </c>
      <c r="P1252" s="24">
        <f t="shared" ref="P1252:P1258" si="2008">IF($E1252="S",$J1252,0)</f>
        <v>0</v>
      </c>
      <c r="Q1252" s="24">
        <f t="shared" ref="Q1252:Q1258" si="2009">SUM(M1252:P1252)</f>
        <v>9164</v>
      </c>
      <c r="R1252" s="87">
        <v>61</v>
      </c>
      <c r="T1252" s="235" t="str">
        <f t="shared" si="1968"/>
        <v xml:space="preserve"> </v>
      </c>
      <c r="U1252" s="232"/>
    </row>
    <row r="1253" spans="1:21" s="57" customFormat="1" x14ac:dyDescent="0.25">
      <c r="A1253" s="157"/>
      <c r="B1253" s="6">
        <v>2</v>
      </c>
      <c r="C1253" s="9" t="s">
        <v>89</v>
      </c>
      <c r="D1253" s="6" t="s">
        <v>26</v>
      </c>
      <c r="E1253" s="17" t="str">
        <f>VLOOKUP(C1253,Resources!B:G,3,FALSE)</f>
        <v>P</v>
      </c>
      <c r="F1253" s="12">
        <v>1</v>
      </c>
      <c r="G1253" s="12">
        <f>G1252</f>
        <v>200</v>
      </c>
      <c r="H1253" s="12">
        <f>H1251</f>
        <v>11455</v>
      </c>
      <c r="I1253" s="12">
        <f>VLOOKUP(C1253,Resources!B:G,6,FALSE)</f>
        <v>55</v>
      </c>
      <c r="J1253" s="21">
        <f t="shared" si="2004"/>
        <v>3150.125</v>
      </c>
      <c r="K1253" s="21"/>
      <c r="L1253" s="24">
        <v>0</v>
      </c>
      <c r="M1253" s="24">
        <f t="shared" si="2005"/>
        <v>0</v>
      </c>
      <c r="N1253" s="24">
        <f t="shared" si="2006"/>
        <v>0</v>
      </c>
      <c r="O1253" s="24">
        <f t="shared" si="2007"/>
        <v>3150.125</v>
      </c>
      <c r="P1253" s="24">
        <f t="shared" si="2008"/>
        <v>0</v>
      </c>
      <c r="Q1253" s="24">
        <f t="shared" si="2009"/>
        <v>3150.125</v>
      </c>
      <c r="R1253" s="87">
        <v>61</v>
      </c>
      <c r="T1253" s="235" t="str">
        <f t="shared" si="1968"/>
        <v xml:space="preserve"> </v>
      </c>
      <c r="U1253" s="232"/>
    </row>
    <row r="1254" spans="1:21" s="57" customFormat="1" x14ac:dyDescent="0.25">
      <c r="A1254" s="157"/>
      <c r="B1254" s="6">
        <v>3</v>
      </c>
      <c r="C1254" s="9" t="s">
        <v>81</v>
      </c>
      <c r="D1254" s="6" t="s">
        <v>26</v>
      </c>
      <c r="E1254" s="17" t="str">
        <f>VLOOKUP(C1254,Resources!B:G,3,FALSE)</f>
        <v>P</v>
      </c>
      <c r="F1254" s="12">
        <v>1</v>
      </c>
      <c r="G1254" s="12">
        <f>G1252</f>
        <v>200</v>
      </c>
      <c r="H1254" s="12">
        <f>H1251</f>
        <v>11455</v>
      </c>
      <c r="I1254" s="12">
        <f>VLOOKUP(C1254,Resources!B:G,6,FALSE)</f>
        <v>58</v>
      </c>
      <c r="J1254" s="21">
        <f t="shared" si="2004"/>
        <v>3321.95</v>
      </c>
      <c r="K1254" s="21"/>
      <c r="L1254" s="24">
        <v>0</v>
      </c>
      <c r="M1254" s="24">
        <f t="shared" si="2005"/>
        <v>0</v>
      </c>
      <c r="N1254" s="24">
        <f t="shared" si="2006"/>
        <v>0</v>
      </c>
      <c r="O1254" s="24">
        <f t="shared" si="2007"/>
        <v>3321.95</v>
      </c>
      <c r="P1254" s="24">
        <f t="shared" si="2008"/>
        <v>0</v>
      </c>
      <c r="Q1254" s="24">
        <f t="shared" si="2009"/>
        <v>3321.95</v>
      </c>
      <c r="R1254" s="87">
        <v>61</v>
      </c>
      <c r="T1254" s="235" t="str">
        <f t="shared" si="1968"/>
        <v xml:space="preserve"> </v>
      </c>
      <c r="U1254" s="232"/>
    </row>
    <row r="1255" spans="1:21" s="57" customFormat="1" x14ac:dyDescent="0.25">
      <c r="A1255" s="157"/>
      <c r="B1255" s="6">
        <v>4</v>
      </c>
      <c r="C1255" s="9" t="s">
        <v>28</v>
      </c>
      <c r="D1255" s="6" t="s">
        <v>26</v>
      </c>
      <c r="E1255" s="17" t="str">
        <f>VLOOKUP(C1255,Resources!B:G,3,FALSE)</f>
        <v>P</v>
      </c>
      <c r="F1255" s="12">
        <v>1</v>
      </c>
      <c r="G1255" s="12">
        <f>G1252</f>
        <v>200</v>
      </c>
      <c r="H1255" s="12">
        <f>H1251</f>
        <v>11455</v>
      </c>
      <c r="I1255" s="12">
        <f>VLOOKUP(C1255,Resources!B:G,6,FALSE)</f>
        <v>95</v>
      </c>
      <c r="J1255" s="21">
        <f t="shared" si="2004"/>
        <v>5441.125</v>
      </c>
      <c r="K1255" s="21"/>
      <c r="L1255" s="24">
        <v>0</v>
      </c>
      <c r="M1255" s="24">
        <f t="shared" si="2005"/>
        <v>0</v>
      </c>
      <c r="N1255" s="24">
        <f t="shared" si="2006"/>
        <v>0</v>
      </c>
      <c r="O1255" s="24">
        <f t="shared" si="2007"/>
        <v>5441.125</v>
      </c>
      <c r="P1255" s="24">
        <f t="shared" si="2008"/>
        <v>0</v>
      </c>
      <c r="Q1255" s="24">
        <f t="shared" si="2009"/>
        <v>5441.125</v>
      </c>
      <c r="R1255" s="87">
        <v>61</v>
      </c>
      <c r="T1255" s="235" t="str">
        <f t="shared" si="1968"/>
        <v xml:space="preserve"> </v>
      </c>
      <c r="U1255" s="232"/>
    </row>
    <row r="1256" spans="1:21" s="57" customFormat="1" x14ac:dyDescent="0.25">
      <c r="A1256" s="157"/>
      <c r="B1256" s="6">
        <v>5</v>
      </c>
      <c r="C1256" s="9" t="s">
        <v>8</v>
      </c>
      <c r="D1256" s="6" t="s">
        <v>26</v>
      </c>
      <c r="E1256" s="17" t="str">
        <f>VLOOKUP(C1256,Resources!B:G,3,FALSE)</f>
        <v>L</v>
      </c>
      <c r="F1256" s="12">
        <v>3</v>
      </c>
      <c r="G1256" s="12">
        <f>G1252</f>
        <v>200</v>
      </c>
      <c r="H1256" s="12">
        <f>H1251</f>
        <v>11455</v>
      </c>
      <c r="I1256" s="12">
        <f>VLOOKUP(C1256,Resources!B:G,6,FALSE)</f>
        <v>51.9</v>
      </c>
      <c r="J1256" s="21">
        <f t="shared" si="2004"/>
        <v>8917.7174999999988</v>
      </c>
      <c r="K1256" s="21"/>
      <c r="L1256" s="24">
        <v>0</v>
      </c>
      <c r="M1256" s="24">
        <f t="shared" si="2005"/>
        <v>8917.7174999999988</v>
      </c>
      <c r="N1256" s="24">
        <f t="shared" si="2006"/>
        <v>0</v>
      </c>
      <c r="O1256" s="24">
        <f t="shared" si="2007"/>
        <v>0</v>
      </c>
      <c r="P1256" s="24">
        <f t="shared" si="2008"/>
        <v>0</v>
      </c>
      <c r="Q1256" s="24">
        <f t="shared" si="2009"/>
        <v>8917.7174999999988</v>
      </c>
      <c r="R1256" s="87">
        <v>61</v>
      </c>
      <c r="T1256" s="235" t="str">
        <f t="shared" si="1968"/>
        <v xml:space="preserve"> </v>
      </c>
      <c r="U1256" s="232"/>
    </row>
    <row r="1257" spans="1:21" s="57" customFormat="1" x14ac:dyDescent="0.25">
      <c r="A1257" s="157"/>
      <c r="B1257" s="6">
        <v>6</v>
      </c>
      <c r="C1257" s="9" t="s">
        <v>82</v>
      </c>
      <c r="D1257" s="6" t="s">
        <v>26</v>
      </c>
      <c r="E1257" s="17" t="str">
        <f>VLOOKUP(C1257,Resources!B:G,3,FALSE)</f>
        <v>P</v>
      </c>
      <c r="F1257" s="12">
        <v>1</v>
      </c>
      <c r="G1257" s="12">
        <f>G1252*3</f>
        <v>600</v>
      </c>
      <c r="H1257" s="12">
        <f>H1251</f>
        <v>11455</v>
      </c>
      <c r="I1257" s="12">
        <f>VLOOKUP(C1257,Resources!B:G,6,FALSE)</f>
        <v>95</v>
      </c>
      <c r="J1257" s="21">
        <f t="shared" si="2004"/>
        <v>1813.7083333333333</v>
      </c>
      <c r="K1257" s="21"/>
      <c r="L1257" s="24">
        <v>0</v>
      </c>
      <c r="M1257" s="24">
        <f t="shared" si="2005"/>
        <v>0</v>
      </c>
      <c r="N1257" s="24">
        <f t="shared" si="2006"/>
        <v>0</v>
      </c>
      <c r="O1257" s="24">
        <f t="shared" si="2007"/>
        <v>1813.7083333333333</v>
      </c>
      <c r="P1257" s="24">
        <f t="shared" si="2008"/>
        <v>0</v>
      </c>
      <c r="Q1257" s="24">
        <f t="shared" si="2009"/>
        <v>1813.7083333333333</v>
      </c>
      <c r="R1257" s="87">
        <v>61</v>
      </c>
      <c r="T1257" s="235" t="str">
        <f t="shared" si="1968"/>
        <v xml:space="preserve"> </v>
      </c>
      <c r="U1257" s="232"/>
    </row>
    <row r="1258" spans="1:21" s="57" customFormat="1" x14ac:dyDescent="0.25">
      <c r="A1258" s="157"/>
      <c r="B1258" s="6">
        <v>7</v>
      </c>
      <c r="C1258" s="9" t="s">
        <v>27</v>
      </c>
      <c r="D1258" s="6" t="s">
        <v>26</v>
      </c>
      <c r="E1258" s="17" t="str">
        <f>VLOOKUP(C1258,Resources!B:G,3,FALSE)</f>
        <v>P</v>
      </c>
      <c r="F1258" s="12">
        <v>1</v>
      </c>
      <c r="G1258" s="12">
        <f>G1257</f>
        <v>600</v>
      </c>
      <c r="H1258" s="12">
        <f>H1251</f>
        <v>11455</v>
      </c>
      <c r="I1258" s="12">
        <f>VLOOKUP(C1258,Resources!B:G,6,FALSE)</f>
        <v>90</v>
      </c>
      <c r="J1258" s="21">
        <f t="shared" si="2004"/>
        <v>1718.2499999999998</v>
      </c>
      <c r="K1258" s="21"/>
      <c r="L1258" s="24">
        <v>0</v>
      </c>
      <c r="M1258" s="24">
        <f t="shared" si="2005"/>
        <v>0</v>
      </c>
      <c r="N1258" s="24">
        <f t="shared" si="2006"/>
        <v>0</v>
      </c>
      <c r="O1258" s="24">
        <f t="shared" si="2007"/>
        <v>1718.2499999999998</v>
      </c>
      <c r="P1258" s="24">
        <f t="shared" si="2008"/>
        <v>0</v>
      </c>
      <c r="Q1258" s="24">
        <f t="shared" si="2009"/>
        <v>1718.2499999999998</v>
      </c>
      <c r="R1258" s="87">
        <v>61</v>
      </c>
      <c r="T1258" s="235" t="str">
        <f t="shared" si="1968"/>
        <v xml:space="preserve"> </v>
      </c>
      <c r="U1258" s="232"/>
    </row>
    <row r="1259" spans="1:21" s="57" customFormat="1" x14ac:dyDescent="0.25">
      <c r="A1259" s="158"/>
      <c r="B1259" s="5"/>
      <c r="C1259" s="8"/>
      <c r="D1259" s="5"/>
      <c r="E1259" s="16"/>
      <c r="F1259" s="11"/>
      <c r="G1259" s="11"/>
      <c r="H1259" s="11"/>
      <c r="I1259" s="11"/>
      <c r="J1259" s="11"/>
      <c r="K1259" s="11"/>
      <c r="L1259" s="25"/>
      <c r="M1259" s="25"/>
      <c r="N1259" s="25"/>
      <c r="O1259" s="25"/>
      <c r="P1259" s="25"/>
      <c r="Q1259" s="25"/>
      <c r="R1259" s="88"/>
      <c r="T1259" s="235" t="str">
        <f t="shared" si="1968"/>
        <v xml:space="preserve"> </v>
      </c>
      <c r="U1259" s="232"/>
    </row>
    <row r="1260" spans="1:21" s="57" customFormat="1" ht="60" x14ac:dyDescent="0.25">
      <c r="A1260" s="156">
        <v>159</v>
      </c>
      <c r="B1260" s="3" t="s">
        <v>720</v>
      </c>
      <c r="C1260" s="3" t="s">
        <v>723</v>
      </c>
      <c r="D1260" s="4" t="s">
        <v>74</v>
      </c>
      <c r="E1260" s="15"/>
      <c r="F1260" s="10"/>
      <c r="G1260" s="10"/>
      <c r="H1260" s="26">
        <f>VLOOKUP($A1260,'Model Inputs'!$A:$C,3,FALSE)</f>
        <v>4842</v>
      </c>
      <c r="I1260" s="10">
        <f>J1260/H1260</f>
        <v>39.342724999999994</v>
      </c>
      <c r="J1260" s="10">
        <f>SUBTOTAL(9,J1261:J1277)</f>
        <v>190497.47444999998</v>
      </c>
      <c r="K1260" s="10"/>
      <c r="L1260" s="10"/>
      <c r="M1260" s="10">
        <f>SUBTOTAL(9,M1261:M1277)</f>
        <v>44668.539449999997</v>
      </c>
      <c r="N1260" s="10">
        <f>SUBTOTAL(9,N1261:N1277)</f>
        <v>0</v>
      </c>
      <c r="O1260" s="10">
        <f t="shared" ref="O1260:Q1260" si="2010">SUBTOTAL(9,O1261:O1277)</f>
        <v>107092.935</v>
      </c>
      <c r="P1260" s="10">
        <f t="shared" si="2010"/>
        <v>38736</v>
      </c>
      <c r="Q1260" s="10">
        <f t="shared" si="2010"/>
        <v>190497.47444999998</v>
      </c>
      <c r="R1260" s="86"/>
      <c r="T1260" s="235" t="str">
        <f t="shared" si="1968"/>
        <v xml:space="preserve"> </v>
      </c>
      <c r="U1260" s="232"/>
    </row>
    <row r="1261" spans="1:21" s="57" customFormat="1" ht="17.25" x14ac:dyDescent="0.25">
      <c r="A1261" s="157"/>
      <c r="B1261" s="6">
        <v>1</v>
      </c>
      <c r="C1261" s="9" t="s">
        <v>722</v>
      </c>
      <c r="D1261" s="6" t="s">
        <v>725</v>
      </c>
      <c r="E1261" s="17" t="str">
        <f>VLOOKUP(C1261,Resources!B:G,3,FALSE)</f>
        <v>S</v>
      </c>
      <c r="F1261" s="12">
        <v>1</v>
      </c>
      <c r="G1261" s="12">
        <v>1</v>
      </c>
      <c r="H1261" s="12">
        <f>H1260</f>
        <v>4842</v>
      </c>
      <c r="I1261" s="12">
        <f>VLOOKUP(C1261,Resources!B:G,6,FALSE)</f>
        <v>8</v>
      </c>
      <c r="J1261" s="21">
        <f t="shared" ref="J1261:J1265" si="2011">(H1261/G1261)*I1261*F1261</f>
        <v>38736</v>
      </c>
      <c r="K1261" s="21"/>
      <c r="L1261" s="24">
        <v>0</v>
      </c>
      <c r="M1261" s="24">
        <f t="shared" ref="M1261:M1265" si="2012">IF($E1261="L",$J1261,0)</f>
        <v>0</v>
      </c>
      <c r="N1261" s="24">
        <f t="shared" ref="N1261:N1265" si="2013">IF($E1261="M",$J1261,0)</f>
        <v>0</v>
      </c>
      <c r="O1261" s="24">
        <f t="shared" ref="O1261:O1265" si="2014">IF($E1261="P",$J1261,0)</f>
        <v>0</v>
      </c>
      <c r="P1261" s="24">
        <f t="shared" ref="P1261:P1265" si="2015">IF($E1261="S",$J1261,0)</f>
        <v>38736</v>
      </c>
      <c r="Q1261" s="24">
        <f t="shared" ref="Q1261:Q1265" si="2016">SUM(M1261:P1261)</f>
        <v>38736</v>
      </c>
      <c r="R1261" s="87" t="s">
        <v>539</v>
      </c>
      <c r="T1261" s="235" t="str">
        <f t="shared" si="1968"/>
        <v xml:space="preserve"> </v>
      </c>
      <c r="U1261" s="232"/>
    </row>
    <row r="1262" spans="1:21" s="57" customFormat="1" x14ac:dyDescent="0.25">
      <c r="A1262" s="157">
        <v>159.1</v>
      </c>
      <c r="B1262" s="6">
        <v>2</v>
      </c>
      <c r="C1262" s="9" t="s">
        <v>78</v>
      </c>
      <c r="D1262" s="6" t="s">
        <v>26</v>
      </c>
      <c r="E1262" s="17" t="str">
        <f>VLOOKUP(C1262,Resources!B:G,3,FALSE)</f>
        <v>P</v>
      </c>
      <c r="F1262" s="12">
        <v>1</v>
      </c>
      <c r="G1262" s="26">
        <f>VLOOKUP($A1262,'Model Inputs'!$A:$C,3,FALSE)</f>
        <v>200</v>
      </c>
      <c r="H1262" s="12">
        <f>H1261*2.35</f>
        <v>11378.7</v>
      </c>
      <c r="I1262" s="12">
        <f>VLOOKUP(C1262,Resources!B:G,6,FALSE)</f>
        <v>160</v>
      </c>
      <c r="J1262" s="21">
        <f t="shared" si="2011"/>
        <v>9102.9600000000009</v>
      </c>
      <c r="K1262" s="21"/>
      <c r="L1262" s="24">
        <v>0</v>
      </c>
      <c r="M1262" s="24">
        <f t="shared" si="2012"/>
        <v>0</v>
      </c>
      <c r="N1262" s="24">
        <f t="shared" si="2013"/>
        <v>0</v>
      </c>
      <c r="O1262" s="24">
        <f t="shared" si="2014"/>
        <v>9102.9600000000009</v>
      </c>
      <c r="P1262" s="24">
        <f t="shared" si="2015"/>
        <v>0</v>
      </c>
      <c r="Q1262" s="24">
        <f t="shared" si="2016"/>
        <v>9102.9600000000009</v>
      </c>
      <c r="R1262" s="87">
        <v>62</v>
      </c>
      <c r="T1262" s="235" t="str">
        <f t="shared" si="1968"/>
        <v xml:space="preserve"> </v>
      </c>
      <c r="U1262" s="232"/>
    </row>
    <row r="1263" spans="1:21" s="57" customFormat="1" x14ac:dyDescent="0.25">
      <c r="A1263" s="157"/>
      <c r="B1263" s="6">
        <v>3</v>
      </c>
      <c r="C1263" s="9" t="s">
        <v>89</v>
      </c>
      <c r="D1263" s="6" t="s">
        <v>26</v>
      </c>
      <c r="E1263" s="17" t="str">
        <f>VLOOKUP(C1263,Resources!B:G,3,FALSE)</f>
        <v>P</v>
      </c>
      <c r="F1263" s="12">
        <v>1</v>
      </c>
      <c r="G1263" s="12">
        <f>G1262</f>
        <v>200</v>
      </c>
      <c r="H1263" s="12">
        <f>H1262</f>
        <v>11378.7</v>
      </c>
      <c r="I1263" s="12">
        <f>VLOOKUP(C1263,Resources!B:G,6,FALSE)</f>
        <v>55</v>
      </c>
      <c r="J1263" s="21">
        <f t="shared" si="2011"/>
        <v>3129.1425000000004</v>
      </c>
      <c r="K1263" s="21"/>
      <c r="L1263" s="24">
        <v>0</v>
      </c>
      <c r="M1263" s="24">
        <f t="shared" si="2012"/>
        <v>0</v>
      </c>
      <c r="N1263" s="24">
        <f t="shared" si="2013"/>
        <v>0</v>
      </c>
      <c r="O1263" s="24">
        <f t="shared" si="2014"/>
        <v>3129.1425000000004</v>
      </c>
      <c r="P1263" s="24">
        <f t="shared" si="2015"/>
        <v>0</v>
      </c>
      <c r="Q1263" s="24">
        <f t="shared" si="2016"/>
        <v>3129.1425000000004</v>
      </c>
      <c r="R1263" s="87">
        <v>62</v>
      </c>
      <c r="T1263" s="235" t="str">
        <f t="shared" si="1968"/>
        <v xml:space="preserve"> </v>
      </c>
      <c r="U1263" s="232"/>
    </row>
    <row r="1264" spans="1:21" s="57" customFormat="1" x14ac:dyDescent="0.25">
      <c r="A1264" s="157"/>
      <c r="B1264" s="6">
        <v>4</v>
      </c>
      <c r="C1264" s="9" t="s">
        <v>28</v>
      </c>
      <c r="D1264" s="6" t="s">
        <v>26</v>
      </c>
      <c r="E1264" s="17" t="str">
        <f>VLOOKUP(C1264,Resources!B:G,3,FALSE)</f>
        <v>P</v>
      </c>
      <c r="F1264" s="12">
        <v>1</v>
      </c>
      <c r="G1264" s="12">
        <f>G1262</f>
        <v>200</v>
      </c>
      <c r="H1264" s="12">
        <f>H1262</f>
        <v>11378.7</v>
      </c>
      <c r="I1264" s="12">
        <f>VLOOKUP(C1264,Resources!B:G,6,FALSE)</f>
        <v>95</v>
      </c>
      <c r="J1264" s="21">
        <f t="shared" si="2011"/>
        <v>5404.8825000000006</v>
      </c>
      <c r="K1264" s="21"/>
      <c r="L1264" s="24">
        <v>0</v>
      </c>
      <c r="M1264" s="24">
        <f t="shared" si="2012"/>
        <v>0</v>
      </c>
      <c r="N1264" s="24">
        <f t="shared" si="2013"/>
        <v>0</v>
      </c>
      <c r="O1264" s="24">
        <f t="shared" si="2014"/>
        <v>5404.8825000000006</v>
      </c>
      <c r="P1264" s="24">
        <f t="shared" si="2015"/>
        <v>0</v>
      </c>
      <c r="Q1264" s="24">
        <f t="shared" si="2016"/>
        <v>5404.8825000000006</v>
      </c>
      <c r="R1264" s="87">
        <v>62</v>
      </c>
      <c r="T1264" s="235" t="str">
        <f t="shared" si="1968"/>
        <v xml:space="preserve"> </v>
      </c>
      <c r="U1264" s="232"/>
    </row>
    <row r="1265" spans="1:21" s="57" customFormat="1" x14ac:dyDescent="0.25">
      <c r="A1265" s="157"/>
      <c r="B1265" s="6">
        <v>5</v>
      </c>
      <c r="C1265" s="9" t="s">
        <v>8</v>
      </c>
      <c r="D1265" s="6" t="s">
        <v>26</v>
      </c>
      <c r="E1265" s="17" t="str">
        <f>VLOOKUP(C1265,Resources!B:G,3,FALSE)</f>
        <v>L</v>
      </c>
      <c r="F1265" s="12">
        <v>3</v>
      </c>
      <c r="G1265" s="12">
        <f>G1262</f>
        <v>200</v>
      </c>
      <c r="H1265" s="12">
        <f>H1262</f>
        <v>11378.7</v>
      </c>
      <c r="I1265" s="12">
        <f>VLOOKUP(C1265,Resources!B:G,6,FALSE)</f>
        <v>51.9</v>
      </c>
      <c r="J1265" s="21">
        <f t="shared" si="2011"/>
        <v>8858.3179500000006</v>
      </c>
      <c r="K1265" s="21"/>
      <c r="L1265" s="24">
        <v>0</v>
      </c>
      <c r="M1265" s="24">
        <f t="shared" si="2012"/>
        <v>8858.3179500000006</v>
      </c>
      <c r="N1265" s="24">
        <f t="shared" si="2013"/>
        <v>0</v>
      </c>
      <c r="O1265" s="24">
        <f t="shared" si="2014"/>
        <v>0</v>
      </c>
      <c r="P1265" s="24">
        <f t="shared" si="2015"/>
        <v>0</v>
      </c>
      <c r="Q1265" s="24">
        <f t="shared" si="2016"/>
        <v>8858.3179500000006</v>
      </c>
      <c r="R1265" s="87">
        <v>62</v>
      </c>
      <c r="T1265" s="235" t="str">
        <f t="shared" si="1968"/>
        <v xml:space="preserve"> </v>
      </c>
      <c r="U1265" s="232"/>
    </row>
    <row r="1266" spans="1:21" s="57" customFormat="1" ht="30" x14ac:dyDescent="0.25">
      <c r="A1266" s="157"/>
      <c r="B1266" s="6">
        <v>6</v>
      </c>
      <c r="C1266" s="9" t="s">
        <v>728</v>
      </c>
      <c r="D1266" s="6"/>
      <c r="E1266" s="17"/>
      <c r="F1266" s="12"/>
      <c r="G1266" s="12"/>
      <c r="H1266" s="12"/>
      <c r="I1266" s="12"/>
      <c r="J1266" s="21"/>
      <c r="K1266" s="21"/>
      <c r="L1266" s="24"/>
      <c r="M1266" s="24"/>
      <c r="N1266" s="24"/>
      <c r="O1266" s="24"/>
      <c r="P1266" s="24"/>
      <c r="Q1266" s="24"/>
      <c r="R1266" s="87"/>
      <c r="T1266" s="235" t="str">
        <f t="shared" si="1968"/>
        <v xml:space="preserve"> </v>
      </c>
      <c r="U1266" s="232"/>
    </row>
    <row r="1267" spans="1:21" s="57" customFormat="1" x14ac:dyDescent="0.25">
      <c r="A1267" s="157">
        <v>159.19999999999999</v>
      </c>
      <c r="B1267" s="6">
        <v>7</v>
      </c>
      <c r="C1267" s="9" t="s">
        <v>727</v>
      </c>
      <c r="D1267" s="6" t="s">
        <v>729</v>
      </c>
      <c r="E1267" s="17" t="str">
        <f>VLOOKUP(C1267,Resources!B:G,3,FALSE)</f>
        <v>P</v>
      </c>
      <c r="F1267" s="12">
        <v>1</v>
      </c>
      <c r="G1267" s="26">
        <f>VLOOKUP($A1267,'Model Inputs'!$A:$C,3,FALSE)</f>
        <v>2000</v>
      </c>
      <c r="H1267" s="12">
        <f>H1260/0.2</f>
        <v>24210</v>
      </c>
      <c r="I1267" s="12">
        <f>VLOOKUP(C1267,Resources!B:G,6,FALSE)</f>
        <v>1500</v>
      </c>
      <c r="J1267" s="21">
        <f t="shared" ref="J1267" si="2017">(H1267/G1267)*I1267*F1267</f>
        <v>18157.5</v>
      </c>
      <c r="K1267" s="21"/>
      <c r="L1267" s="24">
        <v>0</v>
      </c>
      <c r="M1267" s="24">
        <f t="shared" ref="M1267:M1277" si="2018">IF($E1267="L",$J1267,0)</f>
        <v>0</v>
      </c>
      <c r="N1267" s="24">
        <f t="shared" ref="N1267:N1277" si="2019">IF($E1267="M",$J1267,0)</f>
        <v>0</v>
      </c>
      <c r="O1267" s="24">
        <f t="shared" ref="O1267:O1277" si="2020">IF($E1267="P",$J1267,0)</f>
        <v>18157.5</v>
      </c>
      <c r="P1267" s="24">
        <f t="shared" ref="P1267:P1277" si="2021">IF($E1267="S",$J1267,0)</f>
        <v>0</v>
      </c>
      <c r="Q1267" s="24">
        <f t="shared" ref="Q1267" si="2022">SUM(M1267:P1267)</f>
        <v>18157.5</v>
      </c>
      <c r="R1267" s="87">
        <v>62</v>
      </c>
      <c r="T1267" s="235" t="str">
        <f t="shared" si="1968"/>
        <v xml:space="preserve"> </v>
      </c>
      <c r="U1267" s="232"/>
    </row>
    <row r="1268" spans="1:21" s="57" customFormat="1" x14ac:dyDescent="0.25">
      <c r="A1268" s="157"/>
      <c r="B1268" s="6">
        <v>8</v>
      </c>
      <c r="C1268" s="9" t="s">
        <v>28</v>
      </c>
      <c r="D1268" s="6" t="s">
        <v>26</v>
      </c>
      <c r="E1268" s="17" t="str">
        <f>VLOOKUP(C1268,Resources!B:G,3,FALSE)</f>
        <v>P</v>
      </c>
      <c r="F1268" s="12">
        <v>1</v>
      </c>
      <c r="G1268" s="12">
        <f>G$1267/Workhrs</f>
        <v>222.22222222222223</v>
      </c>
      <c r="H1268" s="12">
        <f>H1267</f>
        <v>24210</v>
      </c>
      <c r="I1268" s="12">
        <f>VLOOKUP(C1268,Resources!B:G,6,FALSE)</f>
        <v>95</v>
      </c>
      <c r="J1268" s="21">
        <f t="shared" ref="J1268:J1277" si="2023">(H1268/G1268)*I1268*F1268</f>
        <v>10349.775</v>
      </c>
      <c r="K1268" s="21"/>
      <c r="L1268" s="24">
        <v>0</v>
      </c>
      <c r="M1268" s="24">
        <f t="shared" si="2018"/>
        <v>0</v>
      </c>
      <c r="N1268" s="24">
        <f t="shared" si="2019"/>
        <v>0</v>
      </c>
      <c r="O1268" s="24">
        <f t="shared" si="2020"/>
        <v>10349.775</v>
      </c>
      <c r="P1268" s="24">
        <f t="shared" si="2021"/>
        <v>0</v>
      </c>
      <c r="Q1268" s="24">
        <f t="shared" ref="Q1268:Q1277" si="2024">SUM(M1268:P1268)</f>
        <v>10349.775</v>
      </c>
      <c r="R1268" s="87">
        <v>62</v>
      </c>
      <c r="T1268" s="235" t="str">
        <f t="shared" si="1968"/>
        <v xml:space="preserve"> </v>
      </c>
      <c r="U1268" s="232"/>
    </row>
    <row r="1269" spans="1:21" s="57" customFormat="1" x14ac:dyDescent="0.25">
      <c r="A1269" s="157"/>
      <c r="B1269" s="6">
        <v>9</v>
      </c>
      <c r="C1269" s="9" t="s">
        <v>78</v>
      </c>
      <c r="D1269" s="6" t="s">
        <v>26</v>
      </c>
      <c r="E1269" s="17" t="str">
        <f>VLOOKUP(C1269,Resources!B:G,3,FALSE)</f>
        <v>P</v>
      </c>
      <c r="F1269" s="12">
        <v>1</v>
      </c>
      <c r="G1269" s="12">
        <f>G$1267/Workhrs</f>
        <v>222.22222222222223</v>
      </c>
      <c r="H1269" s="12">
        <f>H1267</f>
        <v>24210</v>
      </c>
      <c r="I1269" s="12">
        <f>VLOOKUP(C1269,Resources!B:G,6,FALSE)</f>
        <v>160</v>
      </c>
      <c r="J1269" s="21">
        <f t="shared" si="2023"/>
        <v>17431.199999999997</v>
      </c>
      <c r="K1269" s="21"/>
      <c r="L1269" s="24">
        <v>0</v>
      </c>
      <c r="M1269" s="24">
        <f t="shared" si="2018"/>
        <v>0</v>
      </c>
      <c r="N1269" s="24">
        <f t="shared" si="2019"/>
        <v>0</v>
      </c>
      <c r="O1269" s="24">
        <f t="shared" si="2020"/>
        <v>17431.199999999997</v>
      </c>
      <c r="P1269" s="24">
        <f t="shared" si="2021"/>
        <v>0</v>
      </c>
      <c r="Q1269" s="24">
        <f t="shared" si="2024"/>
        <v>17431.199999999997</v>
      </c>
      <c r="R1269" s="87">
        <v>62</v>
      </c>
      <c r="T1269" s="235" t="str">
        <f t="shared" si="1968"/>
        <v xml:space="preserve"> </v>
      </c>
      <c r="U1269" s="232"/>
    </row>
    <row r="1270" spans="1:21" s="57" customFormat="1" x14ac:dyDescent="0.25">
      <c r="A1270" s="157"/>
      <c r="B1270" s="6">
        <v>10</v>
      </c>
      <c r="C1270" s="9" t="s">
        <v>89</v>
      </c>
      <c r="D1270" s="6" t="s">
        <v>26</v>
      </c>
      <c r="E1270" s="17" t="str">
        <f>VLOOKUP(C1270,Resources!B:G,3,FALSE)</f>
        <v>P</v>
      </c>
      <c r="F1270" s="12">
        <v>1</v>
      </c>
      <c r="G1270" s="12">
        <f>G$1267/Workhrs</f>
        <v>222.22222222222223</v>
      </c>
      <c r="H1270" s="12">
        <f>H1267</f>
        <v>24210</v>
      </c>
      <c r="I1270" s="12">
        <f>VLOOKUP(C1270,Resources!B:G,6,FALSE)</f>
        <v>55</v>
      </c>
      <c r="J1270" s="21">
        <f t="shared" si="2023"/>
        <v>5991.9749999999995</v>
      </c>
      <c r="K1270" s="21"/>
      <c r="L1270" s="24">
        <v>0</v>
      </c>
      <c r="M1270" s="24">
        <f t="shared" si="2018"/>
        <v>0</v>
      </c>
      <c r="N1270" s="24">
        <f t="shared" si="2019"/>
        <v>0</v>
      </c>
      <c r="O1270" s="24">
        <f t="shared" si="2020"/>
        <v>5991.9749999999995</v>
      </c>
      <c r="P1270" s="24">
        <f t="shared" si="2021"/>
        <v>0</v>
      </c>
      <c r="Q1270" s="24">
        <f t="shared" si="2024"/>
        <v>5991.9749999999995</v>
      </c>
      <c r="R1270" s="87">
        <v>62</v>
      </c>
      <c r="T1270" s="235" t="str">
        <f t="shared" si="1968"/>
        <v xml:space="preserve"> </v>
      </c>
      <c r="U1270" s="232"/>
    </row>
    <row r="1271" spans="1:21" s="57" customFormat="1" x14ac:dyDescent="0.25">
      <c r="A1271" s="157"/>
      <c r="B1271" s="6">
        <v>11</v>
      </c>
      <c r="C1271" s="9" t="s">
        <v>8</v>
      </c>
      <c r="D1271" s="6" t="s">
        <v>26</v>
      </c>
      <c r="E1271" s="17" t="str">
        <f>VLOOKUP(C1271,Resources!B:G,3,FALSE)</f>
        <v>L</v>
      </c>
      <c r="F1271" s="12">
        <v>3</v>
      </c>
      <c r="G1271" s="12">
        <f>G$1267/Workhrs</f>
        <v>222.22222222222223</v>
      </c>
      <c r="H1271" s="12">
        <f>H1267</f>
        <v>24210</v>
      </c>
      <c r="I1271" s="12">
        <f>VLOOKUP(C1271,Resources!B:G,6,FALSE)</f>
        <v>51.9</v>
      </c>
      <c r="J1271" s="21">
        <f t="shared" si="2023"/>
        <v>16962.736499999999</v>
      </c>
      <c r="K1271" s="21"/>
      <c r="L1271" s="24">
        <v>0</v>
      </c>
      <c r="M1271" s="24">
        <f t="shared" si="2018"/>
        <v>16962.736499999999</v>
      </c>
      <c r="N1271" s="24">
        <f t="shared" si="2019"/>
        <v>0</v>
      </c>
      <c r="O1271" s="24">
        <f t="shared" si="2020"/>
        <v>0</v>
      </c>
      <c r="P1271" s="24">
        <f t="shared" si="2021"/>
        <v>0</v>
      </c>
      <c r="Q1271" s="24">
        <f t="shared" si="2024"/>
        <v>16962.736499999999</v>
      </c>
      <c r="R1271" s="87">
        <v>62</v>
      </c>
      <c r="T1271" s="235" t="str">
        <f t="shared" si="1968"/>
        <v xml:space="preserve"> </v>
      </c>
      <c r="U1271" s="232"/>
    </row>
    <row r="1272" spans="1:21" s="57" customFormat="1" x14ac:dyDescent="0.25">
      <c r="A1272" s="157"/>
      <c r="B1272" s="6"/>
      <c r="C1272" s="9"/>
      <c r="D1272" s="6"/>
      <c r="E1272" s="17"/>
      <c r="F1272" s="12"/>
      <c r="G1272" s="12"/>
      <c r="H1272" s="12"/>
      <c r="I1272" s="12"/>
      <c r="J1272" s="21"/>
      <c r="K1272" s="21"/>
      <c r="L1272" s="24"/>
      <c r="M1272" s="24"/>
      <c r="N1272" s="24"/>
      <c r="O1272" s="24"/>
      <c r="P1272" s="24"/>
      <c r="Q1272" s="24"/>
      <c r="R1272" s="87"/>
      <c r="T1272" s="235" t="str">
        <f t="shared" si="1968"/>
        <v xml:space="preserve"> </v>
      </c>
      <c r="U1272" s="232"/>
    </row>
    <row r="1273" spans="1:21" s="57" customFormat="1" x14ac:dyDescent="0.25">
      <c r="A1273" s="157"/>
      <c r="B1273" s="6"/>
      <c r="C1273" s="9" t="s">
        <v>730</v>
      </c>
      <c r="D1273" s="6"/>
      <c r="E1273" s="17"/>
      <c r="F1273" s="12"/>
      <c r="G1273" s="12"/>
      <c r="H1273" s="12"/>
      <c r="I1273" s="12"/>
      <c r="J1273" s="21"/>
      <c r="K1273" s="21"/>
      <c r="L1273" s="24"/>
      <c r="M1273" s="24"/>
      <c r="N1273" s="24"/>
      <c r="O1273" s="24"/>
      <c r="P1273" s="24"/>
      <c r="Q1273" s="24"/>
      <c r="R1273" s="87"/>
      <c r="T1273" s="235" t="str">
        <f t="shared" si="1968"/>
        <v xml:space="preserve"> </v>
      </c>
      <c r="U1273" s="232"/>
    </row>
    <row r="1274" spans="1:21" s="57" customFormat="1" x14ac:dyDescent="0.25">
      <c r="A1274" s="157">
        <v>159.30000000000001</v>
      </c>
      <c r="B1274" s="6">
        <v>12</v>
      </c>
      <c r="C1274" s="9" t="s">
        <v>78</v>
      </c>
      <c r="D1274" s="6" t="s">
        <v>26</v>
      </c>
      <c r="E1274" s="17" t="str">
        <f>VLOOKUP(C1274,Resources!B:G,3,FALSE)</f>
        <v>P</v>
      </c>
      <c r="F1274" s="12">
        <v>1</v>
      </c>
      <c r="G1274" s="26">
        <f>VLOOKUP($A1274,'Model Inputs'!$A:$C,3,FALSE)</f>
        <v>200</v>
      </c>
      <c r="H1274" s="12">
        <f>H1267</f>
        <v>24210</v>
      </c>
      <c r="I1274" s="12">
        <f>VLOOKUP(C1274,Resources!B:G,6,FALSE)</f>
        <v>160</v>
      </c>
      <c r="J1274" s="21">
        <f t="shared" si="2023"/>
        <v>19368</v>
      </c>
      <c r="K1274" s="21"/>
      <c r="L1274" s="24">
        <v>0</v>
      </c>
      <c r="M1274" s="24">
        <f t="shared" si="2018"/>
        <v>0</v>
      </c>
      <c r="N1274" s="24">
        <f t="shared" si="2019"/>
        <v>0</v>
      </c>
      <c r="O1274" s="24">
        <f t="shared" si="2020"/>
        <v>19368</v>
      </c>
      <c r="P1274" s="24">
        <f t="shared" si="2021"/>
        <v>0</v>
      </c>
      <c r="Q1274" s="24">
        <f t="shared" si="2024"/>
        <v>19368</v>
      </c>
      <c r="R1274" s="87">
        <v>63</v>
      </c>
      <c r="T1274" s="235" t="str">
        <f t="shared" si="1968"/>
        <v xml:space="preserve"> </v>
      </c>
      <c r="U1274" s="232"/>
    </row>
    <row r="1275" spans="1:21" s="57" customFormat="1" x14ac:dyDescent="0.25">
      <c r="A1275" s="157"/>
      <c r="B1275" s="6">
        <v>13</v>
      </c>
      <c r="C1275" s="9" t="s">
        <v>28</v>
      </c>
      <c r="D1275" s="6" t="s">
        <v>26</v>
      </c>
      <c r="E1275" s="17" t="str">
        <f>VLOOKUP(C1275,Resources!B:G,3,FALSE)</f>
        <v>P</v>
      </c>
      <c r="F1275" s="12">
        <v>1</v>
      </c>
      <c r="G1275" s="12">
        <f>G1274</f>
        <v>200</v>
      </c>
      <c r="H1275" s="12">
        <f>H1268</f>
        <v>24210</v>
      </c>
      <c r="I1275" s="12">
        <f>VLOOKUP(C1275,Resources!B:G,6,FALSE)</f>
        <v>95</v>
      </c>
      <c r="J1275" s="21">
        <f t="shared" si="2023"/>
        <v>11499.75</v>
      </c>
      <c r="K1275" s="21"/>
      <c r="L1275" s="24">
        <v>0</v>
      </c>
      <c r="M1275" s="24">
        <f t="shared" si="2018"/>
        <v>0</v>
      </c>
      <c r="N1275" s="24">
        <f t="shared" si="2019"/>
        <v>0</v>
      </c>
      <c r="O1275" s="24">
        <f t="shared" si="2020"/>
        <v>11499.75</v>
      </c>
      <c r="P1275" s="24">
        <f t="shared" si="2021"/>
        <v>0</v>
      </c>
      <c r="Q1275" s="24">
        <f t="shared" si="2024"/>
        <v>11499.75</v>
      </c>
      <c r="R1275" s="87">
        <v>63</v>
      </c>
      <c r="T1275" s="235" t="str">
        <f t="shared" si="1968"/>
        <v xml:space="preserve"> </v>
      </c>
      <c r="U1275" s="232"/>
    </row>
    <row r="1276" spans="1:21" s="57" customFormat="1" x14ac:dyDescent="0.25">
      <c r="A1276" s="157"/>
      <c r="B1276" s="6">
        <v>14</v>
      </c>
      <c r="C1276" s="9" t="s">
        <v>89</v>
      </c>
      <c r="D1276" s="6" t="s">
        <v>26</v>
      </c>
      <c r="E1276" s="17" t="str">
        <f>VLOOKUP(C1276,Resources!B:G,3,FALSE)</f>
        <v>P</v>
      </c>
      <c r="F1276" s="12">
        <v>1</v>
      </c>
      <c r="G1276" s="12">
        <f t="shared" ref="G1276:G1277" si="2025">G1275</f>
        <v>200</v>
      </c>
      <c r="H1276" s="12">
        <f>H1269</f>
        <v>24210</v>
      </c>
      <c r="I1276" s="12">
        <f>VLOOKUP(C1276,Resources!B:G,6,FALSE)</f>
        <v>55</v>
      </c>
      <c r="J1276" s="21">
        <f t="shared" si="2023"/>
        <v>6657.75</v>
      </c>
      <c r="K1276" s="21"/>
      <c r="L1276" s="24">
        <v>0</v>
      </c>
      <c r="M1276" s="24">
        <f t="shared" si="2018"/>
        <v>0</v>
      </c>
      <c r="N1276" s="24">
        <f t="shared" si="2019"/>
        <v>0</v>
      </c>
      <c r="O1276" s="24">
        <f t="shared" si="2020"/>
        <v>6657.75</v>
      </c>
      <c r="P1276" s="24">
        <f t="shared" si="2021"/>
        <v>0</v>
      </c>
      <c r="Q1276" s="24">
        <f t="shared" si="2024"/>
        <v>6657.75</v>
      </c>
      <c r="R1276" s="87">
        <v>63</v>
      </c>
      <c r="T1276" s="235" t="str">
        <f t="shared" si="1968"/>
        <v xml:space="preserve"> </v>
      </c>
      <c r="U1276" s="232"/>
    </row>
    <row r="1277" spans="1:21" s="57" customFormat="1" x14ac:dyDescent="0.25">
      <c r="A1277" s="157"/>
      <c r="B1277" s="6">
        <v>15</v>
      </c>
      <c r="C1277" s="9" t="s">
        <v>8</v>
      </c>
      <c r="D1277" s="6" t="s">
        <v>26</v>
      </c>
      <c r="E1277" s="17" t="str">
        <f>VLOOKUP(C1277,Resources!B:G,3,FALSE)</f>
        <v>L</v>
      </c>
      <c r="F1277" s="12">
        <v>3</v>
      </c>
      <c r="G1277" s="12">
        <f t="shared" si="2025"/>
        <v>200</v>
      </c>
      <c r="H1277" s="12">
        <f>H1270</f>
        <v>24210</v>
      </c>
      <c r="I1277" s="12">
        <f>VLOOKUP(C1277,Resources!B:G,6,FALSE)</f>
        <v>51.9</v>
      </c>
      <c r="J1277" s="21">
        <f t="shared" si="2023"/>
        <v>18847.485000000001</v>
      </c>
      <c r="K1277" s="21"/>
      <c r="L1277" s="24">
        <v>0</v>
      </c>
      <c r="M1277" s="24">
        <f t="shared" si="2018"/>
        <v>18847.485000000001</v>
      </c>
      <c r="N1277" s="24">
        <f t="shared" si="2019"/>
        <v>0</v>
      </c>
      <c r="O1277" s="24">
        <f t="shared" si="2020"/>
        <v>0</v>
      </c>
      <c r="P1277" s="24">
        <f t="shared" si="2021"/>
        <v>0</v>
      </c>
      <c r="Q1277" s="24">
        <f t="shared" si="2024"/>
        <v>18847.485000000001</v>
      </c>
      <c r="R1277" s="87">
        <v>63</v>
      </c>
      <c r="T1277" s="235" t="str">
        <f t="shared" si="1968"/>
        <v xml:space="preserve"> </v>
      </c>
      <c r="U1277" s="232"/>
    </row>
    <row r="1278" spans="1:21" s="57" customFormat="1" x14ac:dyDescent="0.25">
      <c r="A1278" s="158"/>
      <c r="B1278" s="5"/>
      <c r="C1278" s="8"/>
      <c r="D1278" s="5"/>
      <c r="E1278" s="16"/>
      <c r="F1278" s="11"/>
      <c r="G1278" s="11"/>
      <c r="H1278" s="11"/>
      <c r="I1278" s="11"/>
      <c r="J1278" s="11"/>
      <c r="K1278" s="11"/>
      <c r="L1278" s="25"/>
      <c r="M1278" s="25"/>
      <c r="N1278" s="25"/>
      <c r="O1278" s="25"/>
      <c r="P1278" s="25"/>
      <c r="Q1278" s="25"/>
      <c r="R1278" s="88"/>
      <c r="T1278" s="235" t="str">
        <f t="shared" si="1968"/>
        <v xml:space="preserve"> </v>
      </c>
      <c r="U1278" s="232"/>
    </row>
    <row r="1279" spans="1:21" s="57" customFormat="1" ht="30" x14ac:dyDescent="0.25">
      <c r="A1279" s="156">
        <v>160</v>
      </c>
      <c r="B1279" s="3" t="s">
        <v>731</v>
      </c>
      <c r="C1279" s="3" t="s">
        <v>732</v>
      </c>
      <c r="D1279" s="4" t="s">
        <v>88</v>
      </c>
      <c r="E1279" s="15"/>
      <c r="F1279" s="10"/>
      <c r="G1279" s="10"/>
      <c r="H1279" s="26">
        <f>VLOOKUP($A1279,'Model Inputs'!$A:$C,3,FALSE)</f>
        <v>14140</v>
      </c>
      <c r="I1279" s="10"/>
      <c r="J1279" s="10">
        <f>SUBTOTAL(9,J1280)</f>
        <v>90524.280000000013</v>
      </c>
      <c r="K1279" s="10"/>
      <c r="L1279" s="10"/>
      <c r="M1279" s="10">
        <f t="shared" ref="M1279:Q1279" si="2026">SUBTOTAL(9,M1280)</f>
        <v>0</v>
      </c>
      <c r="N1279" s="10">
        <f t="shared" si="2026"/>
        <v>0</v>
      </c>
      <c r="O1279" s="10">
        <f t="shared" si="2026"/>
        <v>0</v>
      </c>
      <c r="P1279" s="10">
        <f t="shared" si="2026"/>
        <v>90524.280000000013</v>
      </c>
      <c r="Q1279" s="10">
        <f t="shared" si="2026"/>
        <v>90524.280000000013</v>
      </c>
      <c r="R1279" s="86"/>
      <c r="T1279" s="235" t="str">
        <f t="shared" si="1968"/>
        <v xml:space="preserve"> </v>
      </c>
      <c r="U1279" s="232"/>
    </row>
    <row r="1280" spans="1:21" s="57" customFormat="1" x14ac:dyDescent="0.25">
      <c r="A1280" s="157"/>
      <c r="B1280" s="6">
        <v>1</v>
      </c>
      <c r="C1280" s="9" t="s">
        <v>116</v>
      </c>
      <c r="D1280" s="6" t="s">
        <v>109</v>
      </c>
      <c r="E1280" s="17" t="str">
        <f>VLOOKUP(C1280,Resources!B:G,3,FALSE)</f>
        <v>S</v>
      </c>
      <c r="F1280" s="12">
        <v>1</v>
      </c>
      <c r="G1280" s="12">
        <v>1</v>
      </c>
      <c r="H1280" s="12">
        <f>H1279*1.1</f>
        <v>15554.000000000002</v>
      </c>
      <c r="I1280" s="12">
        <f>VLOOKUP(C1280,Resources!B:G,6,FALSE)</f>
        <v>5.82</v>
      </c>
      <c r="J1280" s="21">
        <f t="shared" ref="J1280" si="2027">(H1280/G1280)*I1280*F1280</f>
        <v>90524.280000000013</v>
      </c>
      <c r="K1280" s="21"/>
      <c r="L1280" s="24">
        <v>0</v>
      </c>
      <c r="M1280" s="24">
        <f>IF($E1280="L",$J1280,0)</f>
        <v>0</v>
      </c>
      <c r="N1280" s="24">
        <f>IF($E1280="M",$J1280,0)</f>
        <v>0</v>
      </c>
      <c r="O1280" s="24">
        <f>IF($E1280="P",$J1280,0)</f>
        <v>0</v>
      </c>
      <c r="P1280" s="24">
        <f>IF($E1280="S",$J1280,0)</f>
        <v>90524.280000000013</v>
      </c>
      <c r="Q1280" s="24">
        <f>SUM(M1280:P1280)</f>
        <v>90524.280000000013</v>
      </c>
      <c r="R1280" s="87">
        <v>64</v>
      </c>
      <c r="T1280" s="235" t="str">
        <f t="shared" si="1968"/>
        <v xml:space="preserve"> </v>
      </c>
      <c r="U1280" s="232"/>
    </row>
    <row r="1281" spans="1:21" s="57" customFormat="1" x14ac:dyDescent="0.25">
      <c r="A1281" s="149" t="s">
        <v>682</v>
      </c>
      <c r="B1281" s="150" t="s">
        <v>682</v>
      </c>
      <c r="C1281" s="150" t="s">
        <v>682</v>
      </c>
      <c r="D1281" s="151" t="s">
        <v>682</v>
      </c>
      <c r="E1281" s="152" t="s">
        <v>682</v>
      </c>
      <c r="F1281" s="152" t="s">
        <v>682</v>
      </c>
      <c r="G1281" s="153" t="s">
        <v>682</v>
      </c>
      <c r="H1281" s="153" t="s">
        <v>682</v>
      </c>
      <c r="I1281" s="153" t="s">
        <v>682</v>
      </c>
      <c r="J1281" s="153" t="s">
        <v>682</v>
      </c>
      <c r="K1281" s="153" t="s">
        <v>682</v>
      </c>
      <c r="L1281" s="57" t="s">
        <v>682</v>
      </c>
      <c r="M1281" s="154" t="s">
        <v>682</v>
      </c>
      <c r="N1281" s="154" t="s">
        <v>682</v>
      </c>
      <c r="T1281" s="235" t="str">
        <f t="shared" si="1968"/>
        <v xml:space="preserve"> </v>
      </c>
      <c r="U1281" s="232"/>
    </row>
    <row r="1282" spans="1:21" s="57" customFormat="1" ht="17.25" x14ac:dyDescent="0.25">
      <c r="A1282" s="146">
        <v>161</v>
      </c>
      <c r="B1282" s="3" t="s">
        <v>695</v>
      </c>
      <c r="C1282" s="3" t="s">
        <v>735</v>
      </c>
      <c r="D1282" s="163" t="s">
        <v>734</v>
      </c>
      <c r="E1282" s="15"/>
      <c r="F1282" s="10"/>
      <c r="G1282" s="10"/>
      <c r="H1282" s="26">
        <f>VLOOKUP($A1282,'Model Inputs'!$A:$C,3,FALSE)</f>
        <v>63</v>
      </c>
      <c r="I1282" s="10"/>
      <c r="J1282" s="10">
        <f>SUBTOTAL(9,J1283:J1288)</f>
        <v>3300.6750000000002</v>
      </c>
      <c r="K1282" s="10"/>
      <c r="L1282" s="10">
        <f>ROUNDUP(MAX(L1283:L1288)/Workhrs,0)</f>
        <v>1</v>
      </c>
      <c r="M1282" s="10">
        <f>SUBTOTAL(9,M1283:M1288)</f>
        <v>817.42499999999995</v>
      </c>
      <c r="N1282" s="10">
        <f t="shared" ref="N1282:Q1282" si="2028">SUBTOTAL(9,N1283:N1288)</f>
        <v>0</v>
      </c>
      <c r="O1282" s="10">
        <f t="shared" si="2028"/>
        <v>2483.25</v>
      </c>
      <c r="P1282" s="10">
        <f t="shared" si="2028"/>
        <v>0</v>
      </c>
      <c r="Q1282" s="10">
        <f t="shared" si="2028"/>
        <v>3300.6750000000002</v>
      </c>
      <c r="R1282" s="86"/>
      <c r="T1282" s="235" t="str">
        <f t="shared" si="1968"/>
        <v xml:space="preserve"> </v>
      </c>
      <c r="U1282" s="232"/>
    </row>
    <row r="1283" spans="1:21" s="57" customFormat="1" x14ac:dyDescent="0.25">
      <c r="A1283" s="157">
        <v>161.1</v>
      </c>
      <c r="B1283" s="6">
        <v>1</v>
      </c>
      <c r="C1283" s="9" t="s">
        <v>70</v>
      </c>
      <c r="D1283" s="6" t="s">
        <v>26</v>
      </c>
      <c r="E1283" s="17" t="str">
        <f>VLOOKUP(C1283,Resources!B:G,3,FALSE)</f>
        <v>P</v>
      </c>
      <c r="F1283" s="12">
        <v>1</v>
      </c>
      <c r="G1283" s="26">
        <f>VLOOKUP($A1283,'Model Inputs'!$A:$C,3,FALSE)</f>
        <v>12</v>
      </c>
      <c r="H1283" s="12">
        <f>H1282</f>
        <v>63</v>
      </c>
      <c r="I1283" s="12">
        <f>VLOOKUP(C1283,Resources!B:G,6,FALSE)</f>
        <v>135</v>
      </c>
      <c r="J1283" s="21">
        <f t="shared" ref="J1283:J1288" si="2029">(H1283/G1283)*I1283*F1283</f>
        <v>708.75</v>
      </c>
      <c r="K1283" s="21">
        <f t="shared" ref="K1283:K1288" si="2030">IF(E1283="M"," ",L1283*F1283)</f>
        <v>5.25</v>
      </c>
      <c r="L1283" s="24">
        <f t="shared" ref="L1283:L1288" si="2031">IF(E1283="M"," ",H1283/G1283)</f>
        <v>5.25</v>
      </c>
      <c r="M1283" s="24">
        <f t="shared" ref="M1283:M1288" si="2032">IF($E1283="L",$J1283,0)</f>
        <v>0</v>
      </c>
      <c r="N1283" s="24">
        <f t="shared" ref="N1283:N1288" si="2033">IF($E1283="M",$J1283,0)</f>
        <v>0</v>
      </c>
      <c r="O1283" s="24">
        <f t="shared" ref="O1283:O1288" si="2034">IF($E1283="P",$J1283,0)</f>
        <v>708.75</v>
      </c>
      <c r="P1283" s="24">
        <f t="shared" ref="P1283:P1288" si="2035">IF($E1283="S",$J1283,0)</f>
        <v>0</v>
      </c>
      <c r="Q1283" s="24">
        <f t="shared" ref="Q1283:Q1288" si="2036">SUM(M1283:P1283)</f>
        <v>708.75</v>
      </c>
      <c r="R1283" s="87">
        <v>57</v>
      </c>
      <c r="T1283" s="235" t="str">
        <f t="shared" si="1968"/>
        <v xml:space="preserve"> </v>
      </c>
      <c r="U1283" s="232"/>
    </row>
    <row r="1284" spans="1:21" s="57" customFormat="1" x14ac:dyDescent="0.25">
      <c r="A1284" s="157"/>
      <c r="B1284" s="6">
        <v>2</v>
      </c>
      <c r="C1284" s="9" t="s">
        <v>27</v>
      </c>
      <c r="D1284" s="6" t="s">
        <v>26</v>
      </c>
      <c r="E1284" s="17" t="str">
        <f>VLOOKUP(C1284,Resources!B:G,3,FALSE)</f>
        <v>P</v>
      </c>
      <c r="F1284" s="12">
        <v>1</v>
      </c>
      <c r="G1284" s="12">
        <f>G1283</f>
        <v>12</v>
      </c>
      <c r="H1284" s="12">
        <f>H1283</f>
        <v>63</v>
      </c>
      <c r="I1284" s="12">
        <f>VLOOKUP(C1284,Resources!B:G,6,FALSE)</f>
        <v>90</v>
      </c>
      <c r="J1284" s="21">
        <f t="shared" si="2029"/>
        <v>472.5</v>
      </c>
      <c r="K1284" s="21">
        <f t="shared" si="2030"/>
        <v>5.25</v>
      </c>
      <c r="L1284" s="24">
        <f t="shared" si="2031"/>
        <v>5.25</v>
      </c>
      <c r="M1284" s="24">
        <f t="shared" si="2032"/>
        <v>0</v>
      </c>
      <c r="N1284" s="24">
        <f t="shared" si="2033"/>
        <v>0</v>
      </c>
      <c r="O1284" s="24">
        <f t="shared" si="2034"/>
        <v>472.5</v>
      </c>
      <c r="P1284" s="24">
        <f t="shared" si="2035"/>
        <v>0</v>
      </c>
      <c r="Q1284" s="24">
        <f t="shared" si="2036"/>
        <v>472.5</v>
      </c>
      <c r="R1284" s="87">
        <v>57</v>
      </c>
      <c r="T1284" s="235" t="str">
        <f t="shared" si="1968"/>
        <v xml:space="preserve"> </v>
      </c>
      <c r="U1284" s="232"/>
    </row>
    <row r="1285" spans="1:21" s="57" customFormat="1" x14ac:dyDescent="0.25">
      <c r="A1285" s="157"/>
      <c r="B1285" s="6">
        <v>3</v>
      </c>
      <c r="C1285" s="9" t="s">
        <v>81</v>
      </c>
      <c r="D1285" s="6" t="s">
        <v>26</v>
      </c>
      <c r="E1285" s="17" t="str">
        <f>VLOOKUP(C1285,Resources!B:G,3,FALSE)</f>
        <v>P</v>
      </c>
      <c r="F1285" s="12">
        <v>1</v>
      </c>
      <c r="G1285" s="12">
        <f>G1283</f>
        <v>12</v>
      </c>
      <c r="H1285" s="12">
        <f t="shared" ref="H1285:H1288" si="2037">H1284</f>
        <v>63</v>
      </c>
      <c r="I1285" s="12">
        <f>VLOOKUP(C1285,Resources!B:G,6,FALSE)</f>
        <v>58</v>
      </c>
      <c r="J1285" s="21">
        <f t="shared" si="2029"/>
        <v>304.5</v>
      </c>
      <c r="K1285" s="21">
        <f t="shared" si="2030"/>
        <v>5.25</v>
      </c>
      <c r="L1285" s="24">
        <f t="shared" si="2031"/>
        <v>5.25</v>
      </c>
      <c r="M1285" s="24">
        <f t="shared" si="2032"/>
        <v>0</v>
      </c>
      <c r="N1285" s="24">
        <f t="shared" si="2033"/>
        <v>0</v>
      </c>
      <c r="O1285" s="24">
        <f t="shared" si="2034"/>
        <v>304.5</v>
      </c>
      <c r="P1285" s="24">
        <f t="shared" si="2035"/>
        <v>0</v>
      </c>
      <c r="Q1285" s="24">
        <f t="shared" si="2036"/>
        <v>304.5</v>
      </c>
      <c r="R1285" s="87">
        <v>57</v>
      </c>
      <c r="T1285" s="235" t="str">
        <f t="shared" si="1968"/>
        <v xml:space="preserve"> </v>
      </c>
      <c r="U1285" s="232"/>
    </row>
    <row r="1286" spans="1:21" s="57" customFormat="1" x14ac:dyDescent="0.25">
      <c r="A1286" s="157"/>
      <c r="B1286" s="6">
        <v>4</v>
      </c>
      <c r="C1286" s="9" t="s">
        <v>28</v>
      </c>
      <c r="D1286" s="6" t="s">
        <v>26</v>
      </c>
      <c r="E1286" s="17" t="str">
        <f>VLOOKUP(C1286,Resources!B:G,3,FALSE)</f>
        <v>P</v>
      </c>
      <c r="F1286" s="12">
        <v>1</v>
      </c>
      <c r="G1286" s="12">
        <f>G1283</f>
        <v>12</v>
      </c>
      <c r="H1286" s="12">
        <f t="shared" si="2037"/>
        <v>63</v>
      </c>
      <c r="I1286" s="12">
        <f>VLOOKUP(C1286,Resources!B:G,6,FALSE)</f>
        <v>95</v>
      </c>
      <c r="J1286" s="21">
        <f t="shared" si="2029"/>
        <v>498.75</v>
      </c>
      <c r="K1286" s="21">
        <f t="shared" si="2030"/>
        <v>5.25</v>
      </c>
      <c r="L1286" s="24">
        <f t="shared" si="2031"/>
        <v>5.25</v>
      </c>
      <c r="M1286" s="24">
        <f t="shared" si="2032"/>
        <v>0</v>
      </c>
      <c r="N1286" s="24">
        <f t="shared" si="2033"/>
        <v>0</v>
      </c>
      <c r="O1286" s="24">
        <f t="shared" si="2034"/>
        <v>498.75</v>
      </c>
      <c r="P1286" s="24">
        <f t="shared" si="2035"/>
        <v>0</v>
      </c>
      <c r="Q1286" s="24">
        <f t="shared" si="2036"/>
        <v>498.75</v>
      </c>
      <c r="R1286" s="87">
        <v>57</v>
      </c>
      <c r="T1286" s="235" t="str">
        <f t="shared" si="1968"/>
        <v xml:space="preserve"> </v>
      </c>
      <c r="U1286" s="232"/>
    </row>
    <row r="1287" spans="1:21" s="57" customFormat="1" x14ac:dyDescent="0.25">
      <c r="A1287" s="157"/>
      <c r="B1287" s="6">
        <v>5</v>
      </c>
      <c r="C1287" s="9" t="s">
        <v>8</v>
      </c>
      <c r="D1287" s="6" t="s">
        <v>26</v>
      </c>
      <c r="E1287" s="17" t="str">
        <f>VLOOKUP(C1287,Resources!B:G,3,FALSE)</f>
        <v>L</v>
      </c>
      <c r="F1287" s="12">
        <v>3</v>
      </c>
      <c r="G1287" s="12">
        <f>G1283</f>
        <v>12</v>
      </c>
      <c r="H1287" s="12">
        <f t="shared" si="2037"/>
        <v>63</v>
      </c>
      <c r="I1287" s="12">
        <f>VLOOKUP(C1287,Resources!B:G,6,FALSE)</f>
        <v>51.9</v>
      </c>
      <c r="J1287" s="21">
        <f t="shared" si="2029"/>
        <v>817.42499999999995</v>
      </c>
      <c r="K1287" s="21">
        <f t="shared" si="2030"/>
        <v>15.75</v>
      </c>
      <c r="L1287" s="24">
        <f t="shared" si="2031"/>
        <v>5.25</v>
      </c>
      <c r="M1287" s="24">
        <f t="shared" si="2032"/>
        <v>817.42499999999995</v>
      </c>
      <c r="N1287" s="24">
        <f t="shared" si="2033"/>
        <v>0</v>
      </c>
      <c r="O1287" s="24">
        <f t="shared" si="2034"/>
        <v>0</v>
      </c>
      <c r="P1287" s="24">
        <f t="shared" si="2035"/>
        <v>0</v>
      </c>
      <c r="Q1287" s="24">
        <f t="shared" si="2036"/>
        <v>817.42499999999995</v>
      </c>
      <c r="R1287" s="87">
        <v>57</v>
      </c>
      <c r="T1287" s="235" t="str">
        <f t="shared" si="1968"/>
        <v xml:space="preserve"> </v>
      </c>
      <c r="U1287" s="232"/>
    </row>
    <row r="1288" spans="1:21" s="57" customFormat="1" x14ac:dyDescent="0.25">
      <c r="A1288" s="157"/>
      <c r="B1288" s="6">
        <v>6</v>
      </c>
      <c r="C1288" s="9" t="s">
        <v>82</v>
      </c>
      <c r="D1288" s="6" t="s">
        <v>26</v>
      </c>
      <c r="E1288" s="17" t="str">
        <f>VLOOKUP(C1288,Resources!B:G,3,FALSE)</f>
        <v>P</v>
      </c>
      <c r="F1288" s="12">
        <v>1</v>
      </c>
      <c r="G1288" s="12">
        <f>G1283</f>
        <v>12</v>
      </c>
      <c r="H1288" s="12">
        <f t="shared" si="2037"/>
        <v>63</v>
      </c>
      <c r="I1288" s="12">
        <f>VLOOKUP(C1288,Resources!B:G,6,FALSE)</f>
        <v>95</v>
      </c>
      <c r="J1288" s="21">
        <f t="shared" si="2029"/>
        <v>498.75</v>
      </c>
      <c r="K1288" s="21">
        <f t="shared" si="2030"/>
        <v>5.25</v>
      </c>
      <c r="L1288" s="24">
        <f t="shared" si="2031"/>
        <v>5.25</v>
      </c>
      <c r="M1288" s="24">
        <f t="shared" si="2032"/>
        <v>0</v>
      </c>
      <c r="N1288" s="24">
        <f t="shared" si="2033"/>
        <v>0</v>
      </c>
      <c r="O1288" s="24">
        <f t="shared" si="2034"/>
        <v>498.75</v>
      </c>
      <c r="P1288" s="24">
        <f t="shared" si="2035"/>
        <v>0</v>
      </c>
      <c r="Q1288" s="24">
        <f t="shared" si="2036"/>
        <v>498.75</v>
      </c>
      <c r="R1288" s="87">
        <v>57</v>
      </c>
      <c r="T1288" s="235" t="str">
        <f t="shared" ref="T1288:T1351" si="2038">IF(R1288=$U$7,"y"," ")</f>
        <v xml:space="preserve"> </v>
      </c>
      <c r="U1288" s="232"/>
    </row>
    <row r="1289" spans="1:21" s="57" customFormat="1" x14ac:dyDescent="0.25">
      <c r="A1289" s="149"/>
      <c r="B1289" s="150" t="s">
        <v>682</v>
      </c>
      <c r="C1289" s="150" t="s">
        <v>682</v>
      </c>
      <c r="D1289" s="151" t="s">
        <v>682</v>
      </c>
      <c r="E1289" s="152" t="s">
        <v>682</v>
      </c>
      <c r="F1289" s="152" t="s">
        <v>682</v>
      </c>
      <c r="G1289" s="153" t="s">
        <v>682</v>
      </c>
      <c r="H1289" s="153" t="s">
        <v>682</v>
      </c>
      <c r="I1289" s="153" t="s">
        <v>682</v>
      </c>
      <c r="J1289" s="153" t="s">
        <v>682</v>
      </c>
      <c r="K1289" s="153" t="s">
        <v>682</v>
      </c>
      <c r="L1289" s="57" t="s">
        <v>682</v>
      </c>
      <c r="M1289" s="154" t="s">
        <v>682</v>
      </c>
      <c r="N1289" s="154" t="s">
        <v>682</v>
      </c>
      <c r="T1289" s="235" t="str">
        <f t="shared" si="2038"/>
        <v xml:space="preserve"> </v>
      </c>
      <c r="U1289" s="232"/>
    </row>
    <row r="1290" spans="1:21" s="57" customFormat="1" x14ac:dyDescent="0.25">
      <c r="A1290" s="146">
        <v>162</v>
      </c>
      <c r="B1290" s="3" t="s">
        <v>696</v>
      </c>
      <c r="C1290" s="3" t="s">
        <v>737</v>
      </c>
      <c r="D1290" s="15"/>
      <c r="E1290" s="15"/>
      <c r="F1290" s="10"/>
      <c r="G1290" s="10"/>
      <c r="H1290" s="10">
        <v>1</v>
      </c>
      <c r="I1290" s="10"/>
      <c r="J1290" s="10">
        <f>SUBTOTAL(9,J1294:J1316)</f>
        <v>7048.884</v>
      </c>
      <c r="K1290" s="10"/>
      <c r="L1290" s="10"/>
      <c r="M1290" s="10">
        <f>SUBTOTAL(9,M1294:M1316)</f>
        <v>1839.3359999999998</v>
      </c>
      <c r="N1290" s="10">
        <f t="shared" ref="N1290:Q1290" si="2039">SUBTOTAL(9,N1294:N1316)</f>
        <v>3239.5480000000002</v>
      </c>
      <c r="O1290" s="10">
        <f t="shared" si="2039"/>
        <v>1970</v>
      </c>
      <c r="P1290" s="10">
        <f t="shared" si="2039"/>
        <v>0</v>
      </c>
      <c r="Q1290" s="10">
        <f t="shared" si="2039"/>
        <v>7048.884</v>
      </c>
      <c r="R1290" s="86"/>
      <c r="T1290" s="235" t="str">
        <f t="shared" si="2038"/>
        <v xml:space="preserve"> </v>
      </c>
      <c r="U1290" s="232"/>
    </row>
    <row r="1291" spans="1:21" s="57" customFormat="1" x14ac:dyDescent="0.25">
      <c r="A1291" s="146"/>
      <c r="B1291" s="3"/>
      <c r="C1291" s="3"/>
      <c r="D1291" s="15"/>
      <c r="E1291" s="15"/>
      <c r="F1291" s="10"/>
      <c r="G1291" s="10"/>
      <c r="H1291" s="10"/>
      <c r="I1291" s="10"/>
      <c r="J1291" s="10"/>
      <c r="K1291" s="10"/>
      <c r="L1291" s="10"/>
      <c r="M1291" s="10"/>
      <c r="N1291" s="10"/>
      <c r="O1291" s="10"/>
      <c r="P1291" s="10"/>
      <c r="Q1291" s="10"/>
      <c r="R1291" s="86"/>
      <c r="T1291" s="235" t="str">
        <f t="shared" si="2038"/>
        <v xml:space="preserve"> </v>
      </c>
      <c r="U1291" s="232"/>
    </row>
    <row r="1292" spans="1:21" s="57" customFormat="1" ht="75" x14ac:dyDescent="0.25">
      <c r="A1292" s="156">
        <v>163</v>
      </c>
      <c r="B1292" s="3" t="s">
        <v>738</v>
      </c>
      <c r="C1292" s="3" t="s">
        <v>577</v>
      </c>
      <c r="D1292" s="4" t="s">
        <v>32</v>
      </c>
      <c r="E1292" s="15"/>
      <c r="F1292" s="10"/>
      <c r="G1292" s="10"/>
      <c r="H1292" s="26">
        <f>VLOOKUP($A1292,'Model Inputs'!$A:$C,3,FALSE)</f>
        <v>2.44</v>
      </c>
      <c r="I1292" s="10"/>
      <c r="J1292" s="10">
        <f>SUBTOTAL(9,J1294:J1309)</f>
        <v>4156.7839999999997</v>
      </c>
      <c r="K1292" s="10"/>
      <c r="L1292" s="10">
        <f>ROUNDUP(SUM(L1297,L1301,L1304,L1307)/Workhrs,0)</f>
        <v>2</v>
      </c>
      <c r="M1292" s="10">
        <f>SUBTOTAL(9,M1294:M1309)</f>
        <v>593.73599999999999</v>
      </c>
      <c r="N1292" s="10">
        <f t="shared" ref="N1292:Q1292" si="2040">SUBTOTAL(9,N1294:N1309)</f>
        <v>2133.0480000000002</v>
      </c>
      <c r="O1292" s="10">
        <f t="shared" si="2040"/>
        <v>1430</v>
      </c>
      <c r="P1292" s="10">
        <f t="shared" si="2040"/>
        <v>0</v>
      </c>
      <c r="Q1292" s="10">
        <f t="shared" si="2040"/>
        <v>4156.7839999999997</v>
      </c>
      <c r="R1292" s="86"/>
      <c r="T1292" s="235" t="str">
        <f t="shared" si="2038"/>
        <v xml:space="preserve"> </v>
      </c>
      <c r="U1292" s="232"/>
    </row>
    <row r="1293" spans="1:21" s="75" customFormat="1" x14ac:dyDescent="0.25">
      <c r="A1293" s="159"/>
      <c r="B1293" s="28">
        <v>1</v>
      </c>
      <c r="C1293" s="29" t="s">
        <v>165</v>
      </c>
      <c r="D1293" s="28"/>
      <c r="E1293" s="30"/>
      <c r="F1293" s="31"/>
      <c r="G1293" s="31"/>
      <c r="H1293" s="31"/>
      <c r="I1293" s="31"/>
      <c r="J1293" s="32"/>
      <c r="K1293" s="32"/>
      <c r="L1293" s="33"/>
      <c r="M1293" s="33"/>
      <c r="N1293" s="33"/>
      <c r="O1293" s="33"/>
      <c r="P1293" s="33"/>
      <c r="Q1293" s="33"/>
      <c r="R1293" s="89"/>
      <c r="T1293" s="235" t="str">
        <f t="shared" si="2038"/>
        <v xml:space="preserve"> </v>
      </c>
      <c r="U1293" s="236"/>
    </row>
    <row r="1294" spans="1:21" s="57" customFormat="1" x14ac:dyDescent="0.25">
      <c r="A1294" s="157"/>
      <c r="B1294" s="6">
        <v>2</v>
      </c>
      <c r="C1294" s="9" t="s">
        <v>478</v>
      </c>
      <c r="D1294" s="6" t="s">
        <v>32</v>
      </c>
      <c r="E1294" s="17" t="str">
        <f>VLOOKUP(C1294,Resources!B:G,3,FALSE)</f>
        <v>M</v>
      </c>
      <c r="F1294" s="12">
        <v>1</v>
      </c>
      <c r="G1294" s="12">
        <v>1</v>
      </c>
      <c r="H1294" s="12">
        <f>H1292*8</f>
        <v>19.52</v>
      </c>
      <c r="I1294" s="12">
        <f>VLOOKUP(C1294,Resources!B:G,6,FALSE)</f>
        <v>102.9</v>
      </c>
      <c r="J1294" s="21">
        <f t="shared" ref="J1294:J1295" si="2041">(H1294/G1294)*I1294*F1294</f>
        <v>2008.6080000000002</v>
      </c>
      <c r="K1294" s="21" t="str">
        <f t="shared" ref="K1294:K1295" si="2042">IF(E1294="M"," ",L1294*F1294)</f>
        <v xml:space="preserve"> </v>
      </c>
      <c r="L1294" s="24" t="str">
        <f t="shared" ref="L1294:L1295" si="2043">IF(E1294="M"," ",H1294/G1294)</f>
        <v xml:space="preserve"> </v>
      </c>
      <c r="M1294" s="24">
        <f t="shared" ref="M1294:M1295" si="2044">IF($E1294="L",$J1294,0)</f>
        <v>0</v>
      </c>
      <c r="N1294" s="24">
        <f t="shared" ref="N1294:N1295" si="2045">IF($E1294="M",$J1294,0)</f>
        <v>2008.6080000000002</v>
      </c>
      <c r="O1294" s="24">
        <f t="shared" ref="O1294:O1295" si="2046">IF($E1294="P",$J1294,0)</f>
        <v>0</v>
      </c>
      <c r="P1294" s="24">
        <f t="shared" ref="P1294:P1295" si="2047">IF($E1294="S",$J1294,0)</f>
        <v>0</v>
      </c>
      <c r="Q1294" s="24">
        <f t="shared" ref="Q1294:Q1295" si="2048">SUM(M1294:P1294)</f>
        <v>2008.6080000000002</v>
      </c>
      <c r="R1294" s="87" t="s">
        <v>541</v>
      </c>
      <c r="T1294" s="235" t="str">
        <f t="shared" si="2038"/>
        <v xml:space="preserve"> </v>
      </c>
      <c r="U1294" s="232"/>
    </row>
    <row r="1295" spans="1:21" s="57" customFormat="1" x14ac:dyDescent="0.25">
      <c r="A1295" s="157"/>
      <c r="B1295" s="6">
        <v>3</v>
      </c>
      <c r="C1295" s="9" t="s">
        <v>167</v>
      </c>
      <c r="D1295" s="6" t="s">
        <v>100</v>
      </c>
      <c r="E1295" s="17" t="str">
        <f>VLOOKUP(C1295,Resources!B:G,3,FALSE)</f>
        <v>M</v>
      </c>
      <c r="F1295" s="12">
        <v>1</v>
      </c>
      <c r="G1295" s="12">
        <v>1</v>
      </c>
      <c r="H1295" s="12">
        <f>H1292*2</f>
        <v>4.88</v>
      </c>
      <c r="I1295" s="12">
        <f>VLOOKUP(C1295,Resources!B:G,6,FALSE)</f>
        <v>25.5</v>
      </c>
      <c r="J1295" s="21">
        <f t="shared" si="2041"/>
        <v>124.44</v>
      </c>
      <c r="K1295" s="21" t="str">
        <f t="shared" si="2042"/>
        <v xml:space="preserve"> </v>
      </c>
      <c r="L1295" s="24" t="str">
        <f t="shared" si="2043"/>
        <v xml:space="preserve"> </v>
      </c>
      <c r="M1295" s="24">
        <f t="shared" si="2044"/>
        <v>0</v>
      </c>
      <c r="N1295" s="24">
        <f t="shared" si="2045"/>
        <v>124.44</v>
      </c>
      <c r="O1295" s="24">
        <f t="shared" si="2046"/>
        <v>0</v>
      </c>
      <c r="P1295" s="24">
        <f t="shared" si="2047"/>
        <v>0</v>
      </c>
      <c r="Q1295" s="24">
        <f t="shared" si="2048"/>
        <v>124.44</v>
      </c>
      <c r="R1295" s="87" t="s">
        <v>542</v>
      </c>
      <c r="T1295" s="235" t="str">
        <f t="shared" si="2038"/>
        <v>y</v>
      </c>
      <c r="U1295" s="232"/>
    </row>
    <row r="1296" spans="1:21" s="75" customFormat="1" x14ac:dyDescent="0.25">
      <c r="A1296" s="159"/>
      <c r="B1296" s="28">
        <v>4</v>
      </c>
      <c r="C1296" s="29" t="s">
        <v>168</v>
      </c>
      <c r="D1296" s="28"/>
      <c r="E1296" s="30"/>
      <c r="F1296" s="31"/>
      <c r="G1296" s="31"/>
      <c r="H1296" s="31"/>
      <c r="I1296" s="31"/>
      <c r="J1296" s="32"/>
      <c r="K1296" s="32"/>
      <c r="L1296" s="33"/>
      <c r="M1296" s="33"/>
      <c r="N1296" s="33"/>
      <c r="O1296" s="33"/>
      <c r="P1296" s="33"/>
      <c r="Q1296" s="33"/>
      <c r="R1296" s="89"/>
      <c r="T1296" s="235" t="str">
        <f t="shared" si="2038"/>
        <v xml:space="preserve"> </v>
      </c>
      <c r="U1296" s="236"/>
    </row>
    <row r="1297" spans="1:21" s="57" customFormat="1" x14ac:dyDescent="0.25">
      <c r="A1297" s="157">
        <v>163.1</v>
      </c>
      <c r="B1297" s="6">
        <v>5</v>
      </c>
      <c r="C1297" s="9" t="s">
        <v>70</v>
      </c>
      <c r="D1297" s="6" t="s">
        <v>26</v>
      </c>
      <c r="E1297" s="17" t="str">
        <f>VLOOKUP(C1297,Resources!B:G,3,FALSE)</f>
        <v>P</v>
      </c>
      <c r="F1297" s="12">
        <v>1</v>
      </c>
      <c r="G1297" s="26">
        <f>VLOOKUP($A1297,'Model Inputs'!$A:$C,3,FALSE)</f>
        <v>2.44</v>
      </c>
      <c r="H1297" s="12">
        <f>H1292</f>
        <v>2.44</v>
      </c>
      <c r="I1297" s="12">
        <f>VLOOKUP(C1297,Resources!B:G,6,FALSE)</f>
        <v>135</v>
      </c>
      <c r="J1297" s="21">
        <f t="shared" ref="J1297:J1299" si="2049">(H1297/G1297)*I1297*F1297</f>
        <v>135</v>
      </c>
      <c r="K1297" s="21">
        <f t="shared" ref="K1297:K1299" si="2050">IF(E1297="M"," ",L1297*F1297)</f>
        <v>1</v>
      </c>
      <c r="L1297" s="24">
        <f t="shared" ref="L1297:L1299" si="2051">IF(E1297="M"," ",H1297/G1297)</f>
        <v>1</v>
      </c>
      <c r="M1297" s="24">
        <f t="shared" ref="M1297:M1299" si="2052">IF($E1297="L",$J1297,0)</f>
        <v>0</v>
      </c>
      <c r="N1297" s="24">
        <f t="shared" ref="N1297:N1299" si="2053">IF($E1297="M",$J1297,0)</f>
        <v>0</v>
      </c>
      <c r="O1297" s="24">
        <f t="shared" ref="O1297:O1299" si="2054">IF($E1297="P",$J1297,0)</f>
        <v>135</v>
      </c>
      <c r="P1297" s="24">
        <f t="shared" ref="P1297:P1299" si="2055">IF($E1297="S",$J1297,0)</f>
        <v>0</v>
      </c>
      <c r="Q1297" s="24">
        <f t="shared" ref="Q1297:Q1299" si="2056">SUM(M1297:P1297)</f>
        <v>135</v>
      </c>
      <c r="R1297" s="87">
        <v>81</v>
      </c>
      <c r="T1297" s="235" t="str">
        <f t="shared" si="2038"/>
        <v xml:space="preserve"> </v>
      </c>
      <c r="U1297" s="232"/>
    </row>
    <row r="1298" spans="1:21" s="57" customFormat="1" x14ac:dyDescent="0.25">
      <c r="A1298" s="157"/>
      <c r="B1298" s="6">
        <v>6</v>
      </c>
      <c r="C1298" s="9" t="s">
        <v>27</v>
      </c>
      <c r="D1298" s="6" t="s">
        <v>26</v>
      </c>
      <c r="E1298" s="17" t="str">
        <f>VLOOKUP(C1298,Resources!B:G,3,FALSE)</f>
        <v>P</v>
      </c>
      <c r="F1298" s="12">
        <v>1</v>
      </c>
      <c r="G1298" s="12">
        <f>G1297</f>
        <v>2.44</v>
      </c>
      <c r="H1298" s="12">
        <f>H1297</f>
        <v>2.44</v>
      </c>
      <c r="I1298" s="12">
        <f>VLOOKUP(C1298,Resources!B:G,6,FALSE)</f>
        <v>90</v>
      </c>
      <c r="J1298" s="21">
        <f t="shared" si="2049"/>
        <v>90</v>
      </c>
      <c r="K1298" s="21">
        <f t="shared" si="2050"/>
        <v>1</v>
      </c>
      <c r="L1298" s="24">
        <f t="shared" si="2051"/>
        <v>1</v>
      </c>
      <c r="M1298" s="24">
        <f t="shared" si="2052"/>
        <v>0</v>
      </c>
      <c r="N1298" s="24">
        <f t="shared" si="2053"/>
        <v>0</v>
      </c>
      <c r="O1298" s="24">
        <f t="shared" si="2054"/>
        <v>90</v>
      </c>
      <c r="P1298" s="24">
        <f t="shared" si="2055"/>
        <v>0</v>
      </c>
      <c r="Q1298" s="24">
        <f t="shared" si="2056"/>
        <v>90</v>
      </c>
      <c r="R1298" s="87">
        <v>81</v>
      </c>
      <c r="T1298" s="235" t="str">
        <f t="shared" si="2038"/>
        <v xml:space="preserve"> </v>
      </c>
      <c r="U1298" s="232"/>
    </row>
    <row r="1299" spans="1:21" s="57" customFormat="1" x14ac:dyDescent="0.25">
      <c r="A1299" s="157"/>
      <c r="B1299" s="6">
        <v>7</v>
      </c>
      <c r="C1299" s="9" t="s">
        <v>8</v>
      </c>
      <c r="D1299" s="6" t="s">
        <v>26</v>
      </c>
      <c r="E1299" s="17" t="str">
        <f>VLOOKUP(C1299,Resources!B:G,3,FALSE)</f>
        <v>L</v>
      </c>
      <c r="F1299" s="12">
        <v>1</v>
      </c>
      <c r="G1299" s="12">
        <f>G1297</f>
        <v>2.44</v>
      </c>
      <c r="H1299" s="12">
        <f>H1297</f>
        <v>2.44</v>
      </c>
      <c r="I1299" s="12">
        <f>VLOOKUP(C1299,Resources!B:G,6,FALSE)</f>
        <v>51.9</v>
      </c>
      <c r="J1299" s="21">
        <f t="shared" si="2049"/>
        <v>51.9</v>
      </c>
      <c r="K1299" s="21">
        <f t="shared" si="2050"/>
        <v>1</v>
      </c>
      <c r="L1299" s="24">
        <f t="shared" si="2051"/>
        <v>1</v>
      </c>
      <c r="M1299" s="24">
        <f t="shared" si="2052"/>
        <v>51.9</v>
      </c>
      <c r="N1299" s="24">
        <f t="shared" si="2053"/>
        <v>0</v>
      </c>
      <c r="O1299" s="24">
        <f t="shared" si="2054"/>
        <v>0</v>
      </c>
      <c r="P1299" s="24">
        <f t="shared" si="2055"/>
        <v>0</v>
      </c>
      <c r="Q1299" s="24">
        <f t="shared" si="2056"/>
        <v>51.9</v>
      </c>
      <c r="R1299" s="87">
        <v>81</v>
      </c>
      <c r="T1299" s="235" t="str">
        <f t="shared" si="2038"/>
        <v xml:space="preserve"> </v>
      </c>
      <c r="U1299" s="232"/>
    </row>
    <row r="1300" spans="1:21" s="75" customFormat="1" x14ac:dyDescent="0.25">
      <c r="A1300" s="157"/>
      <c r="B1300" s="28">
        <v>8</v>
      </c>
      <c r="C1300" s="29" t="s">
        <v>169</v>
      </c>
      <c r="D1300" s="28"/>
      <c r="E1300" s="30"/>
      <c r="F1300" s="31"/>
      <c r="G1300" s="31"/>
      <c r="H1300" s="12"/>
      <c r="I1300" s="31"/>
      <c r="J1300" s="32"/>
      <c r="K1300" s="32"/>
      <c r="L1300" s="33"/>
      <c r="M1300" s="33"/>
      <c r="N1300" s="33"/>
      <c r="O1300" s="33"/>
      <c r="P1300" s="33"/>
      <c r="Q1300" s="33"/>
      <c r="R1300" s="87"/>
      <c r="T1300" s="235" t="str">
        <f t="shared" si="2038"/>
        <v xml:space="preserve"> </v>
      </c>
      <c r="U1300" s="236"/>
    </row>
    <row r="1301" spans="1:21" s="57" customFormat="1" x14ac:dyDescent="0.25">
      <c r="A1301" s="157">
        <v>163.19999999999999</v>
      </c>
      <c r="B1301" s="6">
        <v>9</v>
      </c>
      <c r="C1301" s="9" t="s">
        <v>70</v>
      </c>
      <c r="D1301" s="6" t="s">
        <v>26</v>
      </c>
      <c r="E1301" s="17" t="str">
        <f>VLOOKUP(C1301,Resources!B:G,3,FALSE)</f>
        <v>P</v>
      </c>
      <c r="F1301" s="12">
        <v>1</v>
      </c>
      <c r="G1301" s="26">
        <f>VLOOKUP($A1301,'Model Inputs'!$A:$C,3,FALSE)</f>
        <v>1.22</v>
      </c>
      <c r="H1301" s="12">
        <f>H1292</f>
        <v>2.44</v>
      </c>
      <c r="I1301" s="12">
        <f>VLOOKUP(C1301,Resources!B:G,6,FALSE)</f>
        <v>135</v>
      </c>
      <c r="J1301" s="21">
        <f t="shared" ref="J1301:J1302" si="2057">(H1301/G1301)*I1301*F1301</f>
        <v>270</v>
      </c>
      <c r="K1301" s="21">
        <f t="shared" ref="K1301:K1302" si="2058">IF(E1301="M"," ",L1301*F1301)</f>
        <v>2</v>
      </c>
      <c r="L1301" s="24">
        <f t="shared" ref="L1301:L1302" si="2059">IF(E1301="M"," ",H1301/G1301)</f>
        <v>2</v>
      </c>
      <c r="M1301" s="24">
        <f t="shared" ref="M1301:M1302" si="2060">IF($E1301="L",$J1301,0)</f>
        <v>0</v>
      </c>
      <c r="N1301" s="24">
        <f t="shared" ref="N1301:N1302" si="2061">IF($E1301="M",$J1301,0)</f>
        <v>0</v>
      </c>
      <c r="O1301" s="24">
        <f t="shared" ref="O1301:O1302" si="2062">IF($E1301="P",$J1301,0)</f>
        <v>270</v>
      </c>
      <c r="P1301" s="24">
        <f t="shared" ref="P1301:P1302" si="2063">IF($E1301="S",$J1301,0)</f>
        <v>0</v>
      </c>
      <c r="Q1301" s="24">
        <f t="shared" ref="Q1301:Q1302" si="2064">SUM(M1301:P1301)</f>
        <v>270</v>
      </c>
      <c r="R1301" s="87">
        <v>81</v>
      </c>
      <c r="T1301" s="235" t="str">
        <f t="shared" si="2038"/>
        <v xml:space="preserve"> </v>
      </c>
      <c r="U1301" s="232"/>
    </row>
    <row r="1302" spans="1:21" s="57" customFormat="1" x14ac:dyDescent="0.25">
      <c r="A1302" s="157"/>
      <c r="B1302" s="6">
        <v>10</v>
      </c>
      <c r="C1302" s="9" t="s">
        <v>28</v>
      </c>
      <c r="D1302" s="6" t="s">
        <v>26</v>
      </c>
      <c r="E1302" s="17" t="str">
        <f>VLOOKUP(C1302,Resources!B:G,3,FALSE)</f>
        <v>P</v>
      </c>
      <c r="F1302" s="12">
        <v>1</v>
      </c>
      <c r="G1302" s="12">
        <f>G1301*2</f>
        <v>2.44</v>
      </c>
      <c r="H1302" s="12">
        <f>H1292</f>
        <v>2.44</v>
      </c>
      <c r="I1302" s="12">
        <f>VLOOKUP(C1302,Resources!B:G,6,FALSE)</f>
        <v>95</v>
      </c>
      <c r="J1302" s="21">
        <f t="shared" si="2057"/>
        <v>95</v>
      </c>
      <c r="K1302" s="21">
        <f t="shared" si="2058"/>
        <v>1</v>
      </c>
      <c r="L1302" s="24">
        <f t="shared" si="2059"/>
        <v>1</v>
      </c>
      <c r="M1302" s="24">
        <f t="shared" si="2060"/>
        <v>0</v>
      </c>
      <c r="N1302" s="24">
        <f t="shared" si="2061"/>
        <v>0</v>
      </c>
      <c r="O1302" s="24">
        <f t="shared" si="2062"/>
        <v>95</v>
      </c>
      <c r="P1302" s="24">
        <f t="shared" si="2063"/>
        <v>0</v>
      </c>
      <c r="Q1302" s="24">
        <f t="shared" si="2064"/>
        <v>95</v>
      </c>
      <c r="R1302" s="87">
        <v>81</v>
      </c>
      <c r="T1302" s="235" t="str">
        <f t="shared" si="2038"/>
        <v xml:space="preserve"> </v>
      </c>
      <c r="U1302" s="232"/>
    </row>
    <row r="1303" spans="1:21" s="75" customFormat="1" x14ac:dyDescent="0.25">
      <c r="A1303" s="157"/>
      <c r="B1303" s="28">
        <v>11</v>
      </c>
      <c r="C1303" s="29" t="s">
        <v>170</v>
      </c>
      <c r="D1303" s="28"/>
      <c r="E1303" s="30"/>
      <c r="F1303" s="31"/>
      <c r="G1303" s="31"/>
      <c r="H1303" s="12"/>
      <c r="I1303" s="31"/>
      <c r="J1303" s="32"/>
      <c r="K1303" s="32"/>
      <c r="L1303" s="33"/>
      <c r="M1303" s="33"/>
      <c r="N1303" s="33"/>
      <c r="O1303" s="33"/>
      <c r="P1303" s="33"/>
      <c r="Q1303" s="33"/>
      <c r="R1303" s="87"/>
      <c r="T1303" s="235" t="str">
        <f t="shared" si="2038"/>
        <v xml:space="preserve"> </v>
      </c>
      <c r="U1303" s="236"/>
    </row>
    <row r="1304" spans="1:21" s="57" customFormat="1" x14ac:dyDescent="0.25">
      <c r="A1304" s="157">
        <v>163.30000000000001</v>
      </c>
      <c r="B1304" s="6">
        <v>12</v>
      </c>
      <c r="C1304" s="9" t="s">
        <v>70</v>
      </c>
      <c r="D1304" s="6" t="s">
        <v>26</v>
      </c>
      <c r="E1304" s="17" t="str">
        <f>VLOOKUP(C1304,Resources!B:G,3,FALSE)</f>
        <v>P</v>
      </c>
      <c r="F1304" s="12">
        <v>1</v>
      </c>
      <c r="G1304" s="26">
        <f>VLOOKUP($A1304,'Model Inputs'!$A:$C,3,FALSE)</f>
        <v>1.22</v>
      </c>
      <c r="H1304" s="12">
        <f>H1292</f>
        <v>2.44</v>
      </c>
      <c r="I1304" s="12">
        <f>VLOOKUP(C1304,Resources!B:G,6,FALSE)</f>
        <v>135</v>
      </c>
      <c r="J1304" s="21">
        <f t="shared" ref="J1304:J1305" si="2065">(H1304/G1304)*I1304*F1304</f>
        <v>270</v>
      </c>
      <c r="K1304" s="21">
        <f t="shared" ref="K1304:K1305" si="2066">IF(E1304="M"," ",L1304*F1304)</f>
        <v>2</v>
      </c>
      <c r="L1304" s="24">
        <f t="shared" ref="L1304:L1305" si="2067">IF(E1304="M"," ",H1304/G1304)</f>
        <v>2</v>
      </c>
      <c r="M1304" s="24">
        <f t="shared" ref="M1304:M1305" si="2068">IF($E1304="L",$J1304,0)</f>
        <v>0</v>
      </c>
      <c r="N1304" s="24">
        <f t="shared" ref="N1304:N1305" si="2069">IF($E1304="M",$J1304,0)</f>
        <v>0</v>
      </c>
      <c r="O1304" s="24">
        <f t="shared" ref="O1304:O1305" si="2070">IF($E1304="P",$J1304,0)</f>
        <v>270</v>
      </c>
      <c r="P1304" s="24">
        <f t="shared" ref="P1304:P1305" si="2071">IF($E1304="S",$J1304,0)</f>
        <v>0</v>
      </c>
      <c r="Q1304" s="24">
        <f t="shared" ref="Q1304:Q1305" si="2072">SUM(M1304:P1304)</f>
        <v>270</v>
      </c>
      <c r="R1304" s="87">
        <v>81</v>
      </c>
      <c r="T1304" s="235" t="str">
        <f t="shared" si="2038"/>
        <v xml:space="preserve"> </v>
      </c>
      <c r="U1304" s="232"/>
    </row>
    <row r="1305" spans="1:21" s="57" customFormat="1" x14ac:dyDescent="0.25">
      <c r="A1305" s="157"/>
      <c r="B1305" s="6">
        <v>13</v>
      </c>
      <c r="C1305" s="9" t="s">
        <v>8</v>
      </c>
      <c r="D1305" s="6" t="s">
        <v>26</v>
      </c>
      <c r="E1305" s="17" t="str">
        <f>VLOOKUP(C1305,Resources!B:G,3,FALSE)</f>
        <v>L</v>
      </c>
      <c r="F1305" s="12">
        <v>1</v>
      </c>
      <c r="G1305" s="12">
        <v>1</v>
      </c>
      <c r="H1305" s="12">
        <f>H1292</f>
        <v>2.44</v>
      </c>
      <c r="I1305" s="12">
        <f>VLOOKUP(C1305,Resources!B:G,6,FALSE)</f>
        <v>51.9</v>
      </c>
      <c r="J1305" s="21">
        <f t="shared" si="2065"/>
        <v>126.636</v>
      </c>
      <c r="K1305" s="21">
        <f t="shared" si="2066"/>
        <v>2.44</v>
      </c>
      <c r="L1305" s="24">
        <f t="shared" si="2067"/>
        <v>2.44</v>
      </c>
      <c r="M1305" s="24">
        <f t="shared" si="2068"/>
        <v>126.636</v>
      </c>
      <c r="N1305" s="24">
        <f t="shared" si="2069"/>
        <v>0</v>
      </c>
      <c r="O1305" s="24">
        <f t="shared" si="2070"/>
        <v>0</v>
      </c>
      <c r="P1305" s="24">
        <f t="shared" si="2071"/>
        <v>0</v>
      </c>
      <c r="Q1305" s="24">
        <f t="shared" si="2072"/>
        <v>126.636</v>
      </c>
      <c r="R1305" s="87">
        <v>81</v>
      </c>
      <c r="T1305" s="235" t="str">
        <f t="shared" si="2038"/>
        <v xml:space="preserve"> </v>
      </c>
      <c r="U1305" s="232"/>
    </row>
    <row r="1306" spans="1:21" s="75" customFormat="1" x14ac:dyDescent="0.25">
      <c r="A1306" s="157"/>
      <c r="B1306" s="28">
        <v>14</v>
      </c>
      <c r="C1306" s="29" t="s">
        <v>171</v>
      </c>
      <c r="D1306" s="28"/>
      <c r="E1306" s="30"/>
      <c r="F1306" s="31"/>
      <c r="G1306" s="31"/>
      <c r="H1306" s="12"/>
      <c r="I1306" s="31"/>
      <c r="J1306" s="32"/>
      <c r="K1306" s="32"/>
      <c r="L1306" s="33"/>
      <c r="M1306" s="33"/>
      <c r="N1306" s="33"/>
      <c r="O1306" s="33"/>
      <c r="P1306" s="33"/>
      <c r="Q1306" s="33"/>
      <c r="R1306" s="87"/>
      <c r="T1306" s="235" t="str">
        <f t="shared" si="2038"/>
        <v xml:space="preserve"> </v>
      </c>
      <c r="U1306" s="236"/>
    </row>
    <row r="1307" spans="1:21" s="57" customFormat="1" x14ac:dyDescent="0.25">
      <c r="A1307" s="157">
        <v>163.4</v>
      </c>
      <c r="B1307" s="6">
        <v>15</v>
      </c>
      <c r="C1307" s="9" t="s">
        <v>8</v>
      </c>
      <c r="D1307" s="6" t="s">
        <v>26</v>
      </c>
      <c r="E1307" s="17" t="str">
        <f>VLOOKUP(C1307,Resources!B:G,3,FALSE)</f>
        <v>L</v>
      </c>
      <c r="F1307" s="12">
        <v>1</v>
      </c>
      <c r="G1307" s="26">
        <f>VLOOKUP($A1307,'Model Inputs'!$A:$C,3,FALSE)</f>
        <v>0.30499999999999999</v>
      </c>
      <c r="H1307" s="12">
        <f>H1292</f>
        <v>2.44</v>
      </c>
      <c r="I1307" s="12">
        <f>VLOOKUP(C1307,Resources!B:G,6,FALSE)</f>
        <v>51.9</v>
      </c>
      <c r="J1307" s="21">
        <f t="shared" ref="J1307:J1309" si="2073">(H1307/G1307)*I1307*F1307</f>
        <v>415.2</v>
      </c>
      <c r="K1307" s="21">
        <f t="shared" ref="K1307:K1309" si="2074">IF(E1307="M"," ",L1307*F1307)</f>
        <v>8</v>
      </c>
      <c r="L1307" s="24">
        <f t="shared" ref="L1307:L1309" si="2075">IF(E1307="M"," ",H1307/G1307)</f>
        <v>8</v>
      </c>
      <c r="M1307" s="24">
        <f t="shared" ref="M1307:M1309" si="2076">IF($E1307="L",$J1307,0)</f>
        <v>415.2</v>
      </c>
      <c r="N1307" s="24">
        <f t="shared" ref="N1307:N1309" si="2077">IF($E1307="M",$J1307,0)</f>
        <v>0</v>
      </c>
      <c r="O1307" s="24">
        <f t="shared" ref="O1307:O1309" si="2078">IF($E1307="P",$J1307,0)</f>
        <v>0</v>
      </c>
      <c r="P1307" s="24">
        <f t="shared" ref="P1307:P1309" si="2079">IF($E1307="S",$J1307,0)</f>
        <v>0</v>
      </c>
      <c r="Q1307" s="24">
        <f t="shared" ref="Q1307:Q1309" si="2080">SUM(M1307:P1307)</f>
        <v>415.2</v>
      </c>
      <c r="R1307" s="87">
        <v>81</v>
      </c>
      <c r="T1307" s="235" t="str">
        <f t="shared" si="2038"/>
        <v xml:space="preserve"> </v>
      </c>
      <c r="U1307" s="232"/>
    </row>
    <row r="1308" spans="1:21" s="57" customFormat="1" x14ac:dyDescent="0.25">
      <c r="A1308" s="157"/>
      <c r="B1308" s="6">
        <v>16</v>
      </c>
      <c r="C1308" s="9" t="s">
        <v>82</v>
      </c>
      <c r="D1308" s="6" t="s">
        <v>26</v>
      </c>
      <c r="E1308" s="17" t="str">
        <f>VLOOKUP(C1308,Resources!B:G,3,FALSE)</f>
        <v>P</v>
      </c>
      <c r="F1308" s="12">
        <v>1</v>
      </c>
      <c r="G1308" s="12">
        <f>G1307*2</f>
        <v>0.61</v>
      </c>
      <c r="H1308" s="12">
        <f>H1292</f>
        <v>2.44</v>
      </c>
      <c r="I1308" s="12">
        <f>VLOOKUP(C1308,Resources!B:G,6,FALSE)</f>
        <v>95</v>
      </c>
      <c r="J1308" s="21">
        <f t="shared" si="2073"/>
        <v>380</v>
      </c>
      <c r="K1308" s="21">
        <f t="shared" si="2074"/>
        <v>4</v>
      </c>
      <c r="L1308" s="24">
        <f t="shared" si="2075"/>
        <v>4</v>
      </c>
      <c r="M1308" s="24">
        <f t="shared" si="2076"/>
        <v>0</v>
      </c>
      <c r="N1308" s="24">
        <f t="shared" si="2077"/>
        <v>0</v>
      </c>
      <c r="O1308" s="24">
        <f t="shared" si="2078"/>
        <v>380</v>
      </c>
      <c r="P1308" s="24">
        <f t="shared" si="2079"/>
        <v>0</v>
      </c>
      <c r="Q1308" s="24">
        <f t="shared" si="2080"/>
        <v>380</v>
      </c>
      <c r="R1308" s="87">
        <v>81</v>
      </c>
      <c r="T1308" s="235" t="str">
        <f t="shared" si="2038"/>
        <v xml:space="preserve"> </v>
      </c>
      <c r="U1308" s="232"/>
    </row>
    <row r="1309" spans="1:21" s="57" customFormat="1" x14ac:dyDescent="0.25">
      <c r="A1309" s="157"/>
      <c r="B1309" s="6">
        <v>17</v>
      </c>
      <c r="C1309" s="9" t="s">
        <v>28</v>
      </c>
      <c r="D1309" s="6" t="s">
        <v>26</v>
      </c>
      <c r="E1309" s="17" t="str">
        <f>VLOOKUP(C1309,Resources!B:G,3,FALSE)</f>
        <v>P</v>
      </c>
      <c r="F1309" s="12">
        <v>1</v>
      </c>
      <c r="G1309" s="12">
        <f>G1307*4</f>
        <v>1.22</v>
      </c>
      <c r="H1309" s="12">
        <f>H1292</f>
        <v>2.44</v>
      </c>
      <c r="I1309" s="12">
        <f>VLOOKUP(C1309,Resources!B:G,6,FALSE)</f>
        <v>95</v>
      </c>
      <c r="J1309" s="21">
        <f t="shared" si="2073"/>
        <v>190</v>
      </c>
      <c r="K1309" s="21">
        <f t="shared" si="2074"/>
        <v>2</v>
      </c>
      <c r="L1309" s="24">
        <f t="shared" si="2075"/>
        <v>2</v>
      </c>
      <c r="M1309" s="24">
        <f t="shared" si="2076"/>
        <v>0</v>
      </c>
      <c r="N1309" s="24">
        <f t="shared" si="2077"/>
        <v>0</v>
      </c>
      <c r="O1309" s="24">
        <f t="shared" si="2078"/>
        <v>190</v>
      </c>
      <c r="P1309" s="24">
        <f t="shared" si="2079"/>
        <v>0</v>
      </c>
      <c r="Q1309" s="24">
        <f t="shared" si="2080"/>
        <v>190</v>
      </c>
      <c r="R1309" s="87">
        <v>81</v>
      </c>
      <c r="T1309" s="235" t="str">
        <f t="shared" si="2038"/>
        <v xml:space="preserve"> </v>
      </c>
      <c r="U1309" s="232"/>
    </row>
    <row r="1310" spans="1:21" s="57" customFormat="1" x14ac:dyDescent="0.25">
      <c r="A1310" s="158"/>
      <c r="B1310" s="5"/>
      <c r="C1310" s="8"/>
      <c r="D1310" s="5"/>
      <c r="E1310" s="16"/>
      <c r="F1310" s="11"/>
      <c r="G1310" s="11"/>
      <c r="H1310" s="11"/>
      <c r="I1310" s="11"/>
      <c r="J1310" s="11"/>
      <c r="K1310" s="11"/>
      <c r="L1310" s="25"/>
      <c r="M1310" s="25"/>
      <c r="N1310" s="25"/>
      <c r="O1310" s="25"/>
      <c r="P1310" s="25"/>
      <c r="Q1310" s="25"/>
      <c r="R1310" s="88"/>
      <c r="T1310" s="235" t="str">
        <f t="shared" si="2038"/>
        <v xml:space="preserve"> </v>
      </c>
      <c r="U1310" s="232"/>
    </row>
    <row r="1311" spans="1:21" s="57" customFormat="1" ht="30" x14ac:dyDescent="0.25">
      <c r="A1311" s="156">
        <v>164</v>
      </c>
      <c r="B1311" s="3" t="s">
        <v>739</v>
      </c>
      <c r="C1311" s="3" t="s">
        <v>179</v>
      </c>
      <c r="D1311" s="4" t="s">
        <v>145</v>
      </c>
      <c r="E1311" s="15"/>
      <c r="F1311" s="10"/>
      <c r="G1311" s="10"/>
      <c r="H1311" s="26">
        <f>VLOOKUP($A1311,'Model Inputs'!$A:$C,3,FALSE)</f>
        <v>2</v>
      </c>
      <c r="I1311" s="10"/>
      <c r="J1311" s="10">
        <f>SUBTOTAL(9,J1312:J1316)</f>
        <v>2892.1</v>
      </c>
      <c r="K1311" s="10"/>
      <c r="L1311" s="10">
        <f>ROUNDUP(MAX(L1312:L1316)/Workhrs,0)</f>
        <v>1</v>
      </c>
      <c r="M1311" s="10">
        <f>SUBTOTAL(9,M1312:M1316)</f>
        <v>1245.5999999999999</v>
      </c>
      <c r="N1311" s="10">
        <f t="shared" ref="N1311:Q1311" si="2081">SUBTOTAL(9,N1312:N1316)</f>
        <v>1106.5</v>
      </c>
      <c r="O1311" s="10">
        <f t="shared" si="2081"/>
        <v>540</v>
      </c>
      <c r="P1311" s="10">
        <f t="shared" si="2081"/>
        <v>0</v>
      </c>
      <c r="Q1311" s="10">
        <f t="shared" si="2081"/>
        <v>2892.1</v>
      </c>
      <c r="R1311" s="86"/>
      <c r="T1311" s="235" t="str">
        <f t="shared" si="2038"/>
        <v xml:space="preserve"> </v>
      </c>
      <c r="U1311" s="232"/>
    </row>
    <row r="1312" spans="1:21" s="57" customFormat="1" x14ac:dyDescent="0.25">
      <c r="A1312" s="157"/>
      <c r="B1312" s="6">
        <v>1</v>
      </c>
      <c r="C1312" s="9" t="s">
        <v>194</v>
      </c>
      <c r="D1312" s="6" t="s">
        <v>180</v>
      </c>
      <c r="E1312" s="17" t="str">
        <f>VLOOKUP(C1312,Resources!B:G,3,FALSE)</f>
        <v>M</v>
      </c>
      <c r="F1312" s="12">
        <v>1</v>
      </c>
      <c r="G1312" s="12">
        <v>1</v>
      </c>
      <c r="H1312" s="12">
        <f>H1311*1.21</f>
        <v>2.42</v>
      </c>
      <c r="I1312" s="12">
        <f>VLOOKUP(C1312,Resources!B:G,6,FALSE)</f>
        <v>325</v>
      </c>
      <c r="J1312" s="21">
        <f t="shared" ref="J1312:J1316" si="2082">(H1312/G1312)*I1312*F1312</f>
        <v>786.5</v>
      </c>
      <c r="K1312" s="21" t="str">
        <f t="shared" ref="K1312:K1316" si="2083">IF(E1312="M"," ",L1312*F1312)</f>
        <v xml:space="preserve"> </v>
      </c>
      <c r="L1312" s="24" t="str">
        <f t="shared" ref="L1312:L1316" si="2084">IF(E1312="M"," ",H1312/G1312)</f>
        <v xml:space="preserve"> </v>
      </c>
      <c r="M1312" s="24">
        <f t="shared" ref="M1312:M1316" si="2085">IF($E1312="L",$J1312,0)</f>
        <v>0</v>
      </c>
      <c r="N1312" s="24">
        <f t="shared" ref="N1312:N1316" si="2086">IF($E1312="M",$J1312,0)</f>
        <v>786.5</v>
      </c>
      <c r="O1312" s="24">
        <f t="shared" ref="O1312:O1316" si="2087">IF($E1312="P",$J1312,0)</f>
        <v>0</v>
      </c>
      <c r="P1312" s="24">
        <f t="shared" ref="P1312:P1316" si="2088">IF($E1312="S",$J1312,0)</f>
        <v>0</v>
      </c>
      <c r="Q1312" s="24">
        <f t="shared" ref="Q1312:Q1316" si="2089">SUM(M1312:P1312)</f>
        <v>786.5</v>
      </c>
      <c r="R1312" s="87" t="s">
        <v>543</v>
      </c>
      <c r="T1312" s="235" t="str">
        <f t="shared" si="2038"/>
        <v xml:space="preserve"> </v>
      </c>
      <c r="U1312" s="232"/>
    </row>
    <row r="1313" spans="1:21" s="57" customFormat="1" x14ac:dyDescent="0.25">
      <c r="A1313" s="157"/>
      <c r="B1313" s="6">
        <v>2</v>
      </c>
      <c r="C1313" s="9" t="s">
        <v>181</v>
      </c>
      <c r="D1313" s="6" t="s">
        <v>109</v>
      </c>
      <c r="E1313" s="17" t="str">
        <f>VLOOKUP(C1313,Resources!B:G,3,FALSE)</f>
        <v>M</v>
      </c>
      <c r="F1313" s="12">
        <v>1</v>
      </c>
      <c r="G1313" s="12">
        <v>1</v>
      </c>
      <c r="H1313" s="12">
        <f>H1311*6</f>
        <v>12</v>
      </c>
      <c r="I1313" s="12">
        <f>VLOOKUP(C1313,Resources!B:G,6,FALSE)</f>
        <v>10</v>
      </c>
      <c r="J1313" s="21">
        <f t="shared" si="2082"/>
        <v>120</v>
      </c>
      <c r="K1313" s="21" t="str">
        <f t="shared" si="2083"/>
        <v xml:space="preserve"> </v>
      </c>
      <c r="L1313" s="24" t="str">
        <f t="shared" si="2084"/>
        <v xml:space="preserve"> </v>
      </c>
      <c r="M1313" s="24">
        <f t="shared" si="2085"/>
        <v>0</v>
      </c>
      <c r="N1313" s="24">
        <f t="shared" si="2086"/>
        <v>120</v>
      </c>
      <c r="O1313" s="24">
        <f t="shared" si="2087"/>
        <v>0</v>
      </c>
      <c r="P1313" s="24">
        <f t="shared" si="2088"/>
        <v>0</v>
      </c>
      <c r="Q1313" s="24">
        <f t="shared" si="2089"/>
        <v>120</v>
      </c>
      <c r="R1313" s="87">
        <v>72</v>
      </c>
      <c r="T1313" s="235" t="str">
        <f t="shared" si="2038"/>
        <v xml:space="preserve"> </v>
      </c>
      <c r="U1313" s="232"/>
    </row>
    <row r="1314" spans="1:21" s="57" customFormat="1" x14ac:dyDescent="0.25">
      <c r="A1314" s="157"/>
      <c r="B1314" s="6">
        <v>3</v>
      </c>
      <c r="C1314" s="9" t="s">
        <v>182</v>
      </c>
      <c r="D1314" s="6" t="s">
        <v>32</v>
      </c>
      <c r="E1314" s="17" t="str">
        <f>VLOOKUP(C1314,Resources!B:G,3,FALSE)</f>
        <v>M</v>
      </c>
      <c r="F1314" s="12">
        <v>1</v>
      </c>
      <c r="G1314" s="12">
        <v>1</v>
      </c>
      <c r="H1314" s="12">
        <f>H1311*20</f>
        <v>40</v>
      </c>
      <c r="I1314" s="12">
        <f>VLOOKUP(C1314,Resources!B:G,6,FALSE)</f>
        <v>5</v>
      </c>
      <c r="J1314" s="21">
        <f t="shared" si="2082"/>
        <v>200</v>
      </c>
      <c r="K1314" s="21" t="str">
        <f t="shared" si="2083"/>
        <v xml:space="preserve"> </v>
      </c>
      <c r="L1314" s="24" t="str">
        <f t="shared" si="2084"/>
        <v xml:space="preserve"> </v>
      </c>
      <c r="M1314" s="24">
        <f t="shared" si="2085"/>
        <v>0</v>
      </c>
      <c r="N1314" s="24">
        <f t="shared" si="2086"/>
        <v>200</v>
      </c>
      <c r="O1314" s="24">
        <f t="shared" si="2087"/>
        <v>0</v>
      </c>
      <c r="P1314" s="24">
        <f t="shared" si="2088"/>
        <v>0</v>
      </c>
      <c r="Q1314" s="24">
        <f t="shared" si="2089"/>
        <v>200</v>
      </c>
      <c r="R1314" s="87">
        <v>72</v>
      </c>
      <c r="T1314" s="235" t="str">
        <f t="shared" si="2038"/>
        <v xml:space="preserve"> </v>
      </c>
      <c r="U1314" s="232"/>
    </row>
    <row r="1315" spans="1:21" s="57" customFormat="1" x14ac:dyDescent="0.25">
      <c r="A1315" s="157">
        <v>164.1</v>
      </c>
      <c r="B1315" s="6">
        <v>4</v>
      </c>
      <c r="C1315" s="9" t="s">
        <v>8</v>
      </c>
      <c r="D1315" s="6" t="s">
        <v>26</v>
      </c>
      <c r="E1315" s="17" t="str">
        <f>VLOOKUP(C1315,Resources!B:G,3,FALSE)</f>
        <v>L</v>
      </c>
      <c r="F1315" s="12">
        <v>3</v>
      </c>
      <c r="G1315" s="26">
        <f>VLOOKUP($A1315,'Model Inputs'!$A:$C,3,FALSE)</f>
        <v>0.125</v>
      </c>
      <c r="H1315" s="12">
        <v>1</v>
      </c>
      <c r="I1315" s="12">
        <f>VLOOKUP(C1315,Resources!B:G,6,FALSE)</f>
        <v>51.9</v>
      </c>
      <c r="J1315" s="21">
        <f t="shared" si="2082"/>
        <v>1245.5999999999999</v>
      </c>
      <c r="K1315" s="21">
        <f t="shared" si="2083"/>
        <v>24</v>
      </c>
      <c r="L1315" s="24">
        <f t="shared" si="2084"/>
        <v>8</v>
      </c>
      <c r="M1315" s="24">
        <f t="shared" si="2085"/>
        <v>1245.5999999999999</v>
      </c>
      <c r="N1315" s="24">
        <f t="shared" si="2086"/>
        <v>0</v>
      </c>
      <c r="O1315" s="24">
        <f t="shared" si="2087"/>
        <v>0</v>
      </c>
      <c r="P1315" s="24">
        <f t="shared" si="2088"/>
        <v>0</v>
      </c>
      <c r="Q1315" s="24">
        <f t="shared" si="2089"/>
        <v>1245.5999999999999</v>
      </c>
      <c r="R1315" s="87">
        <v>72</v>
      </c>
      <c r="T1315" s="235" t="str">
        <f t="shared" si="2038"/>
        <v xml:space="preserve"> </v>
      </c>
      <c r="U1315" s="232"/>
    </row>
    <row r="1316" spans="1:21" s="57" customFormat="1" x14ac:dyDescent="0.25">
      <c r="A1316" s="157"/>
      <c r="B1316" s="6">
        <v>5</v>
      </c>
      <c r="C1316" s="9" t="s">
        <v>70</v>
      </c>
      <c r="D1316" s="6" t="s">
        <v>26</v>
      </c>
      <c r="E1316" s="17" t="str">
        <f>VLOOKUP(C1316,Resources!B:G,3,FALSE)</f>
        <v>P</v>
      </c>
      <c r="F1316" s="12">
        <v>1</v>
      </c>
      <c r="G1316" s="12">
        <f>G1315*2</f>
        <v>0.25</v>
      </c>
      <c r="H1316" s="12">
        <v>1</v>
      </c>
      <c r="I1316" s="12">
        <f>VLOOKUP(C1316,Resources!B:G,6,FALSE)</f>
        <v>135</v>
      </c>
      <c r="J1316" s="21">
        <f t="shared" si="2082"/>
        <v>540</v>
      </c>
      <c r="K1316" s="21">
        <f t="shared" si="2083"/>
        <v>4</v>
      </c>
      <c r="L1316" s="24">
        <f t="shared" si="2084"/>
        <v>4</v>
      </c>
      <c r="M1316" s="24">
        <f t="shared" si="2085"/>
        <v>0</v>
      </c>
      <c r="N1316" s="24">
        <f t="shared" si="2086"/>
        <v>0</v>
      </c>
      <c r="O1316" s="24">
        <f t="shared" si="2087"/>
        <v>540</v>
      </c>
      <c r="P1316" s="24">
        <f t="shared" si="2088"/>
        <v>0</v>
      </c>
      <c r="Q1316" s="24">
        <f t="shared" si="2089"/>
        <v>540</v>
      </c>
      <c r="R1316" s="87">
        <v>72</v>
      </c>
      <c r="T1316" s="235" t="str">
        <f t="shared" si="2038"/>
        <v xml:space="preserve"> </v>
      </c>
      <c r="U1316" s="232"/>
    </row>
    <row r="1317" spans="1:21" s="57" customFormat="1" x14ac:dyDescent="0.25">
      <c r="A1317" s="158"/>
      <c r="B1317" s="5"/>
      <c r="C1317" s="8"/>
      <c r="D1317" s="5"/>
      <c r="E1317" s="16"/>
      <c r="F1317" s="11"/>
      <c r="G1317" s="11"/>
      <c r="H1317" s="11"/>
      <c r="I1317" s="11"/>
      <c r="J1317" s="11"/>
      <c r="K1317" s="11"/>
      <c r="L1317" s="25"/>
      <c r="M1317" s="25"/>
      <c r="N1317" s="25"/>
      <c r="O1317" s="25"/>
      <c r="P1317" s="25"/>
      <c r="Q1317" s="25"/>
      <c r="R1317" s="88"/>
      <c r="T1317" s="235" t="str">
        <f t="shared" si="2038"/>
        <v xml:space="preserve"> </v>
      </c>
      <c r="U1317" s="232"/>
    </row>
    <row r="1318" spans="1:21" s="57" customFormat="1" ht="21.75" customHeight="1" x14ac:dyDescent="0.25">
      <c r="A1318" s="146">
        <v>165</v>
      </c>
      <c r="B1318" s="3" t="s">
        <v>698</v>
      </c>
      <c r="C1318" s="3" t="s">
        <v>699</v>
      </c>
      <c r="D1318" s="15"/>
      <c r="E1318" s="15"/>
      <c r="F1318" s="10"/>
      <c r="G1318" s="10"/>
      <c r="H1318" s="26">
        <f>VLOOKUP($A1318,'Model Inputs'!$A:$C,3,FALSE)</f>
        <v>32</v>
      </c>
      <c r="I1318" s="10"/>
      <c r="J1318" s="10">
        <f>SUBTOTAL(9,J1319)</f>
        <v>8872.9599999999991</v>
      </c>
      <c r="K1318" s="10"/>
      <c r="L1318" s="10"/>
      <c r="M1318" s="10">
        <f t="shared" ref="M1318:Q1318" si="2090">SUBTOTAL(9,M1319)</f>
        <v>0</v>
      </c>
      <c r="N1318" s="10">
        <f t="shared" si="2090"/>
        <v>0</v>
      </c>
      <c r="O1318" s="10">
        <f t="shared" si="2090"/>
        <v>0</v>
      </c>
      <c r="P1318" s="10">
        <f t="shared" si="2090"/>
        <v>8872.9599999999991</v>
      </c>
      <c r="Q1318" s="10">
        <f t="shared" si="2090"/>
        <v>8872.9599999999991</v>
      </c>
      <c r="R1318" s="86"/>
      <c r="T1318" s="235" t="str">
        <f t="shared" si="2038"/>
        <v xml:space="preserve"> </v>
      </c>
      <c r="U1318" s="232"/>
    </row>
    <row r="1319" spans="1:21" s="57" customFormat="1" x14ac:dyDescent="0.25">
      <c r="A1319" s="157"/>
      <c r="B1319" s="6">
        <v>1</v>
      </c>
      <c r="C1319" s="9" t="s">
        <v>317</v>
      </c>
      <c r="D1319" s="6" t="s">
        <v>100</v>
      </c>
      <c r="E1319" s="17" t="str">
        <f>VLOOKUP(C1319,Resources!B:G,3,FALSE)</f>
        <v>S</v>
      </c>
      <c r="F1319" s="12">
        <v>1</v>
      </c>
      <c r="G1319" s="12">
        <v>1</v>
      </c>
      <c r="H1319" s="12">
        <f>H1318</f>
        <v>32</v>
      </c>
      <c r="I1319" s="12">
        <f>VLOOKUP(C1319,Resources!B:G,6,FALSE)</f>
        <v>277.27999999999997</v>
      </c>
      <c r="J1319" s="21">
        <f t="shared" ref="J1319" si="2091">(H1319/G1319)*I1319*F1319</f>
        <v>8872.9599999999991</v>
      </c>
      <c r="K1319" s="21"/>
      <c r="L1319" s="24">
        <v>0</v>
      </c>
      <c r="M1319" s="24">
        <f>IF($E1319="L",$J1319,0)</f>
        <v>0</v>
      </c>
      <c r="N1319" s="24">
        <f>IF($E1319="M",$J1319,0)</f>
        <v>0</v>
      </c>
      <c r="O1319" s="24">
        <f>IF($E1319="P",$J1319,0)</f>
        <v>0</v>
      </c>
      <c r="P1319" s="24">
        <f>IF($E1319="S",$J1319,0)</f>
        <v>8872.9599999999991</v>
      </c>
      <c r="Q1319" s="24">
        <f>SUM(M1319:P1319)</f>
        <v>8872.9599999999991</v>
      </c>
      <c r="R1319" s="87">
        <v>65</v>
      </c>
      <c r="T1319" s="235" t="str">
        <f t="shared" si="2038"/>
        <v xml:space="preserve"> </v>
      </c>
      <c r="U1319" s="232"/>
    </row>
    <row r="1320" spans="1:21" s="57" customFormat="1" x14ac:dyDescent="0.25">
      <c r="A1320" s="158"/>
      <c r="B1320" s="5"/>
      <c r="C1320" s="8"/>
      <c r="D1320" s="5"/>
      <c r="E1320" s="16"/>
      <c r="F1320" s="11"/>
      <c r="G1320" s="11"/>
      <c r="H1320" s="11"/>
      <c r="I1320" s="11"/>
      <c r="J1320" s="11"/>
      <c r="K1320" s="11"/>
      <c r="L1320" s="25"/>
      <c r="M1320" s="25"/>
      <c r="N1320" s="25"/>
      <c r="O1320" s="25"/>
      <c r="P1320" s="25"/>
      <c r="Q1320" s="25"/>
      <c r="R1320" s="88"/>
      <c r="T1320" s="235" t="str">
        <f t="shared" si="2038"/>
        <v xml:space="preserve"> </v>
      </c>
      <c r="U1320" s="232"/>
    </row>
    <row r="1321" spans="1:21" s="57" customFormat="1" ht="30" x14ac:dyDescent="0.25">
      <c r="A1321" s="146">
        <v>166</v>
      </c>
      <c r="B1321" s="3" t="s">
        <v>700</v>
      </c>
      <c r="C1321" s="3" t="s">
        <v>701</v>
      </c>
      <c r="D1321" s="15"/>
      <c r="E1321" s="15"/>
      <c r="F1321" s="10"/>
      <c r="G1321" s="10"/>
      <c r="H1321" s="26">
        <f>VLOOKUP($A1321,'Model Inputs'!$A:$C,3,FALSE)</f>
        <v>15.9</v>
      </c>
      <c r="I1321" s="10"/>
      <c r="J1321" s="10">
        <f>SUBTOTAL(9,J1322)</f>
        <v>4408.7519999999995</v>
      </c>
      <c r="K1321" s="10"/>
      <c r="L1321" s="10"/>
      <c r="M1321" s="10">
        <f t="shared" ref="M1321" si="2092">SUBTOTAL(9,M1322)</f>
        <v>0</v>
      </c>
      <c r="N1321" s="10">
        <f t="shared" ref="N1321" si="2093">SUBTOTAL(9,N1322)</f>
        <v>0</v>
      </c>
      <c r="O1321" s="10">
        <f t="shared" ref="O1321" si="2094">SUBTOTAL(9,O1322)</f>
        <v>0</v>
      </c>
      <c r="P1321" s="10">
        <f t="shared" ref="P1321" si="2095">SUBTOTAL(9,P1322)</f>
        <v>4408.7519999999995</v>
      </c>
      <c r="Q1321" s="10">
        <f t="shared" ref="Q1321" si="2096">SUBTOTAL(9,Q1322)</f>
        <v>4408.7519999999995</v>
      </c>
      <c r="R1321" s="86"/>
      <c r="T1321" s="235" t="str">
        <f t="shared" si="2038"/>
        <v xml:space="preserve"> </v>
      </c>
      <c r="U1321" s="232"/>
    </row>
    <row r="1322" spans="1:21" s="57" customFormat="1" x14ac:dyDescent="0.25">
      <c r="A1322" s="157"/>
      <c r="B1322" s="6">
        <v>1</v>
      </c>
      <c r="C1322" s="9" t="s">
        <v>317</v>
      </c>
      <c r="D1322" s="6" t="s">
        <v>100</v>
      </c>
      <c r="E1322" s="17" t="str">
        <f>VLOOKUP(C1322,Resources!B:G,3,FALSE)</f>
        <v>S</v>
      </c>
      <c r="F1322" s="12">
        <v>1</v>
      </c>
      <c r="G1322" s="12">
        <v>1</v>
      </c>
      <c r="H1322" s="12">
        <f>H1321</f>
        <v>15.9</v>
      </c>
      <c r="I1322" s="12">
        <f>VLOOKUP(C1322,Resources!B:G,6,FALSE)</f>
        <v>277.27999999999997</v>
      </c>
      <c r="J1322" s="21">
        <f t="shared" ref="J1322" si="2097">(H1322/G1322)*I1322*F1322</f>
        <v>4408.7519999999995</v>
      </c>
      <c r="K1322" s="21"/>
      <c r="L1322" s="24">
        <v>0</v>
      </c>
      <c r="M1322" s="24">
        <f>IF($E1322="L",$J1322,0)</f>
        <v>0</v>
      </c>
      <c r="N1322" s="24">
        <f>IF($E1322="M",$J1322,0)</f>
        <v>0</v>
      </c>
      <c r="O1322" s="24">
        <f>IF($E1322="P",$J1322,0)</f>
        <v>0</v>
      </c>
      <c r="P1322" s="24">
        <f>IF($E1322="S",$J1322,0)</f>
        <v>4408.7519999999995</v>
      </c>
      <c r="Q1322" s="24">
        <f>SUM(M1322:P1322)</f>
        <v>4408.7519999999995</v>
      </c>
      <c r="R1322" s="87">
        <v>65</v>
      </c>
      <c r="T1322" s="235" t="str">
        <f t="shared" si="2038"/>
        <v xml:space="preserve"> </v>
      </c>
      <c r="U1322" s="232"/>
    </row>
    <row r="1323" spans="1:21" s="57" customFormat="1" x14ac:dyDescent="0.25">
      <c r="A1323" s="149"/>
      <c r="B1323" s="150" t="s">
        <v>682</v>
      </c>
      <c r="C1323" s="150" t="s">
        <v>682</v>
      </c>
      <c r="D1323" s="151" t="s">
        <v>682</v>
      </c>
      <c r="E1323" s="152" t="s">
        <v>682</v>
      </c>
      <c r="F1323" s="152" t="s">
        <v>682</v>
      </c>
      <c r="G1323" s="153" t="s">
        <v>682</v>
      </c>
      <c r="H1323" s="153" t="s">
        <v>682</v>
      </c>
      <c r="I1323" s="153" t="s">
        <v>682</v>
      </c>
      <c r="J1323" s="153" t="s">
        <v>682</v>
      </c>
      <c r="K1323" s="153" t="s">
        <v>682</v>
      </c>
      <c r="L1323" s="57" t="s">
        <v>682</v>
      </c>
      <c r="M1323" s="154" t="s">
        <v>682</v>
      </c>
      <c r="N1323" s="154" t="s">
        <v>682</v>
      </c>
      <c r="T1323" s="235" t="str">
        <f t="shared" si="2038"/>
        <v xml:space="preserve"> </v>
      </c>
      <c r="U1323" s="232"/>
    </row>
    <row r="1324" spans="1:21" s="57" customFormat="1" ht="30" x14ac:dyDescent="0.25">
      <c r="A1324" s="146">
        <v>167</v>
      </c>
      <c r="B1324" s="3" t="s">
        <v>702</v>
      </c>
      <c r="C1324" s="3" t="s">
        <v>703</v>
      </c>
      <c r="D1324" s="15"/>
      <c r="E1324" s="15"/>
      <c r="F1324" s="10"/>
      <c r="G1324" s="10"/>
      <c r="H1324" s="26">
        <f>VLOOKUP($A1324,'Model Inputs'!$A:$C,3,FALSE)</f>
        <v>35</v>
      </c>
      <c r="I1324" s="10"/>
      <c r="J1324" s="10">
        <f>SUBTOTAL(9,J1325)</f>
        <v>9704.7999999999993</v>
      </c>
      <c r="K1324" s="10"/>
      <c r="L1324" s="10"/>
      <c r="M1324" s="10">
        <f t="shared" ref="M1324" si="2098">SUBTOTAL(9,M1325)</f>
        <v>0</v>
      </c>
      <c r="N1324" s="10">
        <f t="shared" ref="N1324" si="2099">SUBTOTAL(9,N1325)</f>
        <v>0</v>
      </c>
      <c r="O1324" s="10">
        <f t="shared" ref="O1324" si="2100">SUBTOTAL(9,O1325)</f>
        <v>0</v>
      </c>
      <c r="P1324" s="10">
        <f t="shared" ref="P1324" si="2101">SUBTOTAL(9,P1325)</f>
        <v>9704.7999999999993</v>
      </c>
      <c r="Q1324" s="10">
        <f t="shared" ref="Q1324" si="2102">SUBTOTAL(9,Q1325)</f>
        <v>9704.7999999999993</v>
      </c>
      <c r="R1324" s="86"/>
      <c r="T1324" s="235" t="str">
        <f t="shared" si="2038"/>
        <v xml:space="preserve"> </v>
      </c>
      <c r="U1324" s="232"/>
    </row>
    <row r="1325" spans="1:21" s="57" customFormat="1" x14ac:dyDescent="0.25">
      <c r="A1325" s="157"/>
      <c r="B1325" s="6">
        <v>1</v>
      </c>
      <c r="C1325" s="9" t="s">
        <v>317</v>
      </c>
      <c r="D1325" s="6" t="s">
        <v>100</v>
      </c>
      <c r="E1325" s="17" t="str">
        <f>VLOOKUP(C1325,Resources!B:G,3,FALSE)</f>
        <v>S</v>
      </c>
      <c r="F1325" s="12">
        <v>1</v>
      </c>
      <c r="G1325" s="12">
        <v>1</v>
      </c>
      <c r="H1325" s="12">
        <f>H1324</f>
        <v>35</v>
      </c>
      <c r="I1325" s="12">
        <f>VLOOKUP(C1325,Resources!B:G,6,FALSE)</f>
        <v>277.27999999999997</v>
      </c>
      <c r="J1325" s="21">
        <f t="shared" ref="J1325" si="2103">(H1325/G1325)*I1325*F1325</f>
        <v>9704.7999999999993</v>
      </c>
      <c r="K1325" s="21"/>
      <c r="L1325" s="24">
        <v>0</v>
      </c>
      <c r="M1325" s="24">
        <f>IF($E1325="L",$J1325,0)</f>
        <v>0</v>
      </c>
      <c r="N1325" s="24">
        <f>IF($E1325="M",$J1325,0)</f>
        <v>0</v>
      </c>
      <c r="O1325" s="24">
        <f>IF($E1325="P",$J1325,0)</f>
        <v>0</v>
      </c>
      <c r="P1325" s="24">
        <f>IF($E1325="S",$J1325,0)</f>
        <v>9704.7999999999993</v>
      </c>
      <c r="Q1325" s="24">
        <f>SUM(M1325:P1325)</f>
        <v>9704.7999999999993</v>
      </c>
      <c r="R1325" s="87">
        <v>65</v>
      </c>
      <c r="T1325" s="235" t="str">
        <f t="shared" si="2038"/>
        <v xml:space="preserve"> </v>
      </c>
      <c r="U1325" s="232"/>
    </row>
    <row r="1326" spans="1:21" s="57" customFormat="1" x14ac:dyDescent="0.25">
      <c r="A1326" s="149" t="s">
        <v>682</v>
      </c>
      <c r="B1326" s="150" t="s">
        <v>682</v>
      </c>
      <c r="C1326" s="150" t="s">
        <v>682</v>
      </c>
      <c r="D1326" s="151" t="s">
        <v>682</v>
      </c>
      <c r="E1326" s="152" t="s">
        <v>682</v>
      </c>
      <c r="F1326" s="152" t="s">
        <v>682</v>
      </c>
      <c r="G1326" s="153" t="s">
        <v>682</v>
      </c>
      <c r="H1326" s="153" t="s">
        <v>682</v>
      </c>
      <c r="I1326" s="153" t="s">
        <v>682</v>
      </c>
      <c r="J1326" s="153" t="s">
        <v>682</v>
      </c>
      <c r="K1326" s="153" t="s">
        <v>682</v>
      </c>
      <c r="L1326" s="57" t="s">
        <v>682</v>
      </c>
      <c r="M1326" s="154" t="s">
        <v>682</v>
      </c>
      <c r="N1326" s="154" t="s">
        <v>682</v>
      </c>
      <c r="T1326" s="235" t="str">
        <f t="shared" si="2038"/>
        <v xml:space="preserve"> </v>
      </c>
      <c r="U1326" s="232"/>
    </row>
    <row r="1327" spans="1:21" s="57" customFormat="1" ht="30" x14ac:dyDescent="0.25">
      <c r="A1327" s="156">
        <v>168</v>
      </c>
      <c r="B1327" s="3" t="s">
        <v>741</v>
      </c>
      <c r="C1327" s="3" t="s">
        <v>740</v>
      </c>
      <c r="D1327" s="4" t="s">
        <v>88</v>
      </c>
      <c r="E1327" s="15"/>
      <c r="F1327" s="10"/>
      <c r="G1327" s="10"/>
      <c r="H1327" s="26">
        <f>VLOOKUP($A1327,'Model Inputs'!$A:$C,3,FALSE)</f>
        <v>3628</v>
      </c>
      <c r="I1327" s="10"/>
      <c r="J1327" s="10">
        <f>SUBTOTAL(9,J1328:J1329)</f>
        <v>22336.223165113461</v>
      </c>
      <c r="K1327" s="10"/>
      <c r="L1327" s="10">
        <f>ROUNDUP(MAX(L1328:L1329),0)</f>
        <v>5</v>
      </c>
      <c r="M1327" s="10">
        <f>SUBTOTAL(9,M1328:M1329)</f>
        <v>0</v>
      </c>
      <c r="N1327" s="10">
        <f t="shared" ref="N1327:Q1327" si="2104">SUBTOTAL(9,N1328:N1329)</f>
        <v>19591.27836511346</v>
      </c>
      <c r="O1327" s="10">
        <f t="shared" si="2104"/>
        <v>2744.9447999999998</v>
      </c>
      <c r="P1327" s="10">
        <f t="shared" si="2104"/>
        <v>0</v>
      </c>
      <c r="Q1327" s="10">
        <f t="shared" si="2104"/>
        <v>22336.223165113461</v>
      </c>
      <c r="R1327" s="86"/>
      <c r="T1327" s="235" t="str">
        <f t="shared" si="2038"/>
        <v xml:space="preserve"> </v>
      </c>
      <c r="U1327" s="232"/>
    </row>
    <row r="1328" spans="1:21" s="57" customFormat="1" x14ac:dyDescent="0.25">
      <c r="A1328" s="157">
        <v>168.1</v>
      </c>
      <c r="B1328" s="6">
        <v>1</v>
      </c>
      <c r="C1328" s="9" t="s">
        <v>477</v>
      </c>
      <c r="D1328" s="6"/>
      <c r="E1328" s="17" t="s">
        <v>500</v>
      </c>
      <c r="F1328" s="12">
        <v>1</v>
      </c>
      <c r="G1328" s="26">
        <f>VLOOKUP($A1328,'Model Inputs'!$A:$C,3,FALSE)</f>
        <v>800</v>
      </c>
      <c r="H1328" s="12">
        <f>H1327</f>
        <v>3628</v>
      </c>
      <c r="I1328" s="12">
        <f>VLOOKUP(C1328,Resources!B:G,6,FALSE)</f>
        <v>605.28</v>
      </c>
      <c r="J1328" s="21">
        <f t="shared" ref="J1328:J1329" si="2105">(H1328/G1328)*I1328*F1328</f>
        <v>2744.9447999999998</v>
      </c>
      <c r="K1328" s="21">
        <f t="shared" ref="K1328:K1329" si="2106">IF(E1328="M"," ",L1328*F1328)</f>
        <v>4.5350000000000001</v>
      </c>
      <c r="L1328" s="24">
        <f t="shared" ref="L1328:L1329" si="2107">IF(E1328="M"," ",H1328/G1328)</f>
        <v>4.5350000000000001</v>
      </c>
      <c r="M1328" s="24">
        <f t="shared" ref="M1328:M1329" si="2108">IF($E1328="L",$J1328,0)</f>
        <v>0</v>
      </c>
      <c r="N1328" s="24">
        <f t="shared" ref="N1328:N1329" si="2109">IF($E1328="M",$J1328,0)</f>
        <v>0</v>
      </c>
      <c r="O1328" s="24">
        <f t="shared" ref="O1328:O1329" si="2110">IF($E1328="P",$J1328,0)</f>
        <v>2744.9447999999998</v>
      </c>
      <c r="P1328" s="24">
        <f t="shared" ref="P1328:P1329" si="2111">IF($E1328="S",$J1328,0)</f>
        <v>0</v>
      </c>
      <c r="Q1328" s="24">
        <f t="shared" ref="Q1328:Q1329" si="2112">SUM(M1328:P1328)</f>
        <v>2744.9447999999998</v>
      </c>
      <c r="R1328" s="87">
        <v>68</v>
      </c>
      <c r="T1328" s="235" t="str">
        <f t="shared" si="2038"/>
        <v xml:space="preserve"> </v>
      </c>
      <c r="U1328" s="232"/>
    </row>
    <row r="1329" spans="1:21" s="57" customFormat="1" x14ac:dyDescent="0.25">
      <c r="A1329" s="157"/>
      <c r="B1329" s="6">
        <v>2</v>
      </c>
      <c r="C1329" s="9" t="s">
        <v>481</v>
      </c>
      <c r="D1329" s="6" t="s">
        <v>100</v>
      </c>
      <c r="E1329" s="17" t="str">
        <f>VLOOKUP(C1329,Resources!B:G,3,FALSE)</f>
        <v>M</v>
      </c>
      <c r="F1329" s="12">
        <v>1</v>
      </c>
      <c r="G1329" s="12">
        <v>1</v>
      </c>
      <c r="H1329" s="12">
        <f>H1327/83.333</f>
        <v>43.536174144696581</v>
      </c>
      <c r="I1329" s="12">
        <f>VLOOKUP(C1329,Resources!B:G,6,FALSE)</f>
        <v>450</v>
      </c>
      <c r="J1329" s="21">
        <f t="shared" si="2105"/>
        <v>19591.27836511346</v>
      </c>
      <c r="K1329" s="21" t="str">
        <f t="shared" si="2106"/>
        <v xml:space="preserve"> </v>
      </c>
      <c r="L1329" s="24" t="str">
        <f t="shared" si="2107"/>
        <v xml:space="preserve"> </v>
      </c>
      <c r="M1329" s="24">
        <f t="shared" si="2108"/>
        <v>0</v>
      </c>
      <c r="N1329" s="24">
        <f t="shared" si="2109"/>
        <v>19591.27836511346</v>
      </c>
      <c r="O1329" s="24">
        <f t="shared" si="2110"/>
        <v>0</v>
      </c>
      <c r="P1329" s="24">
        <f t="shared" si="2111"/>
        <v>0</v>
      </c>
      <c r="Q1329" s="24">
        <f t="shared" si="2112"/>
        <v>19591.27836511346</v>
      </c>
      <c r="R1329" s="87" t="s">
        <v>546</v>
      </c>
      <c r="T1329" s="235" t="str">
        <f t="shared" si="2038"/>
        <v xml:space="preserve"> </v>
      </c>
      <c r="U1329" s="232"/>
    </row>
    <row r="1330" spans="1:21" s="18" customFormat="1" x14ac:dyDescent="0.25">
      <c r="A1330" s="158"/>
      <c r="B1330" s="5"/>
      <c r="C1330" s="8"/>
      <c r="D1330" s="5"/>
      <c r="E1330" s="16"/>
      <c r="F1330" s="5"/>
      <c r="G1330" s="5"/>
      <c r="H1330" s="5"/>
      <c r="I1330" s="5"/>
      <c r="J1330" s="5"/>
      <c r="K1330" s="5"/>
      <c r="L1330" s="25"/>
      <c r="M1330" s="25"/>
      <c r="N1330" s="25"/>
      <c r="O1330" s="25"/>
      <c r="P1330" s="25"/>
      <c r="Q1330" s="25"/>
      <c r="R1330" s="16"/>
      <c r="T1330" s="235" t="str">
        <f t="shared" si="2038"/>
        <v xml:space="preserve"> </v>
      </c>
      <c r="U1330" s="232"/>
    </row>
    <row r="1331" spans="1:21" s="35" customFormat="1" x14ac:dyDescent="0.25">
      <c r="A1331" s="161"/>
      <c r="B1331" s="36"/>
      <c r="C1331" s="37" t="s">
        <v>518</v>
      </c>
      <c r="D1331" s="36"/>
      <c r="E1331" s="38"/>
      <c r="F1331" s="36"/>
      <c r="G1331" s="36"/>
      <c r="H1331" s="36"/>
      <c r="I1331" s="36"/>
      <c r="J1331" s="36"/>
      <c r="K1331" s="36"/>
      <c r="L1331" s="39"/>
      <c r="M1331" s="39"/>
      <c r="N1331" s="39"/>
      <c r="O1331" s="39"/>
      <c r="P1331" s="39"/>
      <c r="Q1331" s="39"/>
      <c r="R1331" s="38"/>
      <c r="T1331" s="235" t="str">
        <f t="shared" si="2038"/>
        <v xml:space="preserve"> </v>
      </c>
      <c r="U1331" s="237"/>
    </row>
    <row r="1332" spans="1:21" s="18" customFormat="1" x14ac:dyDescent="0.25">
      <c r="A1332" s="155"/>
      <c r="B1332" s="2" t="s">
        <v>0</v>
      </c>
      <c r="C1332" s="2" t="s">
        <v>1</v>
      </c>
      <c r="D1332" s="2" t="s">
        <v>3</v>
      </c>
      <c r="E1332" s="2" t="s">
        <v>470</v>
      </c>
      <c r="F1332" s="2" t="s">
        <v>4</v>
      </c>
      <c r="G1332" s="2" t="s">
        <v>5</v>
      </c>
      <c r="H1332" s="2" t="s">
        <v>6</v>
      </c>
      <c r="I1332" s="2" t="s">
        <v>7</v>
      </c>
      <c r="J1332" s="2"/>
      <c r="K1332" s="2"/>
      <c r="L1332" s="2"/>
      <c r="M1332" s="2" t="s">
        <v>8</v>
      </c>
      <c r="N1332" s="2" t="s">
        <v>9</v>
      </c>
      <c r="O1332" s="2" t="s">
        <v>10</v>
      </c>
      <c r="P1332" s="2" t="s">
        <v>11</v>
      </c>
      <c r="Q1332" s="2" t="s">
        <v>12</v>
      </c>
      <c r="R1332" s="14"/>
      <c r="T1332" s="235" t="str">
        <f t="shared" si="2038"/>
        <v xml:space="preserve"> </v>
      </c>
      <c r="U1332" s="232"/>
    </row>
    <row r="1333" spans="1:21" s="18" customFormat="1" x14ac:dyDescent="0.25">
      <c r="A1333" s="156">
        <v>9000</v>
      </c>
      <c r="B1333" s="10" t="s">
        <v>504</v>
      </c>
      <c r="C1333" s="10" t="s">
        <v>505</v>
      </c>
      <c r="D1333" s="10"/>
      <c r="E1333" s="10"/>
      <c r="F1333" s="10"/>
      <c r="G1333" s="10"/>
      <c r="H1333" s="26">
        <f>VLOOKUP($A1333,'Model Inputs'!$A:$C,3,FALSE)</f>
        <v>15</v>
      </c>
      <c r="I1333" s="10"/>
      <c r="J1333" s="10">
        <f>SUBTOTAL(9,J1334)</f>
        <v>50250</v>
      </c>
      <c r="K1333" s="10"/>
      <c r="L1333" s="10">
        <f>MAX(L1334)</f>
        <v>15</v>
      </c>
      <c r="M1333" s="10">
        <f t="shared" ref="M1333:Q1333" si="2113">SUBTOTAL(9,M1334)</f>
        <v>50250</v>
      </c>
      <c r="N1333" s="10">
        <f t="shared" si="2113"/>
        <v>0</v>
      </c>
      <c r="O1333" s="10">
        <f t="shared" si="2113"/>
        <v>0</v>
      </c>
      <c r="P1333" s="10">
        <f t="shared" si="2113"/>
        <v>0</v>
      </c>
      <c r="Q1333" s="10">
        <f t="shared" si="2113"/>
        <v>50250</v>
      </c>
      <c r="R1333" s="86"/>
      <c r="T1333" s="235" t="str">
        <f t="shared" si="2038"/>
        <v xml:space="preserve"> </v>
      </c>
      <c r="U1333" s="232"/>
    </row>
    <row r="1334" spans="1:21" s="18" customFormat="1" x14ac:dyDescent="0.25">
      <c r="A1334" s="157"/>
      <c r="B1334" s="12"/>
      <c r="C1334" s="12" t="s">
        <v>19</v>
      </c>
      <c r="D1334" s="12" t="s">
        <v>20</v>
      </c>
      <c r="E1334" s="12" t="s">
        <v>498</v>
      </c>
      <c r="F1334" s="12">
        <v>1</v>
      </c>
      <c r="G1334" s="12">
        <v>1</v>
      </c>
      <c r="H1334" s="12">
        <f>H1333</f>
        <v>15</v>
      </c>
      <c r="I1334" s="12">
        <f>VLOOKUP(C1334,Resources!B:G,6,FALSE)</f>
        <v>3350</v>
      </c>
      <c r="J1334" s="21">
        <f t="shared" ref="J1334" si="2114">(H1334/G1334)*I1334*F1334</f>
        <v>50250</v>
      </c>
      <c r="K1334" s="21">
        <f t="shared" ref="K1334" si="2115">IF(E1334="M"," ",L1334*F1334)</f>
        <v>15</v>
      </c>
      <c r="L1334" s="24">
        <f t="shared" ref="L1334" si="2116">IF(E1334="M"," ",H1334/G1334)</f>
        <v>15</v>
      </c>
      <c r="M1334" s="24">
        <f t="shared" ref="M1334" si="2117">IF($E1334="L",$J1334,0)</f>
        <v>50250</v>
      </c>
      <c r="N1334" s="24">
        <f t="shared" ref="N1334" si="2118">IF($E1334="M",$J1334,0)</f>
        <v>0</v>
      </c>
      <c r="O1334" s="24">
        <f t="shared" ref="O1334" si="2119">IF($E1334="P",$J1334,0)</f>
        <v>0</v>
      </c>
      <c r="P1334" s="24">
        <f t="shared" ref="P1334" si="2120">IF($E1334="S",$J1334,0)</f>
        <v>0</v>
      </c>
      <c r="Q1334" s="24">
        <f t="shared" ref="Q1334" si="2121">SUM(M1334:P1334)</f>
        <v>50250</v>
      </c>
      <c r="R1334" s="90">
        <v>902</v>
      </c>
      <c r="T1334" s="235" t="str">
        <f t="shared" si="2038"/>
        <v xml:space="preserve"> </v>
      </c>
      <c r="U1334" s="232"/>
    </row>
    <row r="1335" spans="1:21" s="18" customFormat="1" x14ac:dyDescent="0.25">
      <c r="A1335" s="158"/>
      <c r="B1335" s="11"/>
      <c r="C1335" s="11"/>
      <c r="D1335" s="11"/>
      <c r="E1335" s="11"/>
      <c r="F1335" s="11"/>
      <c r="G1335" s="11"/>
      <c r="H1335" s="11"/>
      <c r="I1335" s="11"/>
      <c r="J1335" s="11"/>
      <c r="K1335" s="11"/>
      <c r="L1335" s="11"/>
      <c r="M1335" s="13"/>
      <c r="N1335" s="13"/>
      <c r="O1335" s="13"/>
      <c r="P1335" s="13"/>
      <c r="Q1335" s="13"/>
      <c r="R1335" s="91"/>
      <c r="T1335" s="235" t="str">
        <f t="shared" si="2038"/>
        <v xml:space="preserve"> </v>
      </c>
      <c r="U1335" s="232"/>
    </row>
    <row r="1336" spans="1:21" s="18" customFormat="1" x14ac:dyDescent="0.25">
      <c r="A1336" s="156">
        <v>9005</v>
      </c>
      <c r="B1336" s="10" t="s">
        <v>506</v>
      </c>
      <c r="C1336" s="10" t="s">
        <v>507</v>
      </c>
      <c r="D1336" s="10"/>
      <c r="E1336" s="10"/>
      <c r="F1336" s="10"/>
      <c r="G1336" s="10"/>
      <c r="H1336" s="26">
        <f>VLOOKUP($A1336,'Model Inputs'!$A:$C,3,FALSE)</f>
        <v>5</v>
      </c>
      <c r="I1336" s="10"/>
      <c r="J1336" s="10">
        <f>SUBTOTAL(9,J1337)</f>
        <v>16250</v>
      </c>
      <c r="K1336" s="10"/>
      <c r="L1336" s="10">
        <f>MAX(L1337)</f>
        <v>5</v>
      </c>
      <c r="M1336" s="10">
        <f t="shared" ref="M1336:Q1336" si="2122">SUBTOTAL(9,M1337)</f>
        <v>16250</v>
      </c>
      <c r="N1336" s="10">
        <f t="shared" si="2122"/>
        <v>0</v>
      </c>
      <c r="O1336" s="10">
        <f t="shared" si="2122"/>
        <v>0</v>
      </c>
      <c r="P1336" s="10">
        <f t="shared" si="2122"/>
        <v>0</v>
      </c>
      <c r="Q1336" s="10">
        <f t="shared" si="2122"/>
        <v>16250</v>
      </c>
      <c r="R1336" s="92"/>
      <c r="T1336" s="235" t="str">
        <f t="shared" si="2038"/>
        <v xml:space="preserve"> </v>
      </c>
      <c r="U1336" s="232"/>
    </row>
    <row r="1337" spans="1:21" s="18" customFormat="1" x14ac:dyDescent="0.25">
      <c r="A1337" s="157"/>
      <c r="B1337" s="12"/>
      <c r="C1337" s="12" t="s">
        <v>21</v>
      </c>
      <c r="D1337" s="12" t="s">
        <v>20</v>
      </c>
      <c r="E1337" s="12" t="s">
        <v>498</v>
      </c>
      <c r="F1337" s="12">
        <v>1</v>
      </c>
      <c r="G1337" s="12">
        <v>1</v>
      </c>
      <c r="H1337" s="12">
        <f>H1336</f>
        <v>5</v>
      </c>
      <c r="I1337" s="12">
        <f>VLOOKUP(C1337,Resources!B:G,6,FALSE)</f>
        <v>3250</v>
      </c>
      <c r="J1337" s="21">
        <f t="shared" ref="J1337" si="2123">(H1337/G1337)*I1337*F1337</f>
        <v>16250</v>
      </c>
      <c r="K1337" s="21">
        <f t="shared" ref="K1337" si="2124">IF(E1337="M"," ",L1337*F1337)</f>
        <v>5</v>
      </c>
      <c r="L1337" s="24">
        <f t="shared" ref="L1337" si="2125">IF(E1337="M"," ",H1337/G1337)</f>
        <v>5</v>
      </c>
      <c r="M1337" s="24">
        <f t="shared" ref="M1337" si="2126">IF($E1337="L",$J1337,0)</f>
        <v>16250</v>
      </c>
      <c r="N1337" s="24">
        <f t="shared" ref="N1337" si="2127">IF($E1337="M",$J1337,0)</f>
        <v>0</v>
      </c>
      <c r="O1337" s="24">
        <f t="shared" ref="O1337" si="2128">IF($E1337="P",$J1337,0)</f>
        <v>0</v>
      </c>
      <c r="P1337" s="24">
        <f t="shared" ref="P1337" si="2129">IF($E1337="S",$J1337,0)</f>
        <v>0</v>
      </c>
      <c r="Q1337" s="24">
        <f t="shared" ref="Q1337" si="2130">SUM(M1337:P1337)</f>
        <v>16250</v>
      </c>
      <c r="R1337" s="90">
        <v>901</v>
      </c>
      <c r="T1337" s="235" t="str">
        <f t="shared" si="2038"/>
        <v xml:space="preserve"> </v>
      </c>
      <c r="U1337" s="232"/>
    </row>
    <row r="1338" spans="1:21" s="18" customFormat="1" x14ac:dyDescent="0.25">
      <c r="A1338" s="158"/>
      <c r="B1338" s="11"/>
      <c r="C1338" s="11"/>
      <c r="D1338" s="11"/>
      <c r="E1338" s="11"/>
      <c r="F1338" s="11"/>
      <c r="G1338" s="11"/>
      <c r="H1338" s="11"/>
      <c r="I1338" s="11"/>
      <c r="J1338" s="11"/>
      <c r="K1338" s="11"/>
      <c r="L1338" s="11"/>
      <c r="M1338" s="13"/>
      <c r="N1338" s="13"/>
      <c r="O1338" s="13"/>
      <c r="P1338" s="13"/>
      <c r="Q1338" s="13"/>
      <c r="R1338" s="91"/>
      <c r="T1338" s="235" t="str">
        <f t="shared" si="2038"/>
        <v xml:space="preserve"> </v>
      </c>
      <c r="U1338" s="232"/>
    </row>
    <row r="1339" spans="1:21" s="18" customFormat="1" x14ac:dyDescent="0.25">
      <c r="A1339" s="156">
        <v>9010</v>
      </c>
      <c r="B1339" s="10" t="s">
        <v>508</v>
      </c>
      <c r="C1339" s="10" t="s">
        <v>509</v>
      </c>
      <c r="D1339" s="10"/>
      <c r="E1339" s="10"/>
      <c r="F1339" s="10"/>
      <c r="G1339" s="10"/>
      <c r="H1339" s="26">
        <f>VLOOKUP($A1339,'Model Inputs'!$A:$C,3,FALSE)</f>
        <v>14</v>
      </c>
      <c r="I1339" s="10"/>
      <c r="J1339" s="10">
        <f>SUBTOTAL(9,J1340)</f>
        <v>24500</v>
      </c>
      <c r="K1339" s="10"/>
      <c r="L1339" s="10">
        <f>MAX(L1340)</f>
        <v>14</v>
      </c>
      <c r="M1339" s="10">
        <f t="shared" ref="M1339:Q1339" si="2131">SUBTOTAL(9,M1340)</f>
        <v>0</v>
      </c>
      <c r="N1339" s="10">
        <f t="shared" si="2131"/>
        <v>0</v>
      </c>
      <c r="O1339" s="10">
        <f t="shared" si="2131"/>
        <v>24500</v>
      </c>
      <c r="P1339" s="10">
        <f t="shared" si="2131"/>
        <v>0</v>
      </c>
      <c r="Q1339" s="10">
        <f t="shared" si="2131"/>
        <v>24500</v>
      </c>
      <c r="R1339" s="92"/>
      <c r="T1339" s="235" t="str">
        <f t="shared" si="2038"/>
        <v xml:space="preserve"> </v>
      </c>
      <c r="U1339" s="232"/>
    </row>
    <row r="1340" spans="1:21" s="18" customFormat="1" x14ac:dyDescent="0.25">
      <c r="A1340" s="157"/>
      <c r="B1340" s="12">
        <v>1</v>
      </c>
      <c r="C1340" s="12" t="s">
        <v>488</v>
      </c>
      <c r="D1340" s="12" t="s">
        <v>20</v>
      </c>
      <c r="E1340" s="12" t="s">
        <v>500</v>
      </c>
      <c r="F1340" s="12">
        <v>1</v>
      </c>
      <c r="G1340" s="12">
        <v>1</v>
      </c>
      <c r="H1340" s="12">
        <f>H1339</f>
        <v>14</v>
      </c>
      <c r="I1340" s="12">
        <f>VLOOKUP(C1340,Resources!B:G,6,FALSE)</f>
        <v>1750</v>
      </c>
      <c r="J1340" s="21">
        <f t="shared" ref="J1340" si="2132">(H1340/G1340)*I1340*F1340</f>
        <v>24500</v>
      </c>
      <c r="K1340" s="21">
        <f t="shared" ref="K1340" si="2133">IF(E1340="M"," ",L1340*F1340)</f>
        <v>14</v>
      </c>
      <c r="L1340" s="24">
        <f t="shared" ref="L1340" si="2134">IF(E1340="M"," ",H1340/G1340)</f>
        <v>14</v>
      </c>
      <c r="M1340" s="24">
        <f t="shared" ref="M1340" si="2135">IF($E1340="L",$J1340,0)</f>
        <v>0</v>
      </c>
      <c r="N1340" s="24">
        <f t="shared" ref="N1340" si="2136">IF($E1340="M",$J1340,0)</f>
        <v>0</v>
      </c>
      <c r="O1340" s="24">
        <f t="shared" ref="O1340" si="2137">IF($E1340="P",$J1340,0)</f>
        <v>24500</v>
      </c>
      <c r="P1340" s="24">
        <f t="shared" ref="P1340" si="2138">IF($E1340="S",$J1340,0)</f>
        <v>0</v>
      </c>
      <c r="Q1340" s="24">
        <f t="shared" ref="Q1340" si="2139">SUM(M1340:P1340)</f>
        <v>24500</v>
      </c>
      <c r="R1340" s="90">
        <v>903</v>
      </c>
      <c r="T1340" s="235" t="str">
        <f t="shared" si="2038"/>
        <v xml:space="preserve"> </v>
      </c>
      <c r="U1340" s="232"/>
    </row>
    <row r="1341" spans="1:21" s="18" customFormat="1" x14ac:dyDescent="0.25">
      <c r="A1341" s="158"/>
      <c r="B1341" s="11"/>
      <c r="C1341" s="11"/>
      <c r="D1341" s="11"/>
      <c r="E1341" s="11"/>
      <c r="F1341" s="11"/>
      <c r="G1341" s="11"/>
      <c r="H1341" s="11"/>
      <c r="I1341" s="11"/>
      <c r="J1341" s="11"/>
      <c r="K1341" s="11"/>
      <c r="L1341" s="11"/>
      <c r="M1341" s="13"/>
      <c r="N1341" s="13"/>
      <c r="O1341" s="13"/>
      <c r="P1341" s="13"/>
      <c r="Q1341" s="13"/>
      <c r="R1341" s="91"/>
      <c r="T1341" s="235" t="str">
        <f t="shared" si="2038"/>
        <v xml:space="preserve"> </v>
      </c>
      <c r="U1341" s="232"/>
    </row>
    <row r="1342" spans="1:21" s="18" customFormat="1" x14ac:dyDescent="0.25">
      <c r="A1342" s="156">
        <v>9015</v>
      </c>
      <c r="B1342" s="10" t="s">
        <v>510</v>
      </c>
      <c r="C1342" s="10" t="s">
        <v>493</v>
      </c>
      <c r="D1342" s="10"/>
      <c r="E1342" s="10"/>
      <c r="F1342" s="10"/>
      <c r="G1342" s="10"/>
      <c r="H1342" s="26">
        <f>VLOOKUP($A1342,'Model Inputs'!$A:$C,3,FALSE)</f>
        <v>1</v>
      </c>
      <c r="I1342" s="10"/>
      <c r="J1342" s="10">
        <f>SUBTOTAL(9,J1343)</f>
        <v>9000</v>
      </c>
      <c r="K1342" s="10"/>
      <c r="L1342" s="10">
        <f>MAX(L1343)</f>
        <v>1</v>
      </c>
      <c r="M1342" s="10">
        <f t="shared" ref="M1342:Q1342" si="2140">SUBTOTAL(9,M1343)</f>
        <v>0</v>
      </c>
      <c r="N1342" s="10">
        <f t="shared" si="2140"/>
        <v>0</v>
      </c>
      <c r="O1342" s="10">
        <f t="shared" si="2140"/>
        <v>0</v>
      </c>
      <c r="P1342" s="10">
        <f t="shared" si="2140"/>
        <v>9000</v>
      </c>
      <c r="Q1342" s="10">
        <f t="shared" si="2140"/>
        <v>9000</v>
      </c>
      <c r="R1342" s="92"/>
      <c r="T1342" s="235" t="str">
        <f t="shared" si="2038"/>
        <v xml:space="preserve"> </v>
      </c>
      <c r="U1342" s="232"/>
    </row>
    <row r="1343" spans="1:21" s="18" customFormat="1" x14ac:dyDescent="0.25">
      <c r="A1343" s="157"/>
      <c r="B1343" s="12">
        <v>1</v>
      </c>
      <c r="C1343" s="12" t="s">
        <v>493</v>
      </c>
      <c r="D1343" s="12" t="s">
        <v>18</v>
      </c>
      <c r="E1343" s="12" t="s">
        <v>501</v>
      </c>
      <c r="F1343" s="12">
        <v>9000</v>
      </c>
      <c r="G1343" s="12">
        <v>1</v>
      </c>
      <c r="H1343" s="12">
        <f>H1342</f>
        <v>1</v>
      </c>
      <c r="I1343" s="12">
        <f>VLOOKUP(C1343,Resources!B:G,6,FALSE)</f>
        <v>1</v>
      </c>
      <c r="J1343" s="21">
        <f t="shared" ref="J1343" si="2141">(H1343/G1343)*I1343*F1343</f>
        <v>9000</v>
      </c>
      <c r="K1343" s="21">
        <f t="shared" ref="K1343" si="2142">IF(E1343="M"," ",L1343*F1343)</f>
        <v>9000</v>
      </c>
      <c r="L1343" s="24">
        <f t="shared" ref="L1343" si="2143">IF(E1343="M"," ",H1343/G1343)</f>
        <v>1</v>
      </c>
      <c r="M1343" s="24">
        <f t="shared" ref="M1343" si="2144">IF($E1343="L",$J1343,0)</f>
        <v>0</v>
      </c>
      <c r="N1343" s="24">
        <f t="shared" ref="N1343" si="2145">IF($E1343="M",$J1343,0)</f>
        <v>0</v>
      </c>
      <c r="O1343" s="24">
        <f t="shared" ref="O1343" si="2146">IF($E1343="P",$J1343,0)</f>
        <v>0</v>
      </c>
      <c r="P1343" s="24">
        <f t="shared" ref="P1343" si="2147">IF($E1343="S",$J1343,0)</f>
        <v>9000</v>
      </c>
      <c r="Q1343" s="24">
        <f t="shared" ref="Q1343" si="2148">SUM(M1343:P1343)</f>
        <v>9000</v>
      </c>
      <c r="R1343" s="90">
        <v>904</v>
      </c>
      <c r="T1343" s="235" t="str">
        <f t="shared" si="2038"/>
        <v xml:space="preserve"> </v>
      </c>
      <c r="U1343" s="232"/>
    </row>
    <row r="1344" spans="1:21" s="18" customFormat="1" x14ac:dyDescent="0.25">
      <c r="A1344" s="158"/>
      <c r="B1344" s="11"/>
      <c r="C1344" s="11"/>
      <c r="D1344" s="11"/>
      <c r="E1344" s="11"/>
      <c r="F1344" s="11"/>
      <c r="G1344" s="11"/>
      <c r="H1344" s="11"/>
      <c r="I1344" s="11"/>
      <c r="J1344" s="11"/>
      <c r="K1344" s="11"/>
      <c r="L1344" s="11"/>
      <c r="M1344" s="13"/>
      <c r="N1344" s="13"/>
      <c r="O1344" s="13"/>
      <c r="P1344" s="13"/>
      <c r="Q1344" s="13"/>
      <c r="R1344" s="91"/>
      <c r="T1344" s="235" t="str">
        <f t="shared" si="2038"/>
        <v xml:space="preserve"> </v>
      </c>
      <c r="U1344" s="232"/>
    </row>
    <row r="1345" spans="1:21" s="18" customFormat="1" x14ac:dyDescent="0.25">
      <c r="A1345" s="156">
        <v>9020</v>
      </c>
      <c r="B1345" s="10" t="s">
        <v>511</v>
      </c>
      <c r="C1345" s="10" t="s">
        <v>489</v>
      </c>
      <c r="D1345" s="10"/>
      <c r="E1345" s="10"/>
      <c r="F1345" s="10"/>
      <c r="G1345" s="10"/>
      <c r="H1345" s="26">
        <f>VLOOKUP($A1345,'Model Inputs'!$A:$C,3,FALSE)</f>
        <v>12</v>
      </c>
      <c r="I1345" s="10"/>
      <c r="J1345" s="10">
        <f>SUBTOTAL(9,J1346)</f>
        <v>3324</v>
      </c>
      <c r="K1345" s="10"/>
      <c r="L1345" s="10">
        <f>MAX(L1346)</f>
        <v>12</v>
      </c>
      <c r="M1345" s="10">
        <f t="shared" ref="M1345:Q1345" si="2149">SUBTOTAL(9,M1346)</f>
        <v>0</v>
      </c>
      <c r="N1345" s="10">
        <f t="shared" si="2149"/>
        <v>0</v>
      </c>
      <c r="O1345" s="10">
        <f t="shared" si="2149"/>
        <v>3324</v>
      </c>
      <c r="P1345" s="10">
        <f t="shared" si="2149"/>
        <v>0</v>
      </c>
      <c r="Q1345" s="10">
        <f t="shared" si="2149"/>
        <v>3324</v>
      </c>
      <c r="R1345" s="92"/>
      <c r="T1345" s="235" t="str">
        <f t="shared" si="2038"/>
        <v xml:space="preserve"> </v>
      </c>
      <c r="U1345" s="232"/>
    </row>
    <row r="1346" spans="1:21" s="18" customFormat="1" x14ac:dyDescent="0.25">
      <c r="A1346" s="157"/>
      <c r="B1346" s="12"/>
      <c r="C1346" s="12" t="s">
        <v>489</v>
      </c>
      <c r="D1346" s="12" t="s">
        <v>20</v>
      </c>
      <c r="E1346" s="12" t="s">
        <v>500</v>
      </c>
      <c r="F1346" s="12">
        <v>1</v>
      </c>
      <c r="G1346" s="12">
        <v>1</v>
      </c>
      <c r="H1346" s="12">
        <f>H1345</f>
        <v>12</v>
      </c>
      <c r="I1346" s="12">
        <f>VLOOKUP(C1346,Resources!B:G,6,FALSE)</f>
        <v>277</v>
      </c>
      <c r="J1346" s="21">
        <f t="shared" ref="J1346" si="2150">(H1346/G1346)*I1346*F1346</f>
        <v>3324</v>
      </c>
      <c r="K1346" s="21">
        <f t="shared" ref="K1346" si="2151">IF(E1346="M"," ",L1346*F1346)</f>
        <v>12</v>
      </c>
      <c r="L1346" s="24">
        <f t="shared" ref="L1346" si="2152">IF(E1346="M"," ",H1346/G1346)</f>
        <v>12</v>
      </c>
      <c r="M1346" s="24">
        <f t="shared" ref="M1346" si="2153">IF($E1346="L",$J1346,0)</f>
        <v>0</v>
      </c>
      <c r="N1346" s="24">
        <f t="shared" ref="N1346" si="2154">IF($E1346="M",$J1346,0)</f>
        <v>0</v>
      </c>
      <c r="O1346" s="24">
        <f t="shared" ref="O1346" si="2155">IF($E1346="P",$J1346,0)</f>
        <v>3324</v>
      </c>
      <c r="P1346" s="24">
        <f t="shared" ref="P1346" si="2156">IF($E1346="S",$J1346,0)</f>
        <v>0</v>
      </c>
      <c r="Q1346" s="24">
        <f t="shared" ref="Q1346" si="2157">SUM(M1346:P1346)</f>
        <v>3324</v>
      </c>
      <c r="R1346" s="90">
        <v>905</v>
      </c>
      <c r="T1346" s="235" t="str">
        <f t="shared" si="2038"/>
        <v xml:space="preserve"> </v>
      </c>
      <c r="U1346" s="232"/>
    </row>
    <row r="1347" spans="1:21" s="18" customFormat="1" x14ac:dyDescent="0.25">
      <c r="A1347" s="158"/>
      <c r="B1347" s="11"/>
      <c r="C1347" s="11"/>
      <c r="D1347" s="11"/>
      <c r="E1347" s="11"/>
      <c r="F1347" s="11"/>
      <c r="G1347" s="11"/>
      <c r="H1347" s="11"/>
      <c r="I1347" s="11"/>
      <c r="J1347" s="11"/>
      <c r="K1347" s="11"/>
      <c r="L1347" s="11"/>
      <c r="M1347" s="13"/>
      <c r="N1347" s="13"/>
      <c r="O1347" s="13"/>
      <c r="P1347" s="13"/>
      <c r="Q1347" s="13"/>
      <c r="R1347" s="91"/>
      <c r="T1347" s="235" t="str">
        <f t="shared" si="2038"/>
        <v xml:space="preserve"> </v>
      </c>
      <c r="U1347" s="232"/>
    </row>
    <row r="1348" spans="1:21" s="18" customFormat="1" x14ac:dyDescent="0.25">
      <c r="A1348" s="156">
        <v>9025</v>
      </c>
      <c r="B1348" s="10" t="s">
        <v>512</v>
      </c>
      <c r="C1348" s="10" t="s">
        <v>513</v>
      </c>
      <c r="D1348" s="10"/>
      <c r="E1348" s="10"/>
      <c r="F1348" s="10"/>
      <c r="G1348" s="10"/>
      <c r="H1348" s="26">
        <f>VLOOKUP($A1348,'Model Inputs'!$A:$C,3,FALSE)</f>
        <v>2500</v>
      </c>
      <c r="I1348" s="10"/>
      <c r="J1348" s="10">
        <f>SUBTOTAL(9,J1349)</f>
        <v>2500</v>
      </c>
      <c r="K1348" s="10"/>
      <c r="L1348" s="10">
        <f>MAX(L1349)</f>
        <v>2500</v>
      </c>
      <c r="M1348" s="10">
        <f t="shared" ref="M1348:Q1348" si="2158">SUBTOTAL(9,M1349)</f>
        <v>0</v>
      </c>
      <c r="N1348" s="10">
        <f t="shared" si="2158"/>
        <v>0</v>
      </c>
      <c r="O1348" s="10">
        <f t="shared" si="2158"/>
        <v>2500</v>
      </c>
      <c r="P1348" s="10">
        <f t="shared" si="2158"/>
        <v>0</v>
      </c>
      <c r="Q1348" s="10">
        <f t="shared" si="2158"/>
        <v>2500</v>
      </c>
      <c r="R1348" s="92"/>
      <c r="T1348" s="235" t="str">
        <f t="shared" si="2038"/>
        <v xml:space="preserve"> </v>
      </c>
      <c r="U1348" s="232"/>
    </row>
    <row r="1349" spans="1:21" s="18" customFormat="1" x14ac:dyDescent="0.25">
      <c r="A1349" s="157"/>
      <c r="B1349" s="12"/>
      <c r="C1349" s="12" t="s">
        <v>484</v>
      </c>
      <c r="D1349" s="12" t="s">
        <v>18</v>
      </c>
      <c r="E1349" s="12" t="s">
        <v>500</v>
      </c>
      <c r="F1349" s="12">
        <v>1</v>
      </c>
      <c r="G1349" s="12">
        <v>1</v>
      </c>
      <c r="H1349" s="12">
        <f>H1348</f>
        <v>2500</v>
      </c>
      <c r="I1349" s="12">
        <f>VLOOKUP(C1349,Resources!B:G,6,FALSE)</f>
        <v>1</v>
      </c>
      <c r="J1349" s="21">
        <f t="shared" ref="J1349" si="2159">(H1349/G1349)*I1349*F1349</f>
        <v>2500</v>
      </c>
      <c r="K1349" s="21">
        <f t="shared" ref="K1349" si="2160">IF(E1349="M"," ",L1349*F1349)</f>
        <v>2500</v>
      </c>
      <c r="L1349" s="24">
        <f t="shared" ref="L1349" si="2161">IF(E1349="M"," ",H1349/G1349)</f>
        <v>2500</v>
      </c>
      <c r="M1349" s="24">
        <f t="shared" ref="M1349" si="2162">IF($E1349="L",$J1349,0)</f>
        <v>0</v>
      </c>
      <c r="N1349" s="24">
        <f t="shared" ref="N1349" si="2163">IF($E1349="M",$J1349,0)</f>
        <v>0</v>
      </c>
      <c r="O1349" s="24">
        <f t="shared" ref="O1349" si="2164">IF($E1349="P",$J1349,0)</f>
        <v>2500</v>
      </c>
      <c r="P1349" s="24">
        <f t="shared" ref="P1349" si="2165">IF($E1349="S",$J1349,0)</f>
        <v>0</v>
      </c>
      <c r="Q1349" s="24">
        <f t="shared" ref="Q1349" si="2166">SUM(M1349:P1349)</f>
        <v>2500</v>
      </c>
      <c r="R1349" s="90">
        <v>905</v>
      </c>
      <c r="T1349" s="235" t="str">
        <f t="shared" si="2038"/>
        <v xml:space="preserve"> </v>
      </c>
      <c r="U1349" s="232"/>
    </row>
    <row r="1350" spans="1:21" s="18" customFormat="1" x14ac:dyDescent="0.25">
      <c r="A1350" s="158"/>
      <c r="B1350" s="11"/>
      <c r="C1350" s="11"/>
      <c r="D1350" s="11"/>
      <c r="E1350" s="11"/>
      <c r="F1350" s="11"/>
      <c r="G1350" s="11"/>
      <c r="H1350" s="11"/>
      <c r="I1350" s="11"/>
      <c r="J1350" s="11"/>
      <c r="K1350" s="11"/>
      <c r="L1350" s="11"/>
      <c r="M1350" s="13"/>
      <c r="N1350" s="13"/>
      <c r="O1350" s="13"/>
      <c r="P1350" s="13"/>
      <c r="Q1350" s="13"/>
      <c r="R1350" s="91"/>
      <c r="T1350" s="235" t="str">
        <f t="shared" si="2038"/>
        <v xml:space="preserve"> </v>
      </c>
      <c r="U1350" s="232"/>
    </row>
    <row r="1351" spans="1:21" s="18" customFormat="1" x14ac:dyDescent="0.25">
      <c r="A1351" s="156">
        <v>9030</v>
      </c>
      <c r="B1351" s="10" t="s">
        <v>514</v>
      </c>
      <c r="C1351" s="10" t="s">
        <v>515</v>
      </c>
      <c r="D1351" s="10"/>
      <c r="E1351" s="10"/>
      <c r="F1351" s="10"/>
      <c r="G1351" s="10"/>
      <c r="H1351" s="26">
        <f>VLOOKUP($A1351,'Model Inputs'!$A:$C,3,FALSE)</f>
        <v>30</v>
      </c>
      <c r="I1351" s="10"/>
      <c r="J1351" s="10">
        <f>SUBTOTAL(9,J1352)</f>
        <v>3750</v>
      </c>
      <c r="K1351" s="10"/>
      <c r="L1351" s="10">
        <f>MAX(L1352)</f>
        <v>30</v>
      </c>
      <c r="M1351" s="10">
        <f t="shared" ref="M1351:Q1351" si="2167">SUBTOTAL(9,M1352)</f>
        <v>0</v>
      </c>
      <c r="N1351" s="10">
        <f t="shared" si="2167"/>
        <v>0</v>
      </c>
      <c r="O1351" s="10">
        <f t="shared" si="2167"/>
        <v>0</v>
      </c>
      <c r="P1351" s="10">
        <f t="shared" si="2167"/>
        <v>3750</v>
      </c>
      <c r="Q1351" s="10">
        <f t="shared" si="2167"/>
        <v>3750</v>
      </c>
      <c r="R1351" s="92"/>
      <c r="T1351" s="235" t="str">
        <f t="shared" si="2038"/>
        <v xml:space="preserve"> </v>
      </c>
      <c r="U1351" s="232"/>
    </row>
    <row r="1352" spans="1:21" s="18" customFormat="1" x14ac:dyDescent="0.25">
      <c r="A1352" s="157"/>
      <c r="B1352" s="12"/>
      <c r="C1352" s="12" t="s">
        <v>24</v>
      </c>
      <c r="D1352" s="12" t="s">
        <v>25</v>
      </c>
      <c r="E1352" s="12" t="s">
        <v>501</v>
      </c>
      <c r="F1352" s="12">
        <v>1</v>
      </c>
      <c r="G1352" s="12">
        <v>1</v>
      </c>
      <c r="H1352" s="12">
        <f>H1351</f>
        <v>30</v>
      </c>
      <c r="I1352" s="12">
        <f>VLOOKUP(C1352,Resources!B:G,6,FALSE)</f>
        <v>125</v>
      </c>
      <c r="J1352" s="21">
        <f t="shared" ref="J1352" si="2168">(H1352/G1352)*I1352*F1352</f>
        <v>3750</v>
      </c>
      <c r="K1352" s="21">
        <f t="shared" ref="K1352" si="2169">IF(E1352="M"," ",L1352*F1352)</f>
        <v>30</v>
      </c>
      <c r="L1352" s="24">
        <f t="shared" ref="L1352" si="2170">IF(E1352="M"," ",H1352/G1352)</f>
        <v>30</v>
      </c>
      <c r="M1352" s="24">
        <f t="shared" ref="M1352" si="2171">IF($E1352="L",$J1352,0)</f>
        <v>0</v>
      </c>
      <c r="N1352" s="24">
        <f t="shared" ref="N1352" si="2172">IF($E1352="M",$J1352,0)</f>
        <v>0</v>
      </c>
      <c r="O1352" s="24">
        <f t="shared" ref="O1352" si="2173">IF($E1352="P",$J1352,0)</f>
        <v>0</v>
      </c>
      <c r="P1352" s="24">
        <f t="shared" ref="P1352" si="2174">IF($E1352="S",$J1352,0)</f>
        <v>3750</v>
      </c>
      <c r="Q1352" s="24">
        <f t="shared" ref="Q1352" si="2175">SUM(M1352:P1352)</f>
        <v>3750</v>
      </c>
      <c r="R1352" s="90">
        <v>911</v>
      </c>
      <c r="T1352" s="235" t="str">
        <f t="shared" ref="T1352:T1355" si="2176">IF(R1352=$U$7,"y"," ")</f>
        <v xml:space="preserve"> </v>
      </c>
      <c r="U1352" s="232"/>
    </row>
    <row r="1353" spans="1:21" s="18" customFormat="1" x14ac:dyDescent="0.25">
      <c r="A1353" s="158"/>
      <c r="B1353" s="11"/>
      <c r="C1353" s="11"/>
      <c r="D1353" s="11"/>
      <c r="E1353" s="11"/>
      <c r="F1353" s="11"/>
      <c r="G1353" s="11"/>
      <c r="H1353" s="11"/>
      <c r="I1353" s="11"/>
      <c r="J1353" s="11"/>
      <c r="K1353" s="11"/>
      <c r="L1353" s="11"/>
      <c r="M1353" s="13"/>
      <c r="N1353" s="13"/>
      <c r="O1353" s="13"/>
      <c r="P1353" s="13"/>
      <c r="Q1353" s="13"/>
      <c r="R1353" s="91"/>
      <c r="T1353" s="235" t="str">
        <f t="shared" si="2176"/>
        <v xml:space="preserve"> </v>
      </c>
      <c r="U1353" s="232"/>
    </row>
    <row r="1354" spans="1:21" s="18" customFormat="1" x14ac:dyDescent="0.25">
      <c r="A1354" s="156">
        <v>9040</v>
      </c>
      <c r="B1354" s="10" t="s">
        <v>516</v>
      </c>
      <c r="C1354" s="10" t="s">
        <v>517</v>
      </c>
      <c r="D1354" s="10"/>
      <c r="E1354" s="10"/>
      <c r="F1354" s="10"/>
      <c r="G1354" s="10"/>
      <c r="H1354" s="26">
        <f>VLOOKUP($A1354,'Model Inputs'!$A:$C,3,FALSE)</f>
        <v>112</v>
      </c>
      <c r="I1354" s="10"/>
      <c r="J1354" s="10">
        <f>SUBTOTAL(9,J1355)</f>
        <v>14000</v>
      </c>
      <c r="K1354" s="10"/>
      <c r="L1354" s="10">
        <f>MAX(L1355)</f>
        <v>112</v>
      </c>
      <c r="M1354" s="10">
        <f t="shared" ref="M1354:Q1354" si="2177">SUBTOTAL(9,M1355)</f>
        <v>0</v>
      </c>
      <c r="N1354" s="10">
        <f t="shared" si="2177"/>
        <v>0</v>
      </c>
      <c r="O1354" s="10">
        <f t="shared" si="2177"/>
        <v>0</v>
      </c>
      <c r="P1354" s="10">
        <f t="shared" si="2177"/>
        <v>14000</v>
      </c>
      <c r="Q1354" s="10">
        <f t="shared" si="2177"/>
        <v>14000</v>
      </c>
      <c r="R1354" s="92"/>
      <c r="T1354" s="235" t="str">
        <f t="shared" si="2176"/>
        <v xml:space="preserve"> </v>
      </c>
      <c r="U1354" s="232"/>
    </row>
    <row r="1355" spans="1:21" s="18" customFormat="1" x14ac:dyDescent="0.25">
      <c r="A1355" s="157"/>
      <c r="B1355" s="12"/>
      <c r="C1355" s="12" t="s">
        <v>24</v>
      </c>
      <c r="D1355" s="12" t="s">
        <v>25</v>
      </c>
      <c r="E1355" s="12" t="s">
        <v>501</v>
      </c>
      <c r="F1355" s="12">
        <v>1</v>
      </c>
      <c r="G1355" s="12">
        <v>1</v>
      </c>
      <c r="H1355" s="12">
        <f>H1354</f>
        <v>112</v>
      </c>
      <c r="I1355" s="12">
        <f>VLOOKUP(C1355,Resources!B:G,6,FALSE)</f>
        <v>125</v>
      </c>
      <c r="J1355" s="21">
        <f t="shared" ref="J1355" si="2178">(H1355/G1355)*I1355*F1355</f>
        <v>14000</v>
      </c>
      <c r="K1355" s="21">
        <f t="shared" ref="K1355" si="2179">IF(E1355="M"," ",L1355*F1355)</f>
        <v>112</v>
      </c>
      <c r="L1355" s="24">
        <f t="shared" ref="L1355" si="2180">IF(E1355="M"," ",H1355/G1355)</f>
        <v>112</v>
      </c>
      <c r="M1355" s="24">
        <f t="shared" ref="M1355" si="2181">IF($E1355="L",$J1355,0)</f>
        <v>0</v>
      </c>
      <c r="N1355" s="24">
        <f t="shared" ref="N1355" si="2182">IF($E1355="M",$J1355,0)</f>
        <v>0</v>
      </c>
      <c r="O1355" s="24">
        <f t="shared" ref="O1355" si="2183">IF($E1355="P",$J1355,0)</f>
        <v>0</v>
      </c>
      <c r="P1355" s="24">
        <f t="shared" ref="P1355" si="2184">IF($E1355="S",$J1355,0)</f>
        <v>14000</v>
      </c>
      <c r="Q1355" s="24">
        <f t="shared" ref="Q1355" si="2185">SUM(M1355:P1355)</f>
        <v>14000</v>
      </c>
      <c r="R1355" s="90">
        <v>911</v>
      </c>
      <c r="T1355" s="235" t="str">
        <f t="shared" si="2176"/>
        <v xml:space="preserve"> </v>
      </c>
      <c r="U1355" s="232"/>
    </row>
    <row r="1356" spans="1:21" s="18" customFormat="1" x14ac:dyDescent="0.25">
      <c r="A1356" s="162"/>
      <c r="B1356" s="5"/>
      <c r="C1356" s="8"/>
      <c r="D1356" s="5"/>
      <c r="E1356" s="5"/>
      <c r="F1356" s="11"/>
      <c r="G1356" s="11"/>
      <c r="H1356" s="11"/>
      <c r="I1356" s="11"/>
      <c r="J1356" s="11"/>
      <c r="K1356" s="11"/>
      <c r="L1356" s="11"/>
      <c r="M1356" s="13"/>
      <c r="N1356" s="13"/>
      <c r="O1356" s="13"/>
      <c r="P1356" s="13"/>
      <c r="Q1356" s="13"/>
      <c r="R1356" s="58"/>
      <c r="T1356" s="232"/>
      <c r="U1356" s="23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0"/>
  <sheetViews>
    <sheetView topLeftCell="A36" workbookViewId="0">
      <selection activeCell="B41" sqref="B41"/>
    </sheetView>
  </sheetViews>
  <sheetFormatPr defaultColWidth="9.140625" defaultRowHeight="11.25" x14ac:dyDescent="0.2"/>
  <cols>
    <col min="1" max="1" width="9.140625" style="44"/>
    <col min="2" max="2" width="23.7109375" style="41" bestFit="1" customWidth="1"/>
    <col min="3" max="3" width="50.7109375" style="42" customWidth="1"/>
    <col min="4" max="4" width="7.5703125" style="43" customWidth="1"/>
    <col min="5" max="5" width="6.28515625" style="45" bestFit="1" customWidth="1"/>
    <col min="6" max="6" width="8.85546875" style="45" bestFit="1" customWidth="1"/>
    <col min="7" max="7" width="12.140625" style="41" customWidth="1"/>
    <col min="8" max="16384" width="9.140625" style="40"/>
  </cols>
  <sheetData>
    <row r="1" spans="1:7" ht="12" thickBot="1" x14ac:dyDescent="0.25">
      <c r="A1" s="126"/>
      <c r="B1" s="127" t="s">
        <v>2</v>
      </c>
      <c r="C1" s="128" t="s">
        <v>432</v>
      </c>
      <c r="D1" s="129" t="s">
        <v>470</v>
      </c>
      <c r="E1" s="130" t="s">
        <v>3</v>
      </c>
      <c r="F1" s="130" t="s">
        <v>433</v>
      </c>
      <c r="G1" s="131" t="s">
        <v>476</v>
      </c>
    </row>
    <row r="2" spans="1:7" ht="48" customHeight="1" thickBot="1" x14ac:dyDescent="0.25">
      <c r="A2" s="132" t="s">
        <v>523</v>
      </c>
      <c r="B2" s="133" t="s">
        <v>477</v>
      </c>
      <c r="C2" s="134" t="s">
        <v>434</v>
      </c>
      <c r="D2" s="135" t="s">
        <v>497</v>
      </c>
      <c r="E2" s="136"/>
      <c r="F2" s="136"/>
      <c r="G2" s="137">
        <v>605.28</v>
      </c>
    </row>
    <row r="3" spans="1:7" ht="11.25" customHeight="1" x14ac:dyDescent="0.2">
      <c r="A3" s="263" t="s">
        <v>519</v>
      </c>
      <c r="B3" s="94" t="s">
        <v>8</v>
      </c>
      <c r="C3" s="95" t="s">
        <v>8</v>
      </c>
      <c r="D3" s="96" t="s">
        <v>498</v>
      </c>
      <c r="E3" s="94" t="s">
        <v>26</v>
      </c>
      <c r="F3" s="94" t="s">
        <v>435</v>
      </c>
      <c r="G3" s="97">
        <v>51.9</v>
      </c>
    </row>
    <row r="4" spans="1:7" x14ac:dyDescent="0.2">
      <c r="A4" s="264"/>
      <c r="B4" s="98" t="s">
        <v>21</v>
      </c>
      <c r="C4" s="99" t="s">
        <v>436</v>
      </c>
      <c r="D4" s="100" t="s">
        <v>498</v>
      </c>
      <c r="E4" s="98" t="s">
        <v>20</v>
      </c>
      <c r="F4" s="98" t="s">
        <v>435</v>
      </c>
      <c r="G4" s="101">
        <v>3250</v>
      </c>
    </row>
    <row r="5" spans="1:7" x14ac:dyDescent="0.2">
      <c r="A5" s="264"/>
      <c r="B5" s="98" t="s">
        <v>19</v>
      </c>
      <c r="C5" s="99" t="s">
        <v>19</v>
      </c>
      <c r="D5" s="100" t="s">
        <v>498</v>
      </c>
      <c r="E5" s="98" t="s">
        <v>20</v>
      </c>
      <c r="F5" s="98" t="s">
        <v>435</v>
      </c>
      <c r="G5" s="101">
        <v>3350</v>
      </c>
    </row>
    <row r="6" spans="1:7" x14ac:dyDescent="0.2">
      <c r="A6" s="264"/>
      <c r="B6" s="98" t="s">
        <v>35</v>
      </c>
      <c r="C6" s="99" t="s">
        <v>437</v>
      </c>
      <c r="D6" s="100" t="s">
        <v>498</v>
      </c>
      <c r="E6" s="98" t="s">
        <v>26</v>
      </c>
      <c r="F6" s="98" t="s">
        <v>435</v>
      </c>
      <c r="G6" s="101">
        <v>185</v>
      </c>
    </row>
    <row r="7" spans="1:7" x14ac:dyDescent="0.2">
      <c r="A7" s="264"/>
      <c r="B7" s="98" t="s">
        <v>265</v>
      </c>
      <c r="C7" s="99" t="s">
        <v>438</v>
      </c>
      <c r="D7" s="100" t="s">
        <v>498</v>
      </c>
      <c r="E7" s="98" t="s">
        <v>26</v>
      </c>
      <c r="F7" s="98" t="s">
        <v>435</v>
      </c>
      <c r="G7" s="101">
        <v>65</v>
      </c>
    </row>
    <row r="8" spans="1:7" ht="12" thickBot="1" x14ac:dyDescent="0.25">
      <c r="A8" s="264"/>
      <c r="B8" s="98" t="s">
        <v>43</v>
      </c>
      <c r="C8" s="99" t="s">
        <v>439</v>
      </c>
      <c r="D8" s="100" t="s">
        <v>498</v>
      </c>
      <c r="E8" s="98" t="s">
        <v>20</v>
      </c>
      <c r="F8" s="98" t="s">
        <v>435</v>
      </c>
      <c r="G8" s="101">
        <v>3200</v>
      </c>
    </row>
    <row r="9" spans="1:7" ht="11.25" customHeight="1" x14ac:dyDescent="0.2">
      <c r="A9" s="261" t="s">
        <v>520</v>
      </c>
      <c r="B9" s="102" t="s">
        <v>327</v>
      </c>
      <c r="C9" s="103"/>
      <c r="D9" s="104" t="s">
        <v>499</v>
      </c>
      <c r="E9" s="102" t="s">
        <v>32</v>
      </c>
      <c r="F9" s="102" t="s">
        <v>435</v>
      </c>
      <c r="G9" s="105">
        <v>8</v>
      </c>
    </row>
    <row r="10" spans="1:7" x14ac:dyDescent="0.2">
      <c r="A10" s="262"/>
      <c r="B10" s="106" t="s">
        <v>166</v>
      </c>
      <c r="C10" s="107"/>
      <c r="D10" s="108" t="s">
        <v>499</v>
      </c>
      <c r="E10" s="106" t="s">
        <v>32</v>
      </c>
      <c r="F10" s="106" t="s">
        <v>435</v>
      </c>
      <c r="G10" s="109">
        <v>83.4</v>
      </c>
    </row>
    <row r="11" spans="1:7" x14ac:dyDescent="0.2">
      <c r="A11" s="262"/>
      <c r="B11" s="106" t="s">
        <v>478</v>
      </c>
      <c r="C11" s="107"/>
      <c r="D11" s="108" t="s">
        <v>499</v>
      </c>
      <c r="E11" s="106" t="s">
        <v>32</v>
      </c>
      <c r="F11" s="106" t="s">
        <v>435</v>
      </c>
      <c r="G11" s="109">
        <v>102.9</v>
      </c>
    </row>
    <row r="12" spans="1:7" x14ac:dyDescent="0.2">
      <c r="A12" s="262"/>
      <c r="B12" s="106" t="s">
        <v>339</v>
      </c>
      <c r="C12" s="107"/>
      <c r="D12" s="108" t="s">
        <v>499</v>
      </c>
      <c r="E12" s="106" t="s">
        <v>32</v>
      </c>
      <c r="F12" s="106" t="s">
        <v>435</v>
      </c>
      <c r="G12" s="109">
        <v>3</v>
      </c>
    </row>
    <row r="13" spans="1:7" x14ac:dyDescent="0.2">
      <c r="A13" s="262"/>
      <c r="B13" s="106" t="s">
        <v>479</v>
      </c>
      <c r="C13" s="107"/>
      <c r="D13" s="108" t="s">
        <v>499</v>
      </c>
      <c r="E13" s="106" t="s">
        <v>32</v>
      </c>
      <c r="F13" s="106" t="s">
        <v>435</v>
      </c>
      <c r="G13" s="109">
        <v>215.2</v>
      </c>
    </row>
    <row r="14" spans="1:7" x14ac:dyDescent="0.2">
      <c r="A14" s="262"/>
      <c r="B14" s="106" t="s">
        <v>480</v>
      </c>
      <c r="C14" s="107" t="s">
        <v>440</v>
      </c>
      <c r="D14" s="108" t="s">
        <v>499</v>
      </c>
      <c r="E14" s="106" t="s">
        <v>100</v>
      </c>
      <c r="F14" s="106" t="s">
        <v>435</v>
      </c>
      <c r="G14" s="109">
        <v>31.6</v>
      </c>
    </row>
    <row r="15" spans="1:7" x14ac:dyDescent="0.2">
      <c r="A15" s="262"/>
      <c r="B15" s="106" t="s">
        <v>103</v>
      </c>
      <c r="C15" s="107" t="s">
        <v>441</v>
      </c>
      <c r="D15" s="108" t="s">
        <v>499</v>
      </c>
      <c r="E15" s="106" t="s">
        <v>100</v>
      </c>
      <c r="F15" s="106" t="s">
        <v>435</v>
      </c>
      <c r="G15" s="109">
        <v>32.5</v>
      </c>
    </row>
    <row r="16" spans="1:7" x14ac:dyDescent="0.2">
      <c r="A16" s="262"/>
      <c r="B16" s="106" t="s">
        <v>198</v>
      </c>
      <c r="C16" s="107" t="s">
        <v>442</v>
      </c>
      <c r="D16" s="108" t="s">
        <v>499</v>
      </c>
      <c r="E16" s="106" t="s">
        <v>100</v>
      </c>
      <c r="F16" s="106" t="s">
        <v>435</v>
      </c>
      <c r="G16" s="109">
        <v>33.75</v>
      </c>
    </row>
    <row r="17" spans="1:7" x14ac:dyDescent="0.2">
      <c r="A17" s="262"/>
      <c r="B17" s="106" t="s">
        <v>481</v>
      </c>
      <c r="C17" s="107" t="s">
        <v>443</v>
      </c>
      <c r="D17" s="108" t="s">
        <v>499</v>
      </c>
      <c r="E17" s="106" t="s">
        <v>100</v>
      </c>
      <c r="F17" s="106" t="s">
        <v>435</v>
      </c>
      <c r="G17" s="109">
        <v>450</v>
      </c>
    </row>
    <row r="18" spans="1:7" x14ac:dyDescent="0.2">
      <c r="A18" s="262"/>
      <c r="B18" s="106" t="s">
        <v>482</v>
      </c>
      <c r="C18" s="107" t="s">
        <v>444</v>
      </c>
      <c r="D18" s="108" t="s">
        <v>499</v>
      </c>
      <c r="E18" s="106" t="s">
        <v>31</v>
      </c>
      <c r="F18" s="106" t="s">
        <v>435</v>
      </c>
      <c r="G18" s="109">
        <v>15</v>
      </c>
    </row>
    <row r="19" spans="1:7" x14ac:dyDescent="0.2">
      <c r="A19" s="262"/>
      <c r="B19" s="106" t="s">
        <v>167</v>
      </c>
      <c r="C19" s="107"/>
      <c r="D19" s="108" t="s">
        <v>499</v>
      </c>
      <c r="E19" s="106" t="s">
        <v>100</v>
      </c>
      <c r="F19" s="106" t="s">
        <v>435</v>
      </c>
      <c r="G19" s="109">
        <v>25.5</v>
      </c>
    </row>
    <row r="20" spans="1:7" x14ac:dyDescent="0.2">
      <c r="A20" s="262"/>
      <c r="B20" s="106" t="s">
        <v>328</v>
      </c>
      <c r="C20" s="107"/>
      <c r="D20" s="108" t="s">
        <v>499</v>
      </c>
      <c r="E20" s="106" t="s">
        <v>32</v>
      </c>
      <c r="F20" s="106" t="s">
        <v>435</v>
      </c>
      <c r="G20" s="109">
        <v>0.11</v>
      </c>
    </row>
    <row r="21" spans="1:7" x14ac:dyDescent="0.2">
      <c r="A21" s="262"/>
      <c r="B21" s="106" t="s">
        <v>182</v>
      </c>
      <c r="C21" s="107"/>
      <c r="D21" s="108" t="s">
        <v>499</v>
      </c>
      <c r="E21" s="106" t="s">
        <v>32</v>
      </c>
      <c r="F21" s="106" t="s">
        <v>435</v>
      </c>
      <c r="G21" s="109">
        <v>5</v>
      </c>
    </row>
    <row r="22" spans="1:7" x14ac:dyDescent="0.2">
      <c r="A22" s="262"/>
      <c r="B22" s="106" t="s">
        <v>181</v>
      </c>
      <c r="C22" s="107"/>
      <c r="D22" s="108" t="s">
        <v>499</v>
      </c>
      <c r="E22" s="106" t="s">
        <v>109</v>
      </c>
      <c r="F22" s="106" t="s">
        <v>435</v>
      </c>
      <c r="G22" s="109">
        <v>10</v>
      </c>
    </row>
    <row r="23" spans="1:7" x14ac:dyDescent="0.2">
      <c r="A23" s="262"/>
      <c r="B23" s="106" t="s">
        <v>146</v>
      </c>
      <c r="C23" s="107" t="s">
        <v>445</v>
      </c>
      <c r="D23" s="108" t="s">
        <v>499</v>
      </c>
      <c r="E23" s="106" t="s">
        <v>100</v>
      </c>
      <c r="F23" s="106" t="s">
        <v>435</v>
      </c>
      <c r="G23" s="109">
        <v>35</v>
      </c>
    </row>
    <row r="24" spans="1:7" x14ac:dyDescent="0.2">
      <c r="A24" s="262"/>
      <c r="B24" s="106" t="s">
        <v>151</v>
      </c>
      <c r="C24" s="107"/>
      <c r="D24" s="108" t="s">
        <v>499</v>
      </c>
      <c r="E24" s="106" t="s">
        <v>31</v>
      </c>
      <c r="F24" s="106" t="s">
        <v>435</v>
      </c>
      <c r="G24" s="109">
        <v>50</v>
      </c>
    </row>
    <row r="25" spans="1:7" x14ac:dyDescent="0.2">
      <c r="A25" s="262"/>
      <c r="B25" s="106" t="s">
        <v>174</v>
      </c>
      <c r="C25" s="107" t="s">
        <v>446</v>
      </c>
      <c r="D25" s="108" t="s">
        <v>499</v>
      </c>
      <c r="E25" s="106" t="s">
        <v>31</v>
      </c>
      <c r="F25" s="106" t="s">
        <v>435</v>
      </c>
      <c r="G25" s="109">
        <v>365</v>
      </c>
    </row>
    <row r="26" spans="1:7" x14ac:dyDescent="0.2">
      <c r="A26" s="262"/>
      <c r="B26" s="106" t="s">
        <v>329</v>
      </c>
      <c r="C26" s="107"/>
      <c r="D26" s="108" t="s">
        <v>499</v>
      </c>
      <c r="E26" s="106" t="s">
        <v>32</v>
      </c>
      <c r="F26" s="106" t="s">
        <v>435</v>
      </c>
      <c r="G26" s="109">
        <v>2.7</v>
      </c>
    </row>
    <row r="27" spans="1:7" x14ac:dyDescent="0.2">
      <c r="A27" s="262"/>
      <c r="B27" s="106" t="s">
        <v>338</v>
      </c>
      <c r="C27" s="107" t="s">
        <v>447</v>
      </c>
      <c r="D27" s="108" t="s">
        <v>499</v>
      </c>
      <c r="E27" s="106" t="s">
        <v>180</v>
      </c>
      <c r="F27" s="106" t="s">
        <v>435</v>
      </c>
      <c r="G27" s="109">
        <v>309</v>
      </c>
    </row>
    <row r="28" spans="1:7" x14ac:dyDescent="0.2">
      <c r="A28" s="262"/>
      <c r="B28" s="106" t="s">
        <v>194</v>
      </c>
      <c r="C28" s="107"/>
      <c r="D28" s="108" t="s">
        <v>499</v>
      </c>
      <c r="E28" s="106" t="s">
        <v>180</v>
      </c>
      <c r="F28" s="106" t="s">
        <v>435</v>
      </c>
      <c r="G28" s="109">
        <v>325</v>
      </c>
    </row>
    <row r="29" spans="1:7" x14ac:dyDescent="0.2">
      <c r="A29" s="262"/>
      <c r="B29" s="106" t="s">
        <v>483</v>
      </c>
      <c r="C29" s="107"/>
      <c r="D29" s="108" t="s">
        <v>499</v>
      </c>
      <c r="E29" s="106" t="s">
        <v>32</v>
      </c>
      <c r="F29" s="106" t="s">
        <v>435</v>
      </c>
      <c r="G29" s="109">
        <v>2</v>
      </c>
    </row>
    <row r="30" spans="1:7" x14ac:dyDescent="0.2">
      <c r="A30" s="262"/>
      <c r="B30" s="106" t="s">
        <v>196</v>
      </c>
      <c r="C30" s="107"/>
      <c r="D30" s="108" t="s">
        <v>499</v>
      </c>
      <c r="E30" s="106" t="s">
        <v>32</v>
      </c>
      <c r="F30" s="106" t="s">
        <v>435</v>
      </c>
      <c r="G30" s="109">
        <v>935</v>
      </c>
    </row>
    <row r="31" spans="1:7" x14ac:dyDescent="0.2">
      <c r="A31" s="262"/>
      <c r="B31" s="106" t="s">
        <v>246</v>
      </c>
      <c r="C31" s="107"/>
      <c r="D31" s="108" t="s">
        <v>499</v>
      </c>
      <c r="E31" s="106" t="s">
        <v>31</v>
      </c>
      <c r="F31" s="106" t="s">
        <v>435</v>
      </c>
      <c r="G31" s="109">
        <v>247.5</v>
      </c>
    </row>
    <row r="32" spans="1:7" x14ac:dyDescent="0.2">
      <c r="A32" s="262"/>
      <c r="B32" s="106" t="s">
        <v>337</v>
      </c>
      <c r="C32" s="107"/>
      <c r="D32" s="108" t="s">
        <v>499</v>
      </c>
      <c r="E32" s="106" t="s">
        <v>31</v>
      </c>
      <c r="F32" s="106" t="s">
        <v>435</v>
      </c>
      <c r="G32" s="109">
        <v>425</v>
      </c>
    </row>
    <row r="33" spans="1:7" x14ac:dyDescent="0.2">
      <c r="A33" s="262"/>
      <c r="B33" s="106" t="s">
        <v>321</v>
      </c>
      <c r="C33" s="107" t="s">
        <v>321</v>
      </c>
      <c r="D33" s="108" t="s">
        <v>499</v>
      </c>
      <c r="E33" s="106" t="s">
        <v>180</v>
      </c>
      <c r="F33" s="106" t="s">
        <v>435</v>
      </c>
      <c r="G33" s="109">
        <v>309</v>
      </c>
    </row>
    <row r="34" spans="1:7" x14ac:dyDescent="0.2">
      <c r="A34" s="262"/>
      <c r="B34" s="106" t="s">
        <v>189</v>
      </c>
      <c r="C34" s="107" t="s">
        <v>448</v>
      </c>
      <c r="D34" s="108" t="s">
        <v>499</v>
      </c>
      <c r="E34" s="106" t="s">
        <v>100</v>
      </c>
      <c r="F34" s="106" t="s">
        <v>435</v>
      </c>
      <c r="G34" s="109">
        <v>28</v>
      </c>
    </row>
    <row r="35" spans="1:7" x14ac:dyDescent="0.2">
      <c r="A35" s="262"/>
      <c r="B35" s="106" t="s">
        <v>154</v>
      </c>
      <c r="C35" s="107"/>
      <c r="D35" s="108" t="s">
        <v>499</v>
      </c>
      <c r="E35" s="106" t="s">
        <v>31</v>
      </c>
      <c r="F35" s="106" t="s">
        <v>435</v>
      </c>
      <c r="G35" s="109">
        <v>140</v>
      </c>
    </row>
    <row r="36" spans="1:7" x14ac:dyDescent="0.2">
      <c r="A36" s="262"/>
      <c r="B36" s="106" t="s">
        <v>484</v>
      </c>
      <c r="C36" s="107"/>
      <c r="D36" s="108" t="s">
        <v>499</v>
      </c>
      <c r="E36" s="106" t="s">
        <v>18</v>
      </c>
      <c r="F36" s="106" t="s">
        <v>435</v>
      </c>
      <c r="G36" s="109">
        <v>1</v>
      </c>
    </row>
    <row r="37" spans="1:7" x14ac:dyDescent="0.2">
      <c r="A37" s="262"/>
      <c r="B37" s="106" t="s">
        <v>191</v>
      </c>
      <c r="C37" s="107"/>
      <c r="D37" s="108" t="s">
        <v>499</v>
      </c>
      <c r="E37" s="106" t="s">
        <v>100</v>
      </c>
      <c r="F37" s="106" t="s">
        <v>435</v>
      </c>
      <c r="G37" s="109">
        <v>2200</v>
      </c>
    </row>
    <row r="38" spans="1:7" ht="12" thickBot="1" x14ac:dyDescent="0.25">
      <c r="A38" s="262"/>
      <c r="B38" s="106" t="s">
        <v>485</v>
      </c>
      <c r="C38" s="107"/>
      <c r="D38" s="108" t="s">
        <v>499</v>
      </c>
      <c r="E38" s="106" t="s">
        <v>31</v>
      </c>
      <c r="F38" s="106" t="s">
        <v>435</v>
      </c>
      <c r="G38" s="109">
        <v>780</v>
      </c>
    </row>
    <row r="39" spans="1:7" ht="11.25" customHeight="1" x14ac:dyDescent="0.2">
      <c r="A39" s="261" t="s">
        <v>521</v>
      </c>
      <c r="B39" s="110" t="s">
        <v>82</v>
      </c>
      <c r="C39" s="111" t="s">
        <v>449</v>
      </c>
      <c r="D39" s="112" t="s">
        <v>500</v>
      </c>
      <c r="E39" s="110" t="s">
        <v>26</v>
      </c>
      <c r="F39" s="110" t="s">
        <v>435</v>
      </c>
      <c r="G39" s="113">
        <v>95</v>
      </c>
    </row>
    <row r="40" spans="1:7" x14ac:dyDescent="0.2">
      <c r="A40" s="262"/>
      <c r="B40" s="114" t="s">
        <v>486</v>
      </c>
      <c r="C40" s="115" t="s">
        <v>450</v>
      </c>
      <c r="D40" s="116" t="s">
        <v>500</v>
      </c>
      <c r="E40" s="114" t="s">
        <v>26</v>
      </c>
      <c r="F40" s="114" t="s">
        <v>435</v>
      </c>
      <c r="G40" s="117">
        <v>46.5</v>
      </c>
    </row>
    <row r="41" spans="1:7" x14ac:dyDescent="0.2">
      <c r="A41" s="262"/>
      <c r="B41" s="114" t="s">
        <v>487</v>
      </c>
      <c r="C41" s="115" t="s">
        <v>451</v>
      </c>
      <c r="D41" s="116" t="s">
        <v>500</v>
      </c>
      <c r="E41" s="114" t="s">
        <v>26</v>
      </c>
      <c r="F41" s="114" t="s">
        <v>435</v>
      </c>
      <c r="G41" s="117">
        <v>66.069999999999993</v>
      </c>
    </row>
    <row r="42" spans="1:7" x14ac:dyDescent="0.2">
      <c r="A42" s="262"/>
      <c r="B42" s="114" t="s">
        <v>203</v>
      </c>
      <c r="C42" s="115"/>
      <c r="D42" s="116" t="s">
        <v>500</v>
      </c>
      <c r="E42" s="114" t="s">
        <v>26</v>
      </c>
      <c r="F42" s="114" t="s">
        <v>435</v>
      </c>
      <c r="G42" s="117">
        <v>175</v>
      </c>
    </row>
    <row r="43" spans="1:7" x14ac:dyDescent="0.2">
      <c r="A43" s="262"/>
      <c r="B43" s="114" t="s">
        <v>488</v>
      </c>
      <c r="C43" s="115" t="s">
        <v>452</v>
      </c>
      <c r="D43" s="116" t="s">
        <v>500</v>
      </c>
      <c r="E43" s="114" t="s">
        <v>20</v>
      </c>
      <c r="F43" s="114" t="s">
        <v>435</v>
      </c>
      <c r="G43" s="117">
        <v>1750</v>
      </c>
    </row>
    <row r="44" spans="1:7" x14ac:dyDescent="0.2">
      <c r="A44" s="262"/>
      <c r="B44" s="114" t="s">
        <v>489</v>
      </c>
      <c r="C44" s="115"/>
      <c r="D44" s="116" t="s">
        <v>500</v>
      </c>
      <c r="E44" s="114" t="s">
        <v>20</v>
      </c>
      <c r="F44" s="114" t="s">
        <v>435</v>
      </c>
      <c r="G44" s="117">
        <v>277</v>
      </c>
    </row>
    <row r="45" spans="1:7" x14ac:dyDescent="0.2">
      <c r="A45" s="262"/>
      <c r="B45" s="114" t="s">
        <v>70</v>
      </c>
      <c r="C45" s="115" t="s">
        <v>453</v>
      </c>
      <c r="D45" s="116" t="s">
        <v>500</v>
      </c>
      <c r="E45" s="114" t="s">
        <v>26</v>
      </c>
      <c r="F45" s="114" t="s">
        <v>435</v>
      </c>
      <c r="G45" s="117">
        <v>135</v>
      </c>
    </row>
    <row r="46" spans="1:7" x14ac:dyDescent="0.2">
      <c r="A46" s="262"/>
      <c r="B46" s="114" t="s">
        <v>22</v>
      </c>
      <c r="C46" s="115"/>
      <c r="D46" s="116" t="s">
        <v>500</v>
      </c>
      <c r="E46" s="114" t="s">
        <v>23</v>
      </c>
      <c r="F46" s="114" t="s">
        <v>435</v>
      </c>
      <c r="G46" s="117">
        <v>1</v>
      </c>
    </row>
    <row r="47" spans="1:7" x14ac:dyDescent="0.2">
      <c r="A47" s="262"/>
      <c r="B47" s="114" t="s">
        <v>78</v>
      </c>
      <c r="C47" s="115" t="s">
        <v>454</v>
      </c>
      <c r="D47" s="116" t="s">
        <v>500</v>
      </c>
      <c r="E47" s="114" t="s">
        <v>26</v>
      </c>
      <c r="F47" s="114" t="s">
        <v>435</v>
      </c>
      <c r="G47" s="117">
        <v>160</v>
      </c>
    </row>
    <row r="48" spans="1:7" x14ac:dyDescent="0.2">
      <c r="A48" s="262"/>
      <c r="B48" s="114" t="s">
        <v>727</v>
      </c>
      <c r="C48" s="115" t="s">
        <v>726</v>
      </c>
      <c r="D48" s="116" t="s">
        <v>500</v>
      </c>
      <c r="E48" s="114" t="s">
        <v>25</v>
      </c>
      <c r="F48" s="114" t="s">
        <v>435</v>
      </c>
      <c r="G48" s="117">
        <v>1500</v>
      </c>
    </row>
    <row r="49" spans="1:7" x14ac:dyDescent="0.2">
      <c r="A49" s="262"/>
      <c r="B49" s="114" t="s">
        <v>490</v>
      </c>
      <c r="C49" s="115" t="s">
        <v>455</v>
      </c>
      <c r="D49" s="116" t="s">
        <v>500</v>
      </c>
      <c r="E49" s="114" t="s">
        <v>26</v>
      </c>
      <c r="F49" s="114" t="s">
        <v>435</v>
      </c>
      <c r="G49" s="117">
        <v>55</v>
      </c>
    </row>
    <row r="50" spans="1:7" x14ac:dyDescent="0.2">
      <c r="A50" s="262"/>
      <c r="B50" s="114" t="s">
        <v>77</v>
      </c>
      <c r="C50" s="115" t="s">
        <v>456</v>
      </c>
      <c r="D50" s="116" t="s">
        <v>500</v>
      </c>
      <c r="E50" s="114" t="s">
        <v>25</v>
      </c>
      <c r="F50" s="114" t="s">
        <v>435</v>
      </c>
      <c r="G50" s="117">
        <v>365</v>
      </c>
    </row>
    <row r="51" spans="1:7" x14ac:dyDescent="0.2">
      <c r="A51" s="262"/>
      <c r="B51" s="114" t="s">
        <v>81</v>
      </c>
      <c r="C51" s="115"/>
      <c r="D51" s="116" t="s">
        <v>500</v>
      </c>
      <c r="E51" s="114" t="s">
        <v>26</v>
      </c>
      <c r="F51" s="114" t="s">
        <v>435</v>
      </c>
      <c r="G51" s="117">
        <v>58</v>
      </c>
    </row>
    <row r="52" spans="1:7" x14ac:dyDescent="0.2">
      <c r="A52" s="262"/>
      <c r="B52" s="114" t="s">
        <v>89</v>
      </c>
      <c r="C52" s="115" t="s">
        <v>457</v>
      </c>
      <c r="D52" s="116" t="s">
        <v>500</v>
      </c>
      <c r="E52" s="114" t="s">
        <v>26</v>
      </c>
      <c r="F52" s="114" t="s">
        <v>435</v>
      </c>
      <c r="G52" s="117">
        <v>55</v>
      </c>
    </row>
    <row r="53" spans="1:7" x14ac:dyDescent="0.2">
      <c r="A53" s="262"/>
      <c r="B53" s="114" t="s">
        <v>491</v>
      </c>
      <c r="C53" s="115" t="s">
        <v>458</v>
      </c>
      <c r="D53" s="116" t="s">
        <v>500</v>
      </c>
      <c r="E53" s="114" t="s">
        <v>31</v>
      </c>
      <c r="F53" s="114" t="s">
        <v>435</v>
      </c>
      <c r="G53" s="117">
        <v>60</v>
      </c>
    </row>
    <row r="54" spans="1:7" x14ac:dyDescent="0.2">
      <c r="A54" s="262"/>
      <c r="B54" s="114" t="s">
        <v>27</v>
      </c>
      <c r="C54" s="115" t="s">
        <v>459</v>
      </c>
      <c r="D54" s="116" t="s">
        <v>500</v>
      </c>
      <c r="E54" s="114" t="s">
        <v>26</v>
      </c>
      <c r="F54" s="114" t="s">
        <v>435</v>
      </c>
      <c r="G54" s="117">
        <v>90</v>
      </c>
    </row>
    <row r="55" spans="1:7" x14ac:dyDescent="0.2">
      <c r="A55" s="262"/>
      <c r="B55" s="114" t="s">
        <v>492</v>
      </c>
      <c r="C55" s="115" t="s">
        <v>460</v>
      </c>
      <c r="D55" s="116" t="s">
        <v>500</v>
      </c>
      <c r="E55" s="114" t="s">
        <v>26</v>
      </c>
      <c r="F55" s="114" t="s">
        <v>435</v>
      </c>
      <c r="G55" s="117">
        <v>21.61</v>
      </c>
    </row>
    <row r="56" spans="1:7" ht="12" thickBot="1" x14ac:dyDescent="0.25">
      <c r="A56" s="262"/>
      <c r="B56" s="114" t="s">
        <v>28</v>
      </c>
      <c r="C56" s="115" t="s">
        <v>461</v>
      </c>
      <c r="D56" s="116" t="s">
        <v>500</v>
      </c>
      <c r="E56" s="114" t="s">
        <v>26</v>
      </c>
      <c r="F56" s="114" t="s">
        <v>435</v>
      </c>
      <c r="G56" s="117">
        <v>95</v>
      </c>
    </row>
    <row r="57" spans="1:7" ht="11.25" customHeight="1" x14ac:dyDescent="0.2">
      <c r="A57" s="261" t="s">
        <v>522</v>
      </c>
      <c r="B57" s="118" t="s">
        <v>126</v>
      </c>
      <c r="C57" s="119"/>
      <c r="D57" s="120" t="s">
        <v>501</v>
      </c>
      <c r="E57" s="118" t="s">
        <v>100</v>
      </c>
      <c r="F57" s="118" t="s">
        <v>435</v>
      </c>
      <c r="G57" s="121">
        <v>313.35000000000002</v>
      </c>
    </row>
    <row r="58" spans="1:7" x14ac:dyDescent="0.2">
      <c r="A58" s="262"/>
      <c r="B58" s="122" t="s">
        <v>317</v>
      </c>
      <c r="C58" s="123"/>
      <c r="D58" s="124" t="s">
        <v>501</v>
      </c>
      <c r="E58" s="122" t="s">
        <v>100</v>
      </c>
      <c r="F58" s="122" t="s">
        <v>435</v>
      </c>
      <c r="G58" s="125">
        <v>277.27999999999997</v>
      </c>
    </row>
    <row r="59" spans="1:7" x14ac:dyDescent="0.2">
      <c r="A59" s="262"/>
      <c r="B59" s="122" t="s">
        <v>24</v>
      </c>
      <c r="C59" s="123" t="s">
        <v>462</v>
      </c>
      <c r="D59" s="124" t="s">
        <v>501</v>
      </c>
      <c r="E59" s="122" t="s">
        <v>25</v>
      </c>
      <c r="F59" s="122" t="s">
        <v>435</v>
      </c>
      <c r="G59" s="125">
        <v>125</v>
      </c>
    </row>
    <row r="60" spans="1:7" x14ac:dyDescent="0.2">
      <c r="A60" s="262"/>
      <c r="B60" s="122" t="s">
        <v>40</v>
      </c>
      <c r="C60" s="123" t="s">
        <v>463</v>
      </c>
      <c r="D60" s="124" t="s">
        <v>501</v>
      </c>
      <c r="E60" s="122" t="s">
        <v>18</v>
      </c>
      <c r="F60" s="122" t="s">
        <v>435</v>
      </c>
      <c r="G60" s="125">
        <v>1</v>
      </c>
    </row>
    <row r="61" spans="1:7" x14ac:dyDescent="0.2">
      <c r="A61" s="262"/>
      <c r="B61" s="122" t="s">
        <v>53</v>
      </c>
      <c r="C61" s="123"/>
      <c r="D61" s="124" t="s">
        <v>501</v>
      </c>
      <c r="E61" s="122" t="s">
        <v>31</v>
      </c>
      <c r="F61" s="122" t="s">
        <v>435</v>
      </c>
      <c r="G61" s="125">
        <v>400</v>
      </c>
    </row>
    <row r="62" spans="1:7" x14ac:dyDescent="0.2">
      <c r="A62" s="262"/>
      <c r="B62" s="122" t="s">
        <v>193</v>
      </c>
      <c r="C62" s="123" t="s">
        <v>464</v>
      </c>
      <c r="D62" s="124" t="s">
        <v>501</v>
      </c>
      <c r="E62" s="122" t="s">
        <v>109</v>
      </c>
      <c r="F62" s="122" t="s">
        <v>435</v>
      </c>
      <c r="G62" s="125">
        <v>45</v>
      </c>
    </row>
    <row r="63" spans="1:7" x14ac:dyDescent="0.2">
      <c r="A63" s="262"/>
      <c r="B63" s="122" t="s">
        <v>56</v>
      </c>
      <c r="C63" s="123"/>
      <c r="D63" s="124" t="s">
        <v>501</v>
      </c>
      <c r="E63" s="122" t="s">
        <v>31</v>
      </c>
      <c r="F63" s="122" t="s">
        <v>435</v>
      </c>
      <c r="G63" s="125">
        <v>45</v>
      </c>
    </row>
    <row r="64" spans="1:7" x14ac:dyDescent="0.2">
      <c r="A64" s="262"/>
      <c r="B64" s="122" t="s">
        <v>51</v>
      </c>
      <c r="C64" s="123" t="s">
        <v>465</v>
      </c>
      <c r="D64" s="124" t="s">
        <v>501</v>
      </c>
      <c r="E64" s="122" t="s">
        <v>52</v>
      </c>
      <c r="F64" s="122" t="s">
        <v>435</v>
      </c>
      <c r="G64" s="125">
        <v>2</v>
      </c>
    </row>
    <row r="65" spans="1:7" x14ac:dyDescent="0.2">
      <c r="A65" s="262"/>
      <c r="B65" s="122" t="s">
        <v>63</v>
      </c>
      <c r="C65" s="123"/>
      <c r="D65" s="124" t="s">
        <v>501</v>
      </c>
      <c r="E65" s="122" t="s">
        <v>31</v>
      </c>
      <c r="F65" s="122" t="s">
        <v>435</v>
      </c>
      <c r="G65" s="125">
        <v>390</v>
      </c>
    </row>
    <row r="66" spans="1:7" x14ac:dyDescent="0.2">
      <c r="A66" s="262"/>
      <c r="B66" s="122" t="s">
        <v>722</v>
      </c>
      <c r="C66" s="123" t="s">
        <v>724</v>
      </c>
      <c r="D66" s="124" t="s">
        <v>501</v>
      </c>
      <c r="E66" s="122" t="s">
        <v>180</v>
      </c>
      <c r="F66" s="122" t="s">
        <v>435</v>
      </c>
      <c r="G66" s="125">
        <v>8</v>
      </c>
    </row>
    <row r="67" spans="1:7" x14ac:dyDescent="0.2">
      <c r="A67" s="262"/>
      <c r="B67" s="122" t="s">
        <v>159</v>
      </c>
      <c r="C67" s="123" t="s">
        <v>466</v>
      </c>
      <c r="D67" s="124" t="s">
        <v>501</v>
      </c>
      <c r="E67" s="122" t="s">
        <v>32</v>
      </c>
      <c r="F67" s="122" t="s">
        <v>435</v>
      </c>
      <c r="G67" s="125">
        <v>7000</v>
      </c>
    </row>
    <row r="68" spans="1:7" x14ac:dyDescent="0.2">
      <c r="A68" s="262"/>
      <c r="B68" s="122" t="s">
        <v>142</v>
      </c>
      <c r="C68" s="123"/>
      <c r="D68" s="124" t="s">
        <v>501</v>
      </c>
      <c r="E68" s="122" t="s">
        <v>109</v>
      </c>
      <c r="F68" s="122" t="s">
        <v>435</v>
      </c>
      <c r="G68" s="125">
        <v>0.85</v>
      </c>
    </row>
    <row r="69" spans="1:7" x14ac:dyDescent="0.2">
      <c r="A69" s="262"/>
      <c r="B69" s="122" t="s">
        <v>322</v>
      </c>
      <c r="C69" s="123"/>
      <c r="D69" s="124" t="s">
        <v>501</v>
      </c>
      <c r="E69" s="122" t="s">
        <v>32</v>
      </c>
      <c r="F69" s="122" t="s">
        <v>435</v>
      </c>
      <c r="G69" s="125">
        <v>45</v>
      </c>
    </row>
    <row r="70" spans="1:7" x14ac:dyDescent="0.2">
      <c r="A70" s="262"/>
      <c r="B70" s="122" t="s">
        <v>353</v>
      </c>
      <c r="C70" s="123"/>
      <c r="D70" s="124" t="s">
        <v>501</v>
      </c>
      <c r="E70" s="122" t="s">
        <v>109</v>
      </c>
      <c r="F70" s="122" t="s">
        <v>435</v>
      </c>
      <c r="G70" s="125">
        <v>1</v>
      </c>
    </row>
    <row r="71" spans="1:7" x14ac:dyDescent="0.2">
      <c r="A71" s="262"/>
      <c r="B71" s="122" t="s">
        <v>108</v>
      </c>
      <c r="C71" s="123"/>
      <c r="D71" s="124" t="s">
        <v>501</v>
      </c>
      <c r="E71" s="122" t="s">
        <v>109</v>
      </c>
      <c r="F71" s="122" t="s">
        <v>435</v>
      </c>
      <c r="G71" s="125">
        <v>4.9000000000000004</v>
      </c>
    </row>
    <row r="72" spans="1:7" x14ac:dyDescent="0.2">
      <c r="A72" s="262"/>
      <c r="B72" s="122" t="s">
        <v>116</v>
      </c>
      <c r="C72" s="123"/>
      <c r="D72" s="124" t="s">
        <v>501</v>
      </c>
      <c r="E72" s="122" t="s">
        <v>109</v>
      </c>
      <c r="F72" s="122" t="s">
        <v>435</v>
      </c>
      <c r="G72" s="125">
        <v>5.82</v>
      </c>
    </row>
    <row r="73" spans="1:7" x14ac:dyDescent="0.2">
      <c r="A73" s="262"/>
      <c r="B73" s="122" t="s">
        <v>493</v>
      </c>
      <c r="C73" s="123"/>
      <c r="D73" s="124" t="s">
        <v>501</v>
      </c>
      <c r="E73" s="122" t="s">
        <v>18</v>
      </c>
      <c r="F73" s="122" t="s">
        <v>435</v>
      </c>
      <c r="G73" s="125">
        <v>1</v>
      </c>
    </row>
    <row r="74" spans="1:7" x14ac:dyDescent="0.2">
      <c r="A74" s="262"/>
      <c r="B74" s="122" t="s">
        <v>121</v>
      </c>
      <c r="C74" s="123"/>
      <c r="D74" s="124" t="s">
        <v>501</v>
      </c>
      <c r="E74" s="122" t="s">
        <v>109</v>
      </c>
      <c r="F74" s="122" t="s">
        <v>435</v>
      </c>
      <c r="G74" s="125">
        <v>3.61</v>
      </c>
    </row>
    <row r="75" spans="1:7" x14ac:dyDescent="0.2">
      <c r="A75" s="262"/>
      <c r="B75" s="122" t="s">
        <v>44</v>
      </c>
      <c r="C75" s="123"/>
      <c r="D75" s="124" t="s">
        <v>501</v>
      </c>
      <c r="E75" s="122" t="s">
        <v>26</v>
      </c>
      <c r="F75" s="122" t="s">
        <v>435</v>
      </c>
      <c r="G75" s="125">
        <v>200</v>
      </c>
    </row>
    <row r="76" spans="1:7" x14ac:dyDescent="0.2">
      <c r="A76" s="262"/>
      <c r="B76" s="122" t="s">
        <v>192</v>
      </c>
      <c r="C76" s="123"/>
      <c r="D76" s="124" t="s">
        <v>501</v>
      </c>
      <c r="E76" s="122" t="s">
        <v>100</v>
      </c>
      <c r="F76" s="122" t="s">
        <v>435</v>
      </c>
      <c r="G76" s="125">
        <v>2200</v>
      </c>
    </row>
    <row r="77" spans="1:7" x14ac:dyDescent="0.2">
      <c r="A77" s="262"/>
      <c r="B77" s="122" t="s">
        <v>283</v>
      </c>
      <c r="C77" s="123" t="s">
        <v>467</v>
      </c>
      <c r="D77" s="124" t="s">
        <v>501</v>
      </c>
      <c r="E77" s="122" t="s">
        <v>100</v>
      </c>
      <c r="F77" s="122" t="s">
        <v>435</v>
      </c>
      <c r="G77" s="125">
        <v>15</v>
      </c>
    </row>
    <row r="78" spans="1:7" x14ac:dyDescent="0.2">
      <c r="A78" s="262"/>
      <c r="B78" s="122" t="s">
        <v>266</v>
      </c>
      <c r="C78" s="123" t="s">
        <v>468</v>
      </c>
      <c r="D78" s="124" t="s">
        <v>501</v>
      </c>
      <c r="E78" s="122" t="s">
        <v>26</v>
      </c>
      <c r="F78" s="122" t="s">
        <v>435</v>
      </c>
      <c r="G78" s="125">
        <v>130</v>
      </c>
    </row>
    <row r="79" spans="1:7" x14ac:dyDescent="0.2">
      <c r="A79" s="262"/>
      <c r="B79" s="122" t="s">
        <v>494</v>
      </c>
      <c r="C79" s="123" t="s">
        <v>469</v>
      </c>
      <c r="D79" s="124" t="s">
        <v>501</v>
      </c>
      <c r="E79" s="122" t="s">
        <v>32</v>
      </c>
      <c r="F79" s="122" t="s">
        <v>435</v>
      </c>
      <c r="G79" s="125">
        <v>130</v>
      </c>
    </row>
    <row r="80" spans="1:7" ht="12" thickBot="1" x14ac:dyDescent="0.25">
      <c r="A80" s="265"/>
      <c r="B80" s="138" t="s">
        <v>495</v>
      </c>
      <c r="C80" s="139"/>
      <c r="D80" s="140" t="s">
        <v>501</v>
      </c>
      <c r="E80" s="138" t="s">
        <v>18</v>
      </c>
      <c r="F80" s="138" t="s">
        <v>435</v>
      </c>
      <c r="G80" s="141">
        <v>1000</v>
      </c>
    </row>
  </sheetData>
  <mergeCells count="4">
    <mergeCell ref="A9:A38"/>
    <mergeCell ref="A3:A8"/>
    <mergeCell ref="A57:A80"/>
    <mergeCell ref="A39:A5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81"/>
  <sheetViews>
    <sheetView topLeftCell="A273" zoomScaleNormal="100" workbookViewId="0">
      <selection activeCell="D262" sqref="D262"/>
    </sheetView>
  </sheetViews>
  <sheetFormatPr defaultRowHeight="15" x14ac:dyDescent="0.25"/>
  <cols>
    <col min="1" max="1" width="9.140625" style="48"/>
    <col min="2" max="2" width="56.7109375" style="49" customWidth="1"/>
    <col min="3" max="3" width="16" style="56" customWidth="1"/>
    <col min="4" max="5" width="9.140625" style="50"/>
    <col min="6" max="6" width="9.140625" style="34"/>
  </cols>
  <sheetData>
    <row r="1" spans="1:6" s="46" customFormat="1" x14ac:dyDescent="0.25">
      <c r="A1" s="52" t="s">
        <v>503</v>
      </c>
      <c r="B1" s="53" t="s">
        <v>524</v>
      </c>
      <c r="C1" s="55" t="s">
        <v>525</v>
      </c>
      <c r="D1" s="54" t="s">
        <v>526</v>
      </c>
      <c r="E1" s="54" t="s">
        <v>527</v>
      </c>
      <c r="F1" s="47"/>
    </row>
    <row r="2" spans="1:6" ht="45" x14ac:dyDescent="0.25">
      <c r="A2" s="48">
        <v>5</v>
      </c>
      <c r="B2" s="49" t="str">
        <f>VLOOKUP(A2,Estimate!A:C,3,FALSE)</f>
        <v>Schedule A - Roadworks Dysart Bypass Road Widening Preliminaries - Site establishment, Provision for Workplace Health &amp; Safety, Site Cleanup and Dis-establishment</v>
      </c>
      <c r="C2" s="56">
        <v>1</v>
      </c>
      <c r="D2" s="50" t="s">
        <v>502</v>
      </c>
      <c r="E2" s="50" t="str">
        <f>VLOOKUP(A2,Estimate!A:D,4,FALSE)</f>
        <v xml:space="preserve">Item </v>
      </c>
    </row>
    <row r="3" spans="1:6" ht="45" x14ac:dyDescent="0.25">
      <c r="A3" s="48">
        <v>6</v>
      </c>
      <c r="B3" s="49" t="str">
        <f>VLOOKUP(A3,Estimate!A:C,3,FALSE)</f>
        <v>Provision for Traffic and Safety including an approved Traffic Management Plan required by Council prior to commencement of site works.</v>
      </c>
      <c r="C3" s="56">
        <v>1</v>
      </c>
      <c r="D3" s="50" t="s">
        <v>502</v>
      </c>
      <c r="E3" s="50" t="str">
        <f>VLOOKUP(A3,Estimate!A:D,4,FALSE)</f>
        <v xml:space="preserve">Item </v>
      </c>
    </row>
    <row r="4" spans="1:6" x14ac:dyDescent="0.25">
      <c r="A4" s="48">
        <v>7</v>
      </c>
      <c r="B4" s="49" t="str">
        <f>VLOOKUP(A4,Estimate!A:C,3,FALSE)</f>
        <v>Construction Setout by Contractor</v>
      </c>
      <c r="C4" s="56">
        <v>1</v>
      </c>
      <c r="D4" s="50" t="s">
        <v>502</v>
      </c>
      <c r="E4" s="50" t="str">
        <f>VLOOKUP(A4,Estimate!A:D,4,FALSE)</f>
        <v xml:space="preserve">Item </v>
      </c>
    </row>
    <row r="5" spans="1:6" ht="30" x14ac:dyDescent="0.25">
      <c r="A5" s="48">
        <v>8</v>
      </c>
      <c r="B5" s="49" t="str">
        <f>VLOOKUP(A5,Estimate!A:C,3,FALSE)</f>
        <v>Provision of evidence of Public Liability Insurance ($10 million), and Workers Compensation Insurance for the works.</v>
      </c>
      <c r="C5" s="56">
        <v>1</v>
      </c>
      <c r="D5" s="50" t="s">
        <v>502</v>
      </c>
      <c r="E5" s="50" t="str">
        <f>VLOOKUP(A5,Estimate!A:D,4,FALSE)</f>
        <v xml:space="preserve">Item </v>
      </c>
    </row>
    <row r="6" spans="1:6" ht="30" x14ac:dyDescent="0.25">
      <c r="A6" s="48">
        <v>9</v>
      </c>
      <c r="B6" s="49" t="str">
        <f>VLOOKUP(A6,Estimate!A:C,3,FALSE)</f>
        <v>Locate Existing Services (Dial-Before-You-Dig, CapVac Truck etc) as required in existing road reserves</v>
      </c>
      <c r="C6" s="56">
        <v>1</v>
      </c>
      <c r="D6" s="50" t="s">
        <v>502</v>
      </c>
      <c r="E6" s="50" t="str">
        <f>VLOOKUP(A6,Estimate!A:D,4,FALSE)</f>
        <v xml:space="preserve">Item </v>
      </c>
    </row>
    <row r="7" spans="1:6" x14ac:dyDescent="0.25">
      <c r="A7" s="48">
        <v>10</v>
      </c>
      <c r="B7" s="49" t="str">
        <f>VLOOKUP(A7,Estimate!A:C,3,FALSE)</f>
        <v>As Constructed Survey Data to Council Requirements.</v>
      </c>
      <c r="C7" s="56">
        <v>1</v>
      </c>
      <c r="D7" s="50" t="s">
        <v>502</v>
      </c>
      <c r="E7" s="50" t="str">
        <f>VLOOKUP(A7,Estimate!A:D,4,FALSE)</f>
        <v xml:space="preserve">Item </v>
      </c>
    </row>
    <row r="8" spans="1:6" ht="45" x14ac:dyDescent="0.25">
      <c r="A8" s="48">
        <v>11</v>
      </c>
      <c r="B8" s="49" t="str">
        <f>VLOOKUP(A8,Estimate!A:C,3,FALSE)</f>
        <v>Geotechnical Testing by NATA Registered laboratory - Subgrade CBR tests ("soaked" 4 day, 4 point) (allow 3 confirmation tests on final subgrade for pavement design)</v>
      </c>
      <c r="C8" s="56">
        <v>3</v>
      </c>
      <c r="D8" s="50" t="s">
        <v>502</v>
      </c>
      <c r="E8" s="50" t="str">
        <f>VLOOKUP(A8,Estimate!A:D,4,FALSE)</f>
        <v xml:space="preserve"> No  </v>
      </c>
    </row>
    <row r="9" spans="1:6" x14ac:dyDescent="0.25">
      <c r="A9" s="48">
        <v>12</v>
      </c>
      <c r="B9" s="49" t="str">
        <f>VLOOKUP(A9,Estimate!A:C,3,FALSE)</f>
        <v>Subgrade Compaction testing as specified</v>
      </c>
      <c r="C9" s="56">
        <v>28</v>
      </c>
      <c r="D9" s="50" t="s">
        <v>502</v>
      </c>
      <c r="E9" s="50" t="str">
        <f>VLOOKUP(A9,Estimate!A:D,4,FALSE)</f>
        <v xml:space="preserve"> No  </v>
      </c>
    </row>
    <row r="10" spans="1:6" x14ac:dyDescent="0.25">
      <c r="A10" s="48">
        <v>13</v>
      </c>
      <c r="B10" s="49" t="str">
        <f>VLOOKUP(A10,Estimate!A:C,3,FALSE)</f>
        <v>Sub-Base Compaction testing as specified - assume 1 layer</v>
      </c>
      <c r="C10" s="56">
        <v>28</v>
      </c>
      <c r="D10" s="50" t="s">
        <v>502</v>
      </c>
      <c r="E10" s="50" t="str">
        <f>VLOOKUP(A10,Estimate!A:D,4,FALSE)</f>
        <v xml:space="preserve"> No  </v>
      </c>
    </row>
    <row r="11" spans="1:6" x14ac:dyDescent="0.25">
      <c r="A11" s="48">
        <v>14</v>
      </c>
      <c r="B11" s="49" t="str">
        <f>VLOOKUP(A11,Estimate!A:C,3,FALSE)</f>
        <v>Base Compaction testing as specified</v>
      </c>
      <c r="C11" s="56">
        <v>28</v>
      </c>
      <c r="D11" s="50" t="s">
        <v>502</v>
      </c>
      <c r="E11" s="50" t="str">
        <f>VLOOKUP(A11,Estimate!A:D,4,FALSE)</f>
        <v xml:space="preserve"> No  </v>
      </c>
    </row>
    <row r="12" spans="1:6" ht="30" x14ac:dyDescent="0.25">
      <c r="A12" s="48">
        <v>15</v>
      </c>
      <c r="B12" s="49" t="str">
        <f>VLOOKUP(A12,Estimate!A:C,3,FALSE)</f>
        <v>Sub-Base Quality Testing as specified; Full Atterbergs and grading plus full Quarry Stockpile results  - assume 1 layer</v>
      </c>
      <c r="C12" s="56">
        <v>2</v>
      </c>
      <c r="D12" s="50" t="s">
        <v>502</v>
      </c>
      <c r="E12" s="50" t="str">
        <f>VLOOKUP(A12,Estimate!A:D,4,FALSE)</f>
        <v xml:space="preserve"> No  </v>
      </c>
    </row>
    <row r="13" spans="1:6" ht="30" x14ac:dyDescent="0.25">
      <c r="A13" s="48">
        <v>16</v>
      </c>
      <c r="B13" s="49" t="str">
        <f>VLOOKUP(A13,Estimate!A:C,3,FALSE)</f>
        <v>Base Quality Testing as specified; Full Atterbergs and grading plus full Quarry Stockpile results.</v>
      </c>
      <c r="C13" s="56">
        <v>2</v>
      </c>
      <c r="D13" s="50" t="s">
        <v>502</v>
      </c>
      <c r="E13" s="50" t="str">
        <f>VLOOKUP(A13,Estimate!A:D,4,FALSE)</f>
        <v xml:space="preserve"> No  </v>
      </c>
    </row>
    <row r="14" spans="1:6" x14ac:dyDescent="0.25">
      <c r="A14" s="48">
        <v>17</v>
      </c>
      <c r="B14" s="49" t="str">
        <f>VLOOKUP(A14,Estimate!A:C,3,FALSE)</f>
        <v>Culvert Trench Backfilling - Compaction Tests as ordered</v>
      </c>
      <c r="C14" s="56">
        <v>11</v>
      </c>
      <c r="D14" s="50" t="s">
        <v>502</v>
      </c>
      <c r="E14" s="50" t="str">
        <f>VLOOKUP(A14,Estimate!A:D,4,FALSE)</f>
        <v xml:space="preserve"> No  </v>
      </c>
    </row>
    <row r="15" spans="1:6" ht="30" x14ac:dyDescent="0.25">
      <c r="A15" s="48">
        <v>18</v>
      </c>
      <c r="B15" s="49" t="str">
        <f>VLOOKUP(A15,Estimate!A:C,3,FALSE)</f>
        <v>Clearing &amp; Grubbing and complete offsite disposal of Spoil inclusive of Dump Fees as required.</v>
      </c>
      <c r="C15" s="56">
        <v>1</v>
      </c>
      <c r="D15" s="50" t="s">
        <v>502</v>
      </c>
      <c r="E15" s="50" t="str">
        <f>VLOOKUP(A15,Estimate!A:D,4,FALSE)</f>
        <v xml:space="preserve">Item </v>
      </c>
    </row>
    <row r="16" spans="1:6" x14ac:dyDescent="0.25">
      <c r="A16" s="48">
        <v>18.100000000000001</v>
      </c>
      <c r="B16" s="49" t="str">
        <f>VLOOKUP(A16,Estimate!A:C,3,FALSE)</f>
        <v>Area to be stripped</v>
      </c>
      <c r="C16" s="56">
        <v>16000</v>
      </c>
      <c r="D16" s="50" t="s">
        <v>500</v>
      </c>
      <c r="E16" s="50">
        <f>VLOOKUP(A16,Estimate!A:D,4,FALSE)</f>
        <v>0</v>
      </c>
    </row>
    <row r="17" spans="1:5" x14ac:dyDescent="0.25">
      <c r="A17" s="48">
        <v>18.2</v>
      </c>
      <c r="B17" s="49" t="str">
        <f>VLOOKUP(A17,Estimate!A:C,3,FALSE)</f>
        <v>Excavator - 25T</v>
      </c>
      <c r="C17" s="56">
        <v>60</v>
      </c>
      <c r="D17" s="50" t="s">
        <v>500</v>
      </c>
      <c r="E17" s="50" t="str">
        <f>VLOOKUP(A17,Estimate!A:D,4,FALSE)</f>
        <v xml:space="preserve">hr   </v>
      </c>
    </row>
    <row r="18" spans="1:5" ht="75" x14ac:dyDescent="0.25">
      <c r="A18" s="48">
        <v>19</v>
      </c>
      <c r="B18" s="49" t="str">
        <f>VLOOKUP(A18,Estimate!A:C,3,FALSE)</f>
        <v>Earthworks - excavate and place as embankment as directed - Cut to fill - Ch 18 to Ch 2801 to achieve boxed out widening of existing road x 350mm deep - refer type cross section (total of  2804 m3 of Cut and 225 m3 of Fill)  balance of cut material will be spoiled at IRC Tip</v>
      </c>
      <c r="C18" s="56">
        <v>2804</v>
      </c>
      <c r="D18" s="50" t="s">
        <v>502</v>
      </c>
      <c r="E18" s="50" t="str">
        <f>VLOOKUP(A18,Estimate!A:D,4,FALSE)</f>
        <v xml:space="preserve">m3   </v>
      </c>
    </row>
    <row r="19" spans="1:5" x14ac:dyDescent="0.25">
      <c r="A19" s="48">
        <v>19.100000000000001</v>
      </c>
      <c r="B19" s="49" t="str">
        <f>VLOOKUP(A19,Estimate!A:C,3,FALSE)</f>
        <v>Excavator - 25T</v>
      </c>
      <c r="C19" s="56">
        <v>50</v>
      </c>
      <c r="D19" s="50" t="s">
        <v>500</v>
      </c>
      <c r="E19" s="50" t="str">
        <f>VLOOKUP(A19,Estimate!A:D,4,FALSE)</f>
        <v xml:space="preserve">hr   </v>
      </c>
    </row>
    <row r="20" spans="1:5" ht="30" x14ac:dyDescent="0.25">
      <c r="A20" s="48">
        <v>20</v>
      </c>
      <c r="B20" s="49" t="str">
        <f>VLOOKUP(A20,Estimate!A:C,3,FALSE)</f>
        <v>Remove isolated soft spots in subgrade as ordered and replace with Selected Spoil material - Provisional Item</v>
      </c>
      <c r="C20" s="56">
        <v>40</v>
      </c>
      <c r="D20" s="50" t="s">
        <v>502</v>
      </c>
      <c r="E20" s="50" t="str">
        <f>VLOOKUP(A20,Estimate!A:D,4,FALSE)</f>
        <v xml:space="preserve">m3   </v>
      </c>
    </row>
    <row r="21" spans="1:5" x14ac:dyDescent="0.25">
      <c r="A21" s="48">
        <v>20.100000000000001</v>
      </c>
      <c r="B21" s="49" t="str">
        <f>VLOOKUP(A21,Estimate!A:C,3,FALSE)</f>
        <v>Excavator - 25T</v>
      </c>
      <c r="C21" s="56">
        <v>10</v>
      </c>
      <c r="D21" s="50" t="s">
        <v>500</v>
      </c>
      <c r="E21" s="50" t="str">
        <f>VLOOKUP(A21,Estimate!A:D,4,FALSE)</f>
        <v xml:space="preserve">hr   </v>
      </c>
    </row>
    <row r="22" spans="1:5" ht="60" x14ac:dyDescent="0.25">
      <c r="A22" s="48">
        <v>21</v>
      </c>
      <c r="B22" s="49" t="str">
        <f>VLOOKUP(A22,Estimate!A:C,3,FALSE)</f>
        <v>Provisional Item Allowance to excavate an additional 150mm depth to the pavement box if required over 25% of length (material to spoil at IRC Tip) - Only if ordered by the Superintendent</v>
      </c>
      <c r="C22" s="56">
        <v>423</v>
      </c>
      <c r="D22" s="50" t="s">
        <v>502</v>
      </c>
      <c r="E22" s="50" t="str">
        <f>VLOOKUP(A22,Estimate!A:D,4,FALSE)</f>
        <v xml:space="preserve">m3   </v>
      </c>
    </row>
    <row r="23" spans="1:5" x14ac:dyDescent="0.25">
      <c r="A23" s="48">
        <v>21.1</v>
      </c>
      <c r="B23" s="49" t="str">
        <f>VLOOKUP(A23,Estimate!A:C,3,FALSE)</f>
        <v>Excavator - 25T</v>
      </c>
      <c r="C23" s="56">
        <v>25</v>
      </c>
      <c r="D23" s="50" t="s">
        <v>500</v>
      </c>
      <c r="E23" s="50" t="str">
        <f>VLOOKUP(A23,Estimate!A:D,4,FALSE)</f>
        <v xml:space="preserve">hr   </v>
      </c>
    </row>
    <row r="24" spans="1:5" ht="60" x14ac:dyDescent="0.25">
      <c r="A24" s="48">
        <v>22</v>
      </c>
      <c r="B24" s="49" t="str">
        <f>VLOOKUP(A24,Estimate!A:C,3,FALSE)</f>
        <v>Prepare Subgrade Surface for Gravel Pavement &amp; for Council Inspection, (incl. provision of subgrade levels and compaction test results by Contractor) Bypass Road Widening from Ch 18 to Ch 2801</v>
      </c>
      <c r="C24" s="56">
        <v>11271</v>
      </c>
      <c r="D24" s="50" t="s">
        <v>502</v>
      </c>
      <c r="E24" s="50" t="str">
        <f>VLOOKUP(A24,Estimate!A:D,4,FALSE)</f>
        <v xml:space="preserve">m2   </v>
      </c>
    </row>
    <row r="25" spans="1:5" x14ac:dyDescent="0.25">
      <c r="A25" s="48">
        <v>22.1</v>
      </c>
      <c r="B25" s="49" t="str">
        <f>VLOOKUP(A25,Estimate!A:C,3,FALSE)</f>
        <v>Grader</v>
      </c>
      <c r="C25" s="56">
        <v>200</v>
      </c>
      <c r="D25" s="50" t="s">
        <v>500</v>
      </c>
      <c r="E25" s="50" t="str">
        <f>VLOOKUP(A25,Estimate!A:D,4,FALSE)</f>
        <v xml:space="preserve">hr   </v>
      </c>
    </row>
    <row r="26" spans="1:5" ht="45" x14ac:dyDescent="0.25">
      <c r="A26" s="48">
        <v>23</v>
      </c>
      <c r="B26" s="49" t="str">
        <f>VLOOKUP(A26,Estimate!A:C,3,FALSE)</f>
        <v>Prepare Base Gravel Surface for Primerseal &amp; for Council Inspection, incl provision of compaction test results - Bypass Road Widening Ch 18 to 2801</v>
      </c>
      <c r="C26" s="56">
        <v>7375</v>
      </c>
      <c r="D26" s="50" t="s">
        <v>502</v>
      </c>
      <c r="E26" s="50" t="str">
        <f>VLOOKUP(A26,Estimate!A:D,4,FALSE)</f>
        <v xml:space="preserve">m2   </v>
      </c>
    </row>
    <row r="27" spans="1:5" x14ac:dyDescent="0.25">
      <c r="A27" s="48">
        <v>23.1</v>
      </c>
      <c r="B27" s="49" t="str">
        <f>VLOOKUP(A27,Estimate!A:C,3,FALSE)</f>
        <v>Grader</v>
      </c>
      <c r="C27" s="56">
        <v>275</v>
      </c>
      <c r="D27" s="50" t="s">
        <v>500</v>
      </c>
      <c r="E27" s="50" t="str">
        <f>VLOOKUP(A27,Estimate!A:D,4,FALSE)</f>
        <v xml:space="preserve">hr   </v>
      </c>
    </row>
    <row r="28" spans="1:5" ht="60" x14ac:dyDescent="0.25">
      <c r="A28" s="48">
        <v>24</v>
      </c>
      <c r="B28" s="49" t="str">
        <f>VLOOKUP(A28,Estimate!A:C,3,FALSE)</f>
        <v>Gravel Pavement Base In Place complete, including supply, spreading, watering, rolling and trimming:- (a) Bypass Road Widening Ch 18 to Ch 2801 - QT Type 2.1 @ 150mm deep x widening area</v>
      </c>
      <c r="C28" s="56">
        <v>1231</v>
      </c>
      <c r="D28" s="50" t="s">
        <v>502</v>
      </c>
      <c r="E28" s="50" t="str">
        <f>VLOOKUP(A28,Estimate!A:D,4,FALSE)</f>
        <v xml:space="preserve">m3   </v>
      </c>
    </row>
    <row r="29" spans="1:5" x14ac:dyDescent="0.25">
      <c r="A29" s="48">
        <v>24.1</v>
      </c>
      <c r="B29" s="49" t="str">
        <f>VLOOKUP(A29,Estimate!A:C,3,FALSE)</f>
        <v>Grader</v>
      </c>
      <c r="C29" s="56">
        <v>66.666666666666671</v>
      </c>
      <c r="D29" s="50" t="s">
        <v>500</v>
      </c>
      <c r="E29" s="50" t="str">
        <f>VLOOKUP(A29,Estimate!A:D,4,FALSE)</f>
        <v xml:space="preserve">hr   </v>
      </c>
    </row>
    <row r="30" spans="1:5" ht="60" x14ac:dyDescent="0.25">
      <c r="A30" s="48">
        <v>25</v>
      </c>
      <c r="B30" s="49" t="str">
        <f>VLOOKUP(A30,Estimate!A:C,3,FALSE)</f>
        <v>Gravel Pavement Base In Place complete, including supply, spreading, watering, rolling and trimming:- (a) Bypass Road Widening Ch 18 to Ch 2801 -Upper Sub-Base QT Type 2.3 @ 200mm deep x widening area</v>
      </c>
      <c r="C30" s="56">
        <v>2032</v>
      </c>
      <c r="D30" s="50" t="s">
        <v>502</v>
      </c>
      <c r="E30" s="50" t="str">
        <f>VLOOKUP(A30,Estimate!A:D,4,FALSE)</f>
        <v xml:space="preserve">m3   </v>
      </c>
    </row>
    <row r="31" spans="1:5" x14ac:dyDescent="0.25">
      <c r="A31" s="48">
        <v>25.1</v>
      </c>
      <c r="B31" s="49" t="str">
        <f>VLOOKUP(A31,Estimate!A:C,3,FALSE)</f>
        <v>Grader</v>
      </c>
      <c r="C31" s="56">
        <v>66.666666666666671</v>
      </c>
      <c r="D31" s="50" t="s">
        <v>500</v>
      </c>
      <c r="E31" s="50" t="str">
        <f>VLOOKUP(A31,Estimate!A:D,4,FALSE)</f>
        <v xml:space="preserve">hr   </v>
      </c>
    </row>
    <row r="32" spans="1:5" ht="90" x14ac:dyDescent="0.25">
      <c r="A32" s="48">
        <v>26</v>
      </c>
      <c r="B32" s="49" t="str">
        <f>VLOOKUP(A32,Estimate!A:C,3,FALSE)</f>
        <v>Gravel Pavement Base In Place complete, including supply, spreading, watering, rolling and trimming:- (a) Bypass Road Widening Ch 18 to Ch 2801 - Provisional Item Allowance for Lower Sub-Base QT Type 2.5 @ 150mm deep x widening area over selected 25% of length - Only if ordered by the Superintendent</v>
      </c>
      <c r="C32" s="56">
        <v>423</v>
      </c>
      <c r="D32" s="50" t="s">
        <v>502</v>
      </c>
      <c r="E32" s="50" t="str">
        <f>VLOOKUP(A32,Estimate!A:D,4,FALSE)</f>
        <v xml:space="preserve">m3   </v>
      </c>
    </row>
    <row r="33" spans="1:5" x14ac:dyDescent="0.25">
      <c r="A33" s="48">
        <v>26.1</v>
      </c>
      <c r="B33" s="49" t="str">
        <f>VLOOKUP(A33,Estimate!A:C,3,FALSE)</f>
        <v>Grader</v>
      </c>
      <c r="C33" s="56">
        <v>44.444444444444443</v>
      </c>
      <c r="D33" s="50" t="s">
        <v>500</v>
      </c>
      <c r="E33" s="50" t="str">
        <f>VLOOKUP(A33,Estimate!A:D,4,FALSE)</f>
        <v xml:space="preserve">hr   </v>
      </c>
    </row>
    <row r="34" spans="1:5" ht="60" x14ac:dyDescent="0.25">
      <c r="A34" s="48">
        <v>27</v>
      </c>
      <c r="B34" s="49" t="str">
        <f>VLOOKUP(A34,Estimate!A:C,3,FALSE)</f>
        <v>Primerseal complete in place (10mm stone ); spray rates nominally to be 1.1 l/sqm C170 -  SEAL DESIGN TO BE CONFIRMED Bypass Road LHS Shoulder 1 metre wide Ch 510 to Ch 650</v>
      </c>
      <c r="C34" s="56">
        <v>140</v>
      </c>
      <c r="D34" s="50" t="s">
        <v>502</v>
      </c>
      <c r="E34" s="50" t="str">
        <f>VLOOKUP(A34,Estimate!A:D,4,FALSE)</f>
        <v xml:space="preserve">m2   </v>
      </c>
    </row>
    <row r="35" spans="1:5" ht="60" x14ac:dyDescent="0.25">
      <c r="A35" s="48">
        <v>28</v>
      </c>
      <c r="B35" s="49" t="str">
        <f>VLOOKUP(A35,Estimate!A:C,3,FALSE)</f>
        <v>Primerseal complete in place (10mm stone ); spray rates nominally to be 1.1 l/sqm C170 -  SEAL DESIGN TO BE CONFIRMED Bypass Road Widening plus 1 metre wide shoulder RHS Ch 510 to Ch 650</v>
      </c>
      <c r="C35" s="56">
        <v>371</v>
      </c>
      <c r="D35" s="50" t="s">
        <v>502</v>
      </c>
      <c r="E35" s="50" t="str">
        <f>VLOOKUP(A35,Estimate!A:D,4,FALSE)</f>
        <v xml:space="preserve">m2   </v>
      </c>
    </row>
    <row r="36" spans="1:5" ht="30" x14ac:dyDescent="0.25">
      <c r="A36" s="48">
        <v>29</v>
      </c>
      <c r="B36" s="49" t="str">
        <f>VLOOKUP(A36,Estimate!A:C,3,FALSE)</f>
        <v>Bypass Road 7 metre section over where New RCBC culvert placement approx Ch 600</v>
      </c>
      <c r="C36" s="56">
        <v>37</v>
      </c>
      <c r="D36" s="50" t="s">
        <v>502</v>
      </c>
      <c r="E36" s="50" t="str">
        <f>VLOOKUP(A36,Estimate!A:D,4,FALSE)</f>
        <v xml:space="preserve">m2   </v>
      </c>
    </row>
    <row r="37" spans="1:5" ht="60" x14ac:dyDescent="0.25">
      <c r="A37" s="48">
        <v>30</v>
      </c>
      <c r="B37" s="49" t="str">
        <f>VLOOKUP(A37,Estimate!A:C,3,FALSE)</f>
        <v>Bitumen Seal - First Coat complete in place (16mm primerseal ) ; spray rates nominally to be 1.6 l/sqm C170 - SHOULDER WIDENING, SEAL DESIGN TO BE CONFIRMED Bypass Road Widening Ch 18 to Ch 510</v>
      </c>
      <c r="C37" s="56">
        <v>812</v>
      </c>
      <c r="D37" s="50" t="s">
        <v>502</v>
      </c>
      <c r="E37" s="50" t="str">
        <f>VLOOKUP(A37,Estimate!A:D,4,FALSE)</f>
        <v xml:space="preserve">m2   </v>
      </c>
    </row>
    <row r="38" spans="1:5" ht="60" x14ac:dyDescent="0.25">
      <c r="A38" s="48">
        <v>31</v>
      </c>
      <c r="B38" s="49" t="str">
        <f>VLOOKUP(A38,Estimate!A:C,3,FALSE)</f>
        <v>Bitumen Seal - First Coat complete in place (16mm primerseal ) ; spray rates nominally to be 1.6 l/sqm C170 - SHOULDER WIDENING, SEAL DESIGN TO BE CONFIRMED - Bypass Road Widening Ch 650 to Ch 2801</v>
      </c>
      <c r="C38" s="56">
        <v>3549</v>
      </c>
      <c r="D38" s="50" t="s">
        <v>502</v>
      </c>
      <c r="E38" s="50" t="str">
        <f>VLOOKUP(A38,Estimate!A:D,4,FALSE)</f>
        <v xml:space="preserve">m2   </v>
      </c>
    </row>
    <row r="39" spans="1:5" ht="60" x14ac:dyDescent="0.25">
      <c r="A39" s="48">
        <v>32</v>
      </c>
      <c r="B39" s="49" t="str">
        <f>VLOOKUP(A39,Estimate!A:C,3,FALSE)</f>
        <v>Bitumen Seal - Second Coat complete in place (10mm second coat); spray rates nominally to be 1.2 l/sqm C170 - 7 METRE WIDE SEAL,  SEAL DESIGN TO BE CONFIRMED Bypass Road Widening Ch 18 to Ch 510</v>
      </c>
      <c r="C39" s="56">
        <v>3444</v>
      </c>
      <c r="D39" s="50" t="s">
        <v>502</v>
      </c>
      <c r="E39" s="50" t="str">
        <f>VLOOKUP(A39,Estimate!A:D,4,FALSE)</f>
        <v xml:space="preserve">m2   </v>
      </c>
    </row>
    <row r="40" spans="1:5" ht="60" x14ac:dyDescent="0.25">
      <c r="A40" s="48">
        <v>33</v>
      </c>
      <c r="B40" s="49" t="str">
        <f>VLOOKUP(A40,Estimate!A:C,3,FALSE)</f>
        <v>Bitumen Seal - Second Coat complete in place (10mm second coat); spray rates nominally to be 1.2 l/sqm C170 - 7 METRE WIDE SEAL,  SEAL DESIGN TO BE CONFIRMED -Bypass Road Widening Ch 650 to Ch 2801</v>
      </c>
      <c r="C40" s="56">
        <v>15057</v>
      </c>
      <c r="D40" s="50" t="s">
        <v>502</v>
      </c>
      <c r="E40" s="50" t="str">
        <f>VLOOKUP(A40,Estimate!A:D,4,FALSE)</f>
        <v xml:space="preserve">m2   </v>
      </c>
    </row>
    <row r="41" spans="1:5" ht="60" x14ac:dyDescent="0.25">
      <c r="A41" s="48">
        <v>34</v>
      </c>
      <c r="B41" s="49" t="str">
        <f>VLOOKUP(A41,Estimate!A:C,3,FALSE)</f>
        <v>DG10 Asphaltic Concrete Pavement 35mm minimum thickness - complete in place including sawcut edges and neat smooth joins - Bypass Road Floodway - Ch 510 to Ch 650 (x 9 metres wide)</v>
      </c>
      <c r="C41" s="56">
        <v>1260</v>
      </c>
      <c r="D41" s="50" t="s">
        <v>502</v>
      </c>
      <c r="E41" s="50" t="str">
        <f>VLOOKUP(A41,Estimate!A:D,4,FALSE)</f>
        <v xml:space="preserve">m2   </v>
      </c>
    </row>
    <row r="42" spans="1:5" ht="45" x14ac:dyDescent="0.25">
      <c r="A42" s="48">
        <v>35</v>
      </c>
      <c r="B42" s="49" t="str">
        <f>VLOOKUP(A42,Estimate!A:C,3,FALSE)</f>
        <v>Access Ch 826 RHS (Dysart Horse Performance Association) - Provide smooth transition between existing access and new shoulder (no pipe required; reinstate to similar)</v>
      </c>
      <c r="C42" s="56">
        <v>1</v>
      </c>
      <c r="D42" s="50" t="s">
        <v>502</v>
      </c>
      <c r="E42" s="50" t="str">
        <f>VLOOKUP(A42,Estimate!A:D,4,FALSE)</f>
        <v xml:space="preserve">Item </v>
      </c>
    </row>
    <row r="43" spans="1:5" x14ac:dyDescent="0.25">
      <c r="A43" s="48">
        <v>35.1</v>
      </c>
      <c r="B43" s="49" t="str">
        <f>VLOOKUP(A43,Estimate!A:C,3,FALSE)</f>
        <v>Grader</v>
      </c>
      <c r="C43" s="56">
        <v>0.5</v>
      </c>
      <c r="D43" s="50" t="s">
        <v>500</v>
      </c>
      <c r="E43" s="50" t="str">
        <f>VLOOKUP(A43,Estimate!A:D,4,FALSE)</f>
        <v xml:space="preserve">hr   </v>
      </c>
    </row>
    <row r="44" spans="1:5" ht="45" x14ac:dyDescent="0.25">
      <c r="A44" s="48">
        <v>36</v>
      </c>
      <c r="B44" s="49" t="str">
        <f>VLOOKUP(A44,Estimate!A:C,3,FALSE)</f>
        <v>Access Ch 1642 RHS (Cemetery Carpark Access) - Reinstate sealed driveway between New shoulder and Carpark Access (no works on culvert required); neat smooth join.</v>
      </c>
      <c r="C44" s="56">
        <v>1</v>
      </c>
      <c r="D44" s="50" t="s">
        <v>502</v>
      </c>
      <c r="E44" s="50" t="str">
        <f>VLOOKUP(A44,Estimate!A:D,4,FALSE)</f>
        <v xml:space="preserve">Item </v>
      </c>
    </row>
    <row r="45" spans="1:5" x14ac:dyDescent="0.25">
      <c r="A45" s="48">
        <v>36.1</v>
      </c>
      <c r="B45" s="49" t="str">
        <f>VLOOKUP(A45,Estimate!A:C,3,FALSE)</f>
        <v>Grader</v>
      </c>
      <c r="C45" s="56">
        <v>0.5</v>
      </c>
      <c r="D45" s="50" t="s">
        <v>500</v>
      </c>
      <c r="E45" s="50" t="str">
        <f>VLOOKUP(A45,Estimate!A:D,4,FALSE)</f>
        <v xml:space="preserve">hr   </v>
      </c>
    </row>
    <row r="46" spans="1:5" ht="45" x14ac:dyDescent="0.25">
      <c r="A46" s="48">
        <v>37</v>
      </c>
      <c r="B46" s="49" t="str">
        <f>VLOOKUP(A46,Estimate!A:C,3,FALSE)</f>
        <v>Access Ch 1660 RHS (Cemetery Access) - Reinstate sealed driveway between New shoulder and Cemetery Access (no works on culvert required); neat smooth join.</v>
      </c>
      <c r="C46" s="56">
        <v>1</v>
      </c>
      <c r="D46" s="50" t="s">
        <v>502</v>
      </c>
      <c r="E46" s="50" t="str">
        <f>VLOOKUP(A46,Estimate!A:D,4,FALSE)</f>
        <v xml:space="preserve">Item </v>
      </c>
    </row>
    <row r="47" spans="1:5" x14ac:dyDescent="0.25">
      <c r="A47" s="48">
        <v>37.1</v>
      </c>
      <c r="B47" s="49" t="str">
        <f>VLOOKUP(A47,Estimate!A:C,3,FALSE)</f>
        <v>Grader</v>
      </c>
      <c r="C47" s="56">
        <v>0.5</v>
      </c>
      <c r="D47" s="50" t="s">
        <v>500</v>
      </c>
      <c r="E47" s="50" t="str">
        <f>VLOOKUP(A47,Estimate!A:D,4,FALSE)</f>
        <v xml:space="preserve">hr   </v>
      </c>
    </row>
    <row r="48" spans="1:5" ht="30" x14ac:dyDescent="0.25">
      <c r="A48" s="48">
        <v>38</v>
      </c>
      <c r="B48" s="49" t="str">
        <f>VLOOKUP(A48,Estimate!A:C,3,FALSE)</f>
        <v>Soil Management Measures inclusive of: Prepare batters and drains for hydromulch placement</v>
      </c>
      <c r="C48" s="56">
        <v>27830</v>
      </c>
      <c r="D48" s="50" t="s">
        <v>502</v>
      </c>
      <c r="E48" s="50" t="str">
        <f>VLOOKUP(A48,Estimate!A:D,4,FALSE)</f>
        <v xml:space="preserve">m2   </v>
      </c>
    </row>
    <row r="49" spans="1:5" x14ac:dyDescent="0.25">
      <c r="A49" s="48">
        <v>38.1</v>
      </c>
      <c r="B49" s="49" t="str">
        <f>VLOOKUP(A49,Estimate!A:C,3,FALSE)</f>
        <v>Grader</v>
      </c>
      <c r="C49" s="56">
        <v>400</v>
      </c>
      <c r="D49" s="50" t="s">
        <v>500</v>
      </c>
      <c r="E49" s="50" t="str">
        <f>VLOOKUP(A49,Estimate!A:D,4,FALSE)</f>
        <v xml:space="preserve">hr   </v>
      </c>
    </row>
    <row r="50" spans="1:5" ht="30" x14ac:dyDescent="0.25">
      <c r="A50" s="48">
        <v>39</v>
      </c>
      <c r="B50" s="49" t="str">
        <f>VLOOKUP(A50,Estimate!A:C,3,FALSE)</f>
        <v>Soil Management Measures inclusive of: Hydromulch to all disturbed areas as directed (batters &amp; drains)</v>
      </c>
      <c r="C50" s="56">
        <v>27830</v>
      </c>
      <c r="D50" s="50" t="s">
        <v>502</v>
      </c>
      <c r="E50" s="50" t="str">
        <f>VLOOKUP(A50,Estimate!A:D,4,FALSE)</f>
        <v xml:space="preserve">m2   </v>
      </c>
    </row>
    <row r="51" spans="1:5" x14ac:dyDescent="0.25">
      <c r="A51" s="48">
        <v>39.1</v>
      </c>
      <c r="B51" s="49" t="str">
        <f>VLOOKUP(A51,Estimate!A:C,3,FALSE)</f>
        <v>Water Cart - Hire</v>
      </c>
      <c r="C51" s="56">
        <v>1700.7222222222222</v>
      </c>
      <c r="D51" s="50" t="s">
        <v>500</v>
      </c>
      <c r="E51" s="50" t="str">
        <f>VLOOKUP(A51,Estimate!A:D,4,FALSE)</f>
        <v xml:space="preserve">hr   </v>
      </c>
    </row>
    <row r="52" spans="1:5" ht="30" x14ac:dyDescent="0.25">
      <c r="A52" s="48">
        <v>40</v>
      </c>
      <c r="B52" s="49" t="str">
        <f>VLOOKUP(A52,Estimate!A:C,3,FALSE)</f>
        <v>Soil Management Measures inclusive of: Rock check dams as directed</v>
      </c>
      <c r="C52" s="56">
        <v>40</v>
      </c>
      <c r="D52" s="50" t="s">
        <v>502</v>
      </c>
      <c r="E52" s="50" t="str">
        <f>VLOOKUP(A52,Estimate!A:D,4,FALSE)</f>
        <v xml:space="preserve">No   </v>
      </c>
    </row>
    <row r="53" spans="1:5" x14ac:dyDescent="0.25">
      <c r="A53" s="48">
        <v>40.1</v>
      </c>
      <c r="B53" s="49" t="str">
        <f>VLOOKUP(A53,Estimate!A:C,3,FALSE)</f>
        <v>Bobcat</v>
      </c>
      <c r="C53" s="56">
        <v>3</v>
      </c>
      <c r="D53" s="50" t="s">
        <v>500</v>
      </c>
      <c r="E53" s="50" t="str">
        <f>VLOOKUP(A53,Estimate!A:D,4,FALSE)</f>
        <v xml:space="preserve">hr   </v>
      </c>
    </row>
    <row r="54" spans="1:5" ht="30" x14ac:dyDescent="0.25">
      <c r="A54" s="48">
        <v>41</v>
      </c>
      <c r="B54" s="49" t="str">
        <f>VLOOKUP(A54,Estimate!A:C,3,FALSE)</f>
        <v>Supply and Install New Guide Posts - allow new on widened side only and adjacent to end wall extensions</v>
      </c>
      <c r="C54" s="56">
        <v>40</v>
      </c>
      <c r="D54" s="50" t="s">
        <v>502</v>
      </c>
      <c r="E54" s="50" t="str">
        <f>VLOOKUP(A54,Estimate!A:D,4,FALSE)</f>
        <v xml:space="preserve">No   </v>
      </c>
    </row>
    <row r="55" spans="1:5" x14ac:dyDescent="0.25">
      <c r="A55" s="48">
        <v>42</v>
      </c>
      <c r="B55" s="49" t="str">
        <f>VLOOKUP(A55,Estimate!A:C,3,FALSE)</f>
        <v>Supply and Install Floodway Depth markers (G9-22-1A)</v>
      </c>
      <c r="C55" s="56">
        <v>2</v>
      </c>
      <c r="D55" s="50" t="s">
        <v>502</v>
      </c>
      <c r="E55" s="50" t="str">
        <f>VLOOKUP(A55,Estimate!A:D,4,FALSE)</f>
        <v xml:space="preserve">No   </v>
      </c>
    </row>
    <row r="56" spans="1:5" x14ac:dyDescent="0.25">
      <c r="A56" s="48">
        <v>42.1</v>
      </c>
      <c r="B56" s="49" t="str">
        <f>VLOOKUP(A56,Estimate!A:C,3,FALSE)</f>
        <v>Bobcat</v>
      </c>
      <c r="C56" s="56">
        <v>1</v>
      </c>
      <c r="D56" s="50" t="s">
        <v>500</v>
      </c>
      <c r="E56" s="50" t="str">
        <f>VLOOKUP(A56,Estimate!A:D,4,FALSE)</f>
        <v xml:space="preserve">hr   </v>
      </c>
    </row>
    <row r="57" spans="1:5" x14ac:dyDescent="0.25">
      <c r="A57" s="48">
        <v>43</v>
      </c>
      <c r="B57" s="49" t="str">
        <f>VLOOKUP(A57,Estimate!A:C,3,FALSE)</f>
        <v>Remove Signs for widening and reinstate</v>
      </c>
      <c r="C57" s="56">
        <v>1</v>
      </c>
      <c r="D57" s="50" t="s">
        <v>502</v>
      </c>
      <c r="E57" s="50" t="str">
        <f>VLOOKUP(A57,Estimate!A:D,4,FALSE)</f>
        <v xml:space="preserve">Item </v>
      </c>
    </row>
    <row r="58" spans="1:5" x14ac:dyDescent="0.25">
      <c r="A58" s="48">
        <v>43.1</v>
      </c>
      <c r="B58" s="49" t="str">
        <f>VLOOKUP(A58,Estimate!A:C,3,FALSE)</f>
        <v>Bobcat</v>
      </c>
      <c r="C58" s="56">
        <v>1</v>
      </c>
      <c r="D58" s="50" t="s">
        <v>500</v>
      </c>
      <c r="E58" s="50" t="str">
        <f>VLOOKUP(A58,Estimate!A:D,4,FALSE)</f>
        <v xml:space="preserve">hr   </v>
      </c>
    </row>
    <row r="59" spans="1:5" ht="60" x14ac:dyDescent="0.25">
      <c r="A59" s="48">
        <v>44</v>
      </c>
      <c r="B59" s="49" t="str">
        <f>VLOOKUP(A59,Estimate!A:C,3,FALSE)</f>
        <v>Provisional Item Guardrail as per Note 5 on plan 842-R02 allow (3 lengths of Armoc ® 'W' Beam type XR &amp; standard posts rammed into the ground with bull nose terminal ends) Only if ordered by Superintendent</v>
      </c>
      <c r="C59" s="56">
        <v>4</v>
      </c>
      <c r="D59" s="50" t="s">
        <v>502</v>
      </c>
      <c r="E59" s="50" t="str">
        <f>VLOOKUP(A59,Estimate!A:D,4,FALSE)</f>
        <v xml:space="preserve">No   </v>
      </c>
    </row>
    <row r="60" spans="1:5" ht="75" x14ac:dyDescent="0.25">
      <c r="A60" s="48">
        <v>45</v>
      </c>
      <c r="B60" s="49" t="str">
        <f>VLOOKUP(A60,Estimate!A:C,3,FALSE)</f>
        <v>Schedule B - Drainage Dysart Bypass Rd: Ch 49.400 Extend 375 dia SRC Pipe Class 2, Installation to Main Roads Std Dwg 1359 - 1 x 375 dia SRC Pipe Cl 2 Complete in place, incl.  removal of existing headwall with care, excavate, sand, supply, lay and backfill.</v>
      </c>
      <c r="C60" s="56">
        <v>1.22</v>
      </c>
      <c r="D60" s="50" t="s">
        <v>502</v>
      </c>
      <c r="E60" s="50" t="str">
        <f>VLOOKUP(A60,Estimate!A:D,4,FALSE)</f>
        <v xml:space="preserve">m    </v>
      </c>
    </row>
    <row r="61" spans="1:5" x14ac:dyDescent="0.25">
      <c r="A61" s="48">
        <v>45.1</v>
      </c>
      <c r="B61" s="49" t="str">
        <f>VLOOKUP(A61,Estimate!A:C,3,FALSE)</f>
        <v>Excavator - 25T</v>
      </c>
      <c r="C61" s="56">
        <v>2.44</v>
      </c>
      <c r="D61" s="50" t="s">
        <v>500</v>
      </c>
      <c r="E61" s="50" t="str">
        <f>VLOOKUP(A61,Estimate!A:D,4,FALSE)</f>
        <v xml:space="preserve">hr   </v>
      </c>
    </row>
    <row r="62" spans="1:5" x14ac:dyDescent="0.25">
      <c r="A62" s="48">
        <v>45.2</v>
      </c>
      <c r="B62" s="49" t="str">
        <f>VLOOKUP(A62,Estimate!A:C,3,FALSE)</f>
        <v>Excavator - 25T</v>
      </c>
      <c r="C62" s="56">
        <v>1.22</v>
      </c>
      <c r="D62" s="50" t="s">
        <v>500</v>
      </c>
      <c r="E62" s="50" t="str">
        <f>VLOOKUP(A62,Estimate!A:D,4,FALSE)</f>
        <v xml:space="preserve">hr   </v>
      </c>
    </row>
    <row r="63" spans="1:5" x14ac:dyDescent="0.25">
      <c r="A63" s="48">
        <v>45.3</v>
      </c>
      <c r="B63" s="49" t="str">
        <f>VLOOKUP(A63,Estimate!A:C,3,FALSE)</f>
        <v>Excavator - 25T</v>
      </c>
      <c r="C63" s="56">
        <v>1.22</v>
      </c>
      <c r="D63" s="50" t="s">
        <v>500</v>
      </c>
      <c r="E63" s="50" t="str">
        <f>VLOOKUP(A63,Estimate!A:D,4,FALSE)</f>
        <v xml:space="preserve">hr   </v>
      </c>
    </row>
    <row r="64" spans="1:5" x14ac:dyDescent="0.25">
      <c r="A64" s="48">
        <v>45.4</v>
      </c>
      <c r="B64" s="49" t="str">
        <f>VLOOKUP(A64,Estimate!A:C,3,FALSE)</f>
        <v>Labour</v>
      </c>
      <c r="C64" s="56">
        <v>0.30499999999999999</v>
      </c>
      <c r="D64" s="50" t="s">
        <v>500</v>
      </c>
      <c r="E64" s="50" t="str">
        <f>VLOOKUP(A64,Estimate!A:D,4,FALSE)</f>
        <v xml:space="preserve">hr   </v>
      </c>
    </row>
    <row r="65" spans="1:5" ht="30" x14ac:dyDescent="0.25">
      <c r="A65" s="48">
        <v>46</v>
      </c>
      <c r="B65" s="49" t="str">
        <f>VLOOKUP(A65,Estimate!A:C,3,FALSE)</f>
        <v>1 x 375 dia Endwall , Precast Type with wings Complete in place, incl. Excavate, sand, supply and install.</v>
      </c>
      <c r="C65" s="56">
        <v>1</v>
      </c>
      <c r="D65" s="50" t="s">
        <v>502</v>
      </c>
      <c r="E65" s="50" t="str">
        <f>VLOOKUP(A65,Estimate!A:D,4,FALSE)</f>
        <v xml:space="preserve">No   </v>
      </c>
    </row>
    <row r="66" spans="1:5" x14ac:dyDescent="0.25">
      <c r="A66" s="48">
        <v>46.1</v>
      </c>
      <c r="B66" s="49" t="str">
        <f>VLOOKUP(A66,Estimate!A:C,3,FALSE)</f>
        <v>Excavator - 25T</v>
      </c>
      <c r="C66" s="56">
        <v>0.5</v>
      </c>
      <c r="D66" s="50" t="s">
        <v>500</v>
      </c>
      <c r="E66" s="50" t="str">
        <f>VLOOKUP(A66,Estimate!A:D,4,FALSE)</f>
        <v xml:space="preserve">hr   </v>
      </c>
    </row>
    <row r="67" spans="1:5" ht="60" x14ac:dyDescent="0.25">
      <c r="A67" s="48">
        <v>47</v>
      </c>
      <c r="B67" s="49" t="str">
        <f>VLOOKUP(A67,Estimate!A:C,3,FALSE)</f>
        <v>Ch 300 Extend 4/450 dia SRC Pipe Class 2, Installation to Main Roads Std Dwg 1359 - 4 x 450 SRC Pipe Cl 2 Complete in place, incl.  removal of existing Endwall with care, excavate, sand, supply, lay &amp; backfill.</v>
      </c>
      <c r="C67" s="56">
        <v>1.22</v>
      </c>
      <c r="D67" s="50" t="s">
        <v>502</v>
      </c>
      <c r="E67" s="50" t="str">
        <f>VLOOKUP(A67,Estimate!A:D,4,FALSE)</f>
        <v xml:space="preserve">m    </v>
      </c>
    </row>
    <row r="68" spans="1:5" x14ac:dyDescent="0.25">
      <c r="A68" s="48">
        <v>47.1</v>
      </c>
      <c r="B68" s="49" t="str">
        <f>VLOOKUP(A68,Estimate!A:C,3,FALSE)</f>
        <v>Excavator - 25T</v>
      </c>
      <c r="C68" s="56">
        <v>2.44</v>
      </c>
      <c r="D68" s="50" t="s">
        <v>500</v>
      </c>
      <c r="E68" s="50" t="str">
        <f>VLOOKUP(A68,Estimate!A:D,4,FALSE)</f>
        <v xml:space="preserve">hr   </v>
      </c>
    </row>
    <row r="69" spans="1:5" x14ac:dyDescent="0.25">
      <c r="A69" s="48">
        <v>47.2</v>
      </c>
      <c r="B69" s="49" t="str">
        <f>VLOOKUP(A69,Estimate!A:C,3,FALSE)</f>
        <v>Excavator - 25T</v>
      </c>
      <c r="C69" s="56">
        <v>1.22</v>
      </c>
      <c r="D69" s="50" t="s">
        <v>500</v>
      </c>
      <c r="E69" s="50" t="str">
        <f>VLOOKUP(A69,Estimate!A:D,4,FALSE)</f>
        <v xml:space="preserve">hr   </v>
      </c>
    </row>
    <row r="70" spans="1:5" x14ac:dyDescent="0.25">
      <c r="A70" s="48">
        <v>47.3</v>
      </c>
      <c r="B70" s="49" t="str">
        <f>VLOOKUP(A70,Estimate!A:C,3,FALSE)</f>
        <v>Excavator - 25T</v>
      </c>
      <c r="C70" s="56">
        <v>1.22</v>
      </c>
      <c r="D70" s="50" t="s">
        <v>500</v>
      </c>
      <c r="E70" s="50" t="str">
        <f>VLOOKUP(A70,Estimate!A:D,4,FALSE)</f>
        <v xml:space="preserve">hr   </v>
      </c>
    </row>
    <row r="71" spans="1:5" x14ac:dyDescent="0.25">
      <c r="A71" s="48">
        <v>47.4</v>
      </c>
      <c r="B71" s="49" t="str">
        <f>VLOOKUP(A71,Estimate!A:C,3,FALSE)</f>
        <v>Labour</v>
      </c>
      <c r="C71" s="56">
        <v>0.30499999999999999</v>
      </c>
      <c r="D71" s="50" t="s">
        <v>500</v>
      </c>
      <c r="E71" s="50" t="str">
        <f>VLOOKUP(A71,Estimate!A:D,4,FALSE)</f>
        <v xml:space="preserve">hr   </v>
      </c>
    </row>
    <row r="72" spans="1:5" ht="30" x14ac:dyDescent="0.25">
      <c r="A72" s="48">
        <v>48</v>
      </c>
      <c r="B72" s="49" t="str">
        <f>VLOOKUP(A72,Estimate!A:C,3,FALSE)</f>
        <v>4 x 450 Cast Insitu Endwall to Main Roads Std Dwg 1306 Complete in place, incl. Excavate, supply and construct</v>
      </c>
      <c r="C72" s="56">
        <v>1</v>
      </c>
      <c r="D72" s="50" t="s">
        <v>502</v>
      </c>
      <c r="E72" s="50" t="str">
        <f>VLOOKUP(A72,Estimate!A:D,4,FALSE)</f>
        <v xml:space="preserve">No   </v>
      </c>
    </row>
    <row r="73" spans="1:5" x14ac:dyDescent="0.25">
      <c r="A73" s="48">
        <v>48.1</v>
      </c>
      <c r="B73" s="49" t="str">
        <f>VLOOKUP(A73,Estimate!A:C,3,FALSE)</f>
        <v>Labour</v>
      </c>
      <c r="C73" s="56">
        <v>0.125</v>
      </c>
      <c r="D73" s="50" t="s">
        <v>500</v>
      </c>
      <c r="E73" s="50" t="str">
        <f>VLOOKUP(A73,Estimate!A:D,4,FALSE)</f>
        <v xml:space="preserve">hr   </v>
      </c>
    </row>
    <row r="74" spans="1:5" ht="75" x14ac:dyDescent="0.25">
      <c r="A74" s="48">
        <v>49</v>
      </c>
      <c r="B74" s="49" t="str">
        <f>VLOOKUP(A74,Estimate!A:C,3,FALSE)</f>
        <v>Ch 600 Extend 2/1800 x 600 RCBC and Add 3 New Cells 1800 x 600, Installation to Main Roads Std Dwg 1359 - Extend existing 2/1800 x 600 RCBC Complete in place, incl.  removal of existing Endwalls with care, excavate, sand, supply, lay &amp; backfill.</v>
      </c>
      <c r="C74" s="56">
        <v>2.44</v>
      </c>
      <c r="D74" s="50" t="s">
        <v>502</v>
      </c>
      <c r="E74" s="50" t="str">
        <f>VLOOKUP(A74,Estimate!A:D,4,FALSE)</f>
        <v xml:space="preserve">m    </v>
      </c>
    </row>
    <row r="75" spans="1:5" x14ac:dyDescent="0.25">
      <c r="A75" s="48">
        <v>49.1</v>
      </c>
      <c r="B75" s="49" t="str">
        <f>VLOOKUP(A75,Estimate!A:C,3,FALSE)</f>
        <v>Excavator - 25T</v>
      </c>
      <c r="C75" s="56">
        <v>0.61</v>
      </c>
      <c r="D75" s="50" t="s">
        <v>500</v>
      </c>
      <c r="E75" s="50" t="str">
        <f>VLOOKUP(A75,Estimate!A:D,4,FALSE)</f>
        <v xml:space="preserve">hr   </v>
      </c>
    </row>
    <row r="76" spans="1:5" x14ac:dyDescent="0.25">
      <c r="A76" s="48">
        <v>49.2</v>
      </c>
      <c r="B76" s="49" t="str">
        <f>VLOOKUP(A76,Estimate!A:C,3,FALSE)</f>
        <v>Excavator - 25T</v>
      </c>
      <c r="C76" s="56">
        <v>1.22</v>
      </c>
      <c r="D76" s="50" t="s">
        <v>500</v>
      </c>
      <c r="E76" s="50" t="str">
        <f>VLOOKUP(A76,Estimate!A:D,4,FALSE)</f>
        <v xml:space="preserve">hr   </v>
      </c>
    </row>
    <row r="77" spans="1:5" ht="45" x14ac:dyDescent="0.25">
      <c r="A77" s="48">
        <v>50</v>
      </c>
      <c r="B77" s="49" t="str">
        <f>VLOOKUP(A77,Estimate!A:C,3,FALSE)</f>
        <v>Install NEW 3/1800 x 600 RCBC adjacent to existing lengthened Culvert Complete in place, incl. excavate, sand, supply, lay and backfill.</v>
      </c>
      <c r="C77" s="56">
        <v>12.2</v>
      </c>
      <c r="D77" s="50" t="s">
        <v>502</v>
      </c>
      <c r="E77" s="50" t="str">
        <f>VLOOKUP(A77,Estimate!A:D,4,FALSE)</f>
        <v xml:space="preserve">m    </v>
      </c>
    </row>
    <row r="78" spans="1:5" x14ac:dyDescent="0.25">
      <c r="A78" s="48">
        <v>50.1</v>
      </c>
      <c r="B78" s="49" t="str">
        <f>VLOOKUP(A78,Estimate!A:C,3,FALSE)</f>
        <v>Excavator - 25T</v>
      </c>
      <c r="C78" s="56">
        <v>1.5249999999999999</v>
      </c>
      <c r="D78" s="50" t="s">
        <v>500</v>
      </c>
      <c r="E78" s="50" t="str">
        <f>VLOOKUP(A78,Estimate!A:D,4,FALSE)</f>
        <v xml:space="preserve">hr   </v>
      </c>
    </row>
    <row r="79" spans="1:5" x14ac:dyDescent="0.25">
      <c r="A79" s="48">
        <v>50.2</v>
      </c>
      <c r="B79" s="49" t="str">
        <f>VLOOKUP(A79,Estimate!A:C,3,FALSE)</f>
        <v>Excavator - 25T</v>
      </c>
      <c r="C79" s="56">
        <v>3.0499434609324312</v>
      </c>
      <c r="D79" s="50" t="s">
        <v>500</v>
      </c>
      <c r="E79" s="50" t="str">
        <f>VLOOKUP(A79,Estimate!A:D,4,FALSE)</f>
        <v xml:space="preserve">hr   </v>
      </c>
    </row>
    <row r="80" spans="1:5" ht="45" x14ac:dyDescent="0.25">
      <c r="A80" s="48">
        <v>51</v>
      </c>
      <c r="B80" s="49" t="str">
        <f>VLOOKUP(A80,Estimate!A:C,3,FALSE)</f>
        <v>NEW 5/1800 x 600 Cast Insitu Endwalls and Aprons to Main Roads Std Dwgs 1304 and 1371 Complete in place, incl. Excavate, supply and construct (existing to be removed)</v>
      </c>
      <c r="C80" s="56">
        <v>2</v>
      </c>
      <c r="D80" s="50" t="s">
        <v>502</v>
      </c>
      <c r="E80" s="50" t="str">
        <f>VLOOKUP(A80,Estimate!A:D,4,FALSE)</f>
        <v xml:space="preserve">No   </v>
      </c>
    </row>
    <row r="81" spans="1:5" x14ac:dyDescent="0.25">
      <c r="A81" s="48">
        <v>51.1</v>
      </c>
      <c r="B81" s="49" t="str">
        <f>VLOOKUP(A81,Estimate!A:C,3,FALSE)</f>
        <v>Labour</v>
      </c>
      <c r="C81" s="56">
        <v>1</v>
      </c>
      <c r="D81" s="50" t="s">
        <v>500</v>
      </c>
      <c r="E81" s="50" t="str">
        <f>VLOOKUP(A81,Estimate!A:D,4,FALSE)</f>
        <v xml:space="preserve">hr   </v>
      </c>
    </row>
    <row r="82" spans="1:5" ht="30" x14ac:dyDescent="0.25">
      <c r="A82" s="48">
        <v>52</v>
      </c>
      <c r="B82" s="49" t="str">
        <f>VLOOKUP(A82,Estimate!A:C,3,FALSE)</f>
        <v>Excavate inlet and outlet at 0.5% grade with 10m base width to connect to existing drains neatly and smoothly.</v>
      </c>
      <c r="C82" s="56">
        <v>1</v>
      </c>
      <c r="D82" s="50" t="s">
        <v>502</v>
      </c>
      <c r="E82" s="50" t="str">
        <f>VLOOKUP(A82,Estimate!A:D,4,FALSE)</f>
        <v xml:space="preserve">Item </v>
      </c>
    </row>
    <row r="83" spans="1:5" x14ac:dyDescent="0.25">
      <c r="A83" s="48">
        <v>52.1</v>
      </c>
      <c r="B83" s="49" t="str">
        <f>VLOOKUP(A83,Estimate!A:C,3,FALSE)</f>
        <v>Excavator - 25T</v>
      </c>
      <c r="C83" s="56">
        <v>0.16666666666666666</v>
      </c>
      <c r="D83" s="50" t="s">
        <v>500</v>
      </c>
      <c r="E83" s="50" t="str">
        <f>VLOOKUP(A83,Estimate!A:D,4,FALSE)</f>
        <v xml:space="preserve">hr   </v>
      </c>
    </row>
    <row r="84" spans="1:5" ht="45" x14ac:dyDescent="0.25">
      <c r="A84" s="48">
        <v>53</v>
      </c>
      <c r="B84" s="49" t="str">
        <f>VLOOKUP(A84,Estimate!A:C,3,FALSE)</f>
        <v>Rip Rap Rock Protection in 250mm dia rock (layer 0.5m thick) to Outlet to extend 10m past culvert end and up batters a minimum of 1m - leave neat, tidy and even surface to rock.</v>
      </c>
      <c r="C84" s="56">
        <v>1</v>
      </c>
      <c r="D84" s="50" t="s">
        <v>502</v>
      </c>
      <c r="E84" s="50" t="str">
        <f>VLOOKUP(A84,Estimate!A:D,4,FALSE)</f>
        <v xml:space="preserve">Item </v>
      </c>
    </row>
    <row r="85" spans="1:5" x14ac:dyDescent="0.25">
      <c r="A85" s="48">
        <v>53.1</v>
      </c>
      <c r="B85" s="49" t="str">
        <f>VLOOKUP(A85,Estimate!A:C,3,FALSE)</f>
        <v>Excavator - 25T</v>
      </c>
      <c r="C85" s="56">
        <v>18.75</v>
      </c>
      <c r="D85" s="50" t="s">
        <v>500</v>
      </c>
      <c r="E85" s="50" t="str">
        <f>VLOOKUP(A85,Estimate!A:D,4,FALSE)</f>
        <v xml:space="preserve">hr   </v>
      </c>
    </row>
    <row r="86" spans="1:5" ht="60" x14ac:dyDescent="0.25">
      <c r="A86" s="48">
        <v>54</v>
      </c>
      <c r="B86" s="49" t="str">
        <f>VLOOKUP(A86,Estimate!A:C,3,FALSE)</f>
        <v>Ch 800 Extend 4/450 dia SRC Pipe Class 2, Installation to Main Roads Std Dwg 1359 - 4 x 450 SRC Pipe Cl 2 Complete in place, incl. removal of existing Endwall with care, excavate, sand, supply, lay &amp; backfill.</v>
      </c>
      <c r="C86" s="56">
        <v>1.22</v>
      </c>
      <c r="D86" s="50" t="s">
        <v>502</v>
      </c>
      <c r="E86" s="50" t="str">
        <f>VLOOKUP(A86,Estimate!A:D,4,FALSE)</f>
        <v xml:space="preserve">m    </v>
      </c>
    </row>
    <row r="87" spans="1:5" x14ac:dyDescent="0.25">
      <c r="A87" s="48">
        <v>54.1</v>
      </c>
      <c r="B87" s="49" t="str">
        <f>VLOOKUP(A87,Estimate!A:C,3,FALSE)</f>
        <v>Excavator - 25T</v>
      </c>
      <c r="C87" s="56">
        <v>2.44</v>
      </c>
      <c r="D87" s="50" t="s">
        <v>500</v>
      </c>
      <c r="E87" s="50" t="str">
        <f>VLOOKUP(A87,Estimate!A:D,4,FALSE)</f>
        <v xml:space="preserve">hr   </v>
      </c>
    </row>
    <row r="88" spans="1:5" x14ac:dyDescent="0.25">
      <c r="A88" s="48">
        <v>54.2</v>
      </c>
      <c r="B88" s="49" t="str">
        <f>VLOOKUP(A88,Estimate!A:C,3,FALSE)</f>
        <v>Excavator - 25T</v>
      </c>
      <c r="C88" s="56">
        <v>1.22</v>
      </c>
      <c r="D88" s="50" t="s">
        <v>500</v>
      </c>
      <c r="E88" s="50" t="str">
        <f>VLOOKUP(A88,Estimate!A:D,4,FALSE)</f>
        <v xml:space="preserve">hr   </v>
      </c>
    </row>
    <row r="89" spans="1:5" x14ac:dyDescent="0.25">
      <c r="A89" s="48">
        <v>54.3</v>
      </c>
      <c r="B89" s="49" t="str">
        <f>VLOOKUP(A89,Estimate!A:C,3,FALSE)</f>
        <v>Excavator - 25T</v>
      </c>
      <c r="C89" s="56">
        <v>1.22</v>
      </c>
      <c r="D89" s="50" t="s">
        <v>500</v>
      </c>
      <c r="E89" s="50" t="str">
        <f>VLOOKUP(A89,Estimate!A:D,4,FALSE)</f>
        <v xml:space="preserve">hr   </v>
      </c>
    </row>
    <row r="90" spans="1:5" x14ac:dyDescent="0.25">
      <c r="A90" s="48">
        <v>54.4</v>
      </c>
      <c r="B90" s="49" t="str">
        <f>VLOOKUP(A90,Estimate!A:C,3,FALSE)</f>
        <v>Labour</v>
      </c>
      <c r="C90" s="56">
        <v>0.30499999999999999</v>
      </c>
      <c r="D90" s="50" t="s">
        <v>500</v>
      </c>
      <c r="E90" s="50" t="str">
        <f>VLOOKUP(A90,Estimate!A:D,4,FALSE)</f>
        <v xml:space="preserve">hr   </v>
      </c>
    </row>
    <row r="91" spans="1:5" ht="30" x14ac:dyDescent="0.25">
      <c r="A91" s="48">
        <v>55</v>
      </c>
      <c r="B91" s="49" t="str">
        <f>VLOOKUP(A91,Estimate!A:C,3,FALSE)</f>
        <v>4 x 450 Cast Insitu Endwall ,Main Roads Std Dwg 1306 Complete in place, incl. Excavate, supply and construct</v>
      </c>
      <c r="C91" s="56">
        <v>1</v>
      </c>
      <c r="D91" s="50" t="s">
        <v>502</v>
      </c>
      <c r="E91" s="50" t="str">
        <f>VLOOKUP(A91,Estimate!A:D,4,FALSE)</f>
        <v xml:space="preserve">No   </v>
      </c>
    </row>
    <row r="92" spans="1:5" x14ac:dyDescent="0.25">
      <c r="A92" s="48">
        <v>55.1</v>
      </c>
      <c r="B92" s="49" t="str">
        <f>VLOOKUP(A92,Estimate!A:C,3,FALSE)</f>
        <v>Labour</v>
      </c>
      <c r="C92" s="56">
        <v>0.125</v>
      </c>
      <c r="D92" s="50" t="s">
        <v>500</v>
      </c>
      <c r="E92" s="50" t="str">
        <f>VLOOKUP(A92,Estimate!A:D,4,FALSE)</f>
        <v xml:space="preserve">hr   </v>
      </c>
    </row>
    <row r="93" spans="1:5" ht="60" x14ac:dyDescent="0.25">
      <c r="A93" s="48">
        <v>56</v>
      </c>
      <c r="B93" s="49" t="str">
        <f>VLOOKUP(A93,Estimate!A:C,3,FALSE)</f>
        <v>Ch 1300 Extend 4/450 dia SRC Pipe Class 2 SRC, Installation to Main Roads STD DWG 1359 - 4 x 450 SRC Pipe Cl 2 Complete in place, incl.  removal of existing headwall with care, excavate, sand, supply, lay &amp; backfill.</v>
      </c>
      <c r="C93" s="56">
        <v>1.22</v>
      </c>
      <c r="D93" s="50" t="s">
        <v>502</v>
      </c>
      <c r="E93" s="50" t="str">
        <f>VLOOKUP(A93,Estimate!A:D,4,FALSE)</f>
        <v xml:space="preserve">m    </v>
      </c>
    </row>
    <row r="94" spans="1:5" x14ac:dyDescent="0.25">
      <c r="A94" s="48">
        <v>56.1</v>
      </c>
      <c r="B94" s="49" t="str">
        <f>VLOOKUP(A94,Estimate!A:C,3,FALSE)</f>
        <v>Excavator - 25T</v>
      </c>
      <c r="C94" s="56">
        <v>2.44</v>
      </c>
      <c r="D94" s="50" t="s">
        <v>500</v>
      </c>
      <c r="E94" s="50" t="str">
        <f>VLOOKUP(A94,Estimate!A:D,4,FALSE)</f>
        <v xml:space="preserve">hr   </v>
      </c>
    </row>
    <row r="95" spans="1:5" x14ac:dyDescent="0.25">
      <c r="A95" s="48">
        <v>56.2</v>
      </c>
      <c r="B95" s="49" t="str">
        <f>VLOOKUP(A95,Estimate!A:C,3,FALSE)</f>
        <v>Excavator - 25T</v>
      </c>
      <c r="C95" s="56">
        <v>1.22</v>
      </c>
      <c r="D95" s="50" t="s">
        <v>500</v>
      </c>
      <c r="E95" s="50" t="str">
        <f>VLOOKUP(A95,Estimate!A:D,4,FALSE)</f>
        <v xml:space="preserve">hr   </v>
      </c>
    </row>
    <row r="96" spans="1:5" x14ac:dyDescent="0.25">
      <c r="A96" s="48">
        <v>56.3</v>
      </c>
      <c r="B96" s="49" t="str">
        <f>VLOOKUP(A96,Estimate!A:C,3,FALSE)</f>
        <v>Excavator - 25T</v>
      </c>
      <c r="C96" s="56">
        <v>1.22</v>
      </c>
      <c r="D96" s="50" t="s">
        <v>500</v>
      </c>
      <c r="E96" s="50" t="str">
        <f>VLOOKUP(A96,Estimate!A:D,4,FALSE)</f>
        <v xml:space="preserve">hr   </v>
      </c>
    </row>
    <row r="97" spans="1:5" x14ac:dyDescent="0.25">
      <c r="A97" s="48">
        <v>56.4</v>
      </c>
      <c r="B97" s="49" t="str">
        <f>VLOOKUP(A97,Estimate!A:C,3,FALSE)</f>
        <v>Labour</v>
      </c>
      <c r="C97" s="56">
        <v>0.30499999999999999</v>
      </c>
      <c r="D97" s="50" t="s">
        <v>500</v>
      </c>
      <c r="E97" s="50" t="str">
        <f>VLOOKUP(A97,Estimate!A:D,4,FALSE)</f>
        <v xml:space="preserve">hr   </v>
      </c>
    </row>
    <row r="98" spans="1:5" ht="30" x14ac:dyDescent="0.25">
      <c r="A98" s="48">
        <v>57</v>
      </c>
      <c r="B98" s="49" t="str">
        <f>VLOOKUP(A98,Estimate!A:C,3,FALSE)</f>
        <v>4 x 450 Cast Insitu Endwall to Main Roads Std Dwg 1306 Complete in place, incl. Excavate, supply and construct</v>
      </c>
      <c r="C98" s="56">
        <v>1</v>
      </c>
      <c r="D98" s="50" t="s">
        <v>502</v>
      </c>
      <c r="E98" s="50" t="str">
        <f>VLOOKUP(A98,Estimate!A:D,4,FALSE)</f>
        <v xml:space="preserve">No   </v>
      </c>
    </row>
    <row r="99" spans="1:5" x14ac:dyDescent="0.25">
      <c r="A99" s="48">
        <v>57.1</v>
      </c>
      <c r="B99" s="49" t="str">
        <f>VLOOKUP(A99,Estimate!A:C,3,FALSE)</f>
        <v>Labour</v>
      </c>
      <c r="C99" s="56">
        <v>0.125</v>
      </c>
      <c r="D99" s="50" t="s">
        <v>500</v>
      </c>
      <c r="E99" s="50" t="str">
        <f>VLOOKUP(A99,Estimate!A:D,4,FALSE)</f>
        <v xml:space="preserve">hr   </v>
      </c>
    </row>
    <row r="100" spans="1:5" ht="60" x14ac:dyDescent="0.25">
      <c r="A100" s="48">
        <v>58</v>
      </c>
      <c r="B100" s="49" t="str">
        <f>VLOOKUP(A100,Estimate!A:C,3,FALSE)</f>
        <v>Ch 1500 Extend 375 dia SRC Pipe Class 2, Installation to Main Roads Std Dwg 1359 - 1 x 375 SRC Pipe Cl 2 Complete in place, incl.  removal of existing Endwall with care, excavate, sand, supply, lay &amp; backfill.</v>
      </c>
      <c r="C100" s="56">
        <v>1.22</v>
      </c>
      <c r="D100" s="50" t="s">
        <v>502</v>
      </c>
      <c r="E100" s="50" t="str">
        <f>VLOOKUP(A100,Estimate!A:D,4,FALSE)</f>
        <v xml:space="preserve">m    </v>
      </c>
    </row>
    <row r="101" spans="1:5" x14ac:dyDescent="0.25">
      <c r="A101" s="48">
        <v>58.1</v>
      </c>
      <c r="B101" s="49" t="str">
        <f>VLOOKUP(A101,Estimate!A:C,3,FALSE)</f>
        <v>Excavator - 25T</v>
      </c>
      <c r="C101" s="56">
        <v>2.44</v>
      </c>
      <c r="D101" s="50" t="s">
        <v>500</v>
      </c>
      <c r="E101" s="50" t="str">
        <f>VLOOKUP(A101,Estimate!A:D,4,FALSE)</f>
        <v xml:space="preserve">hr   </v>
      </c>
    </row>
    <row r="102" spans="1:5" x14ac:dyDescent="0.25">
      <c r="A102" s="48">
        <v>58.2</v>
      </c>
      <c r="B102" s="49" t="str">
        <f>VLOOKUP(A102,Estimate!A:C,3,FALSE)</f>
        <v>Excavator - 25T</v>
      </c>
      <c r="C102" s="56">
        <v>1.22</v>
      </c>
      <c r="D102" s="50" t="s">
        <v>500</v>
      </c>
      <c r="E102" s="50" t="str">
        <f>VLOOKUP(A102,Estimate!A:D,4,FALSE)</f>
        <v xml:space="preserve">hr   </v>
      </c>
    </row>
    <row r="103" spans="1:5" x14ac:dyDescent="0.25">
      <c r="A103" s="48">
        <v>58.3</v>
      </c>
      <c r="B103" s="49" t="str">
        <f>VLOOKUP(A103,Estimate!A:C,3,FALSE)</f>
        <v>Excavator - 25T</v>
      </c>
      <c r="C103" s="56">
        <v>1.22</v>
      </c>
      <c r="D103" s="50" t="s">
        <v>500</v>
      </c>
      <c r="E103" s="50" t="str">
        <f>VLOOKUP(A103,Estimate!A:D,4,FALSE)</f>
        <v xml:space="preserve">hr   </v>
      </c>
    </row>
    <row r="104" spans="1:5" x14ac:dyDescent="0.25">
      <c r="A104" s="48">
        <v>58.4</v>
      </c>
      <c r="B104" s="49" t="str">
        <f>VLOOKUP(A104,Estimate!A:C,3,FALSE)</f>
        <v>Labour</v>
      </c>
      <c r="C104" s="56">
        <v>0.30499999999999999</v>
      </c>
      <c r="D104" s="50" t="s">
        <v>500</v>
      </c>
      <c r="E104" s="50" t="str">
        <f>VLOOKUP(A104,Estimate!A:D,4,FALSE)</f>
        <v xml:space="preserve">hr   </v>
      </c>
    </row>
    <row r="105" spans="1:5" ht="30" x14ac:dyDescent="0.25">
      <c r="A105" s="48">
        <v>59</v>
      </c>
      <c r="B105" s="49" t="str">
        <f>VLOOKUP(A105,Estimate!A:C,3,FALSE)</f>
        <v>1 x 375 Endwall with wings , Precast Type Complete in place, incl. Excavate, sand, supply and install.</v>
      </c>
      <c r="C105" s="56">
        <v>1</v>
      </c>
      <c r="D105" s="50" t="s">
        <v>502</v>
      </c>
      <c r="E105" s="50" t="str">
        <f>VLOOKUP(A105,Estimate!A:D,4,FALSE)</f>
        <v xml:space="preserve">No   </v>
      </c>
    </row>
    <row r="106" spans="1:5" x14ac:dyDescent="0.25">
      <c r="A106" s="48">
        <v>59.1</v>
      </c>
      <c r="B106" s="49" t="str">
        <f>VLOOKUP(A106,Estimate!A:C,3,FALSE)</f>
        <v>Excavator - 25T</v>
      </c>
      <c r="C106" s="56">
        <v>0.5</v>
      </c>
      <c r="D106" s="50" t="s">
        <v>500</v>
      </c>
      <c r="E106" s="50" t="str">
        <f>VLOOKUP(A106,Estimate!A:D,4,FALSE)</f>
        <v xml:space="preserve">hr   </v>
      </c>
    </row>
    <row r="107" spans="1:5" ht="60" x14ac:dyDescent="0.25">
      <c r="A107" s="48">
        <v>60</v>
      </c>
      <c r="B107" s="49" t="str">
        <f>VLOOKUP(A107,Estimate!A:C,3,FALSE)</f>
        <v>Ch 1749.800 Extend 2/450 dia SRC Pipe Class 2, Installation to Main Roads Std Dwg 1359 - 2 x 450 SRC Pipe Cl 2 Complete in place, incl. removal of existing Endwall with care, excavate, sand, supply, lay &amp; backfill.</v>
      </c>
      <c r="C107" s="56">
        <v>1.22</v>
      </c>
      <c r="D107" s="50" t="s">
        <v>502</v>
      </c>
      <c r="E107" s="50" t="str">
        <f>VLOOKUP(A107,Estimate!A:D,4,FALSE)</f>
        <v xml:space="preserve">m    </v>
      </c>
    </row>
    <row r="108" spans="1:5" x14ac:dyDescent="0.25">
      <c r="A108" s="48">
        <v>60.1</v>
      </c>
      <c r="B108" s="49" t="str">
        <f>VLOOKUP(A108,Estimate!A:C,3,FALSE)</f>
        <v>Excavator - 25T</v>
      </c>
      <c r="C108" s="56">
        <v>2.44</v>
      </c>
      <c r="D108" s="50" t="s">
        <v>500</v>
      </c>
      <c r="E108" s="50" t="str">
        <f>VLOOKUP(A108,Estimate!A:D,4,FALSE)</f>
        <v xml:space="preserve">hr   </v>
      </c>
    </row>
    <row r="109" spans="1:5" x14ac:dyDescent="0.25">
      <c r="A109" s="48">
        <v>60.2</v>
      </c>
      <c r="B109" s="49" t="str">
        <f>VLOOKUP(A109,Estimate!A:C,3,FALSE)</f>
        <v>Excavator - 25T</v>
      </c>
      <c r="C109" s="56">
        <v>0.81299999999999994</v>
      </c>
      <c r="D109" s="50" t="s">
        <v>500</v>
      </c>
      <c r="E109" s="50" t="str">
        <f>VLOOKUP(A109,Estimate!A:D,4,FALSE)</f>
        <v xml:space="preserve">hr   </v>
      </c>
    </row>
    <row r="110" spans="1:5" x14ac:dyDescent="0.25">
      <c r="A110" s="48">
        <v>60.3</v>
      </c>
      <c r="B110" s="49" t="str">
        <f>VLOOKUP(A110,Estimate!A:C,3,FALSE)</f>
        <v>Excavator - 25T</v>
      </c>
      <c r="C110" s="56">
        <v>0.61</v>
      </c>
      <c r="D110" s="50" t="s">
        <v>500</v>
      </c>
      <c r="E110" s="50" t="str">
        <f>VLOOKUP(A110,Estimate!A:D,4,FALSE)</f>
        <v xml:space="preserve">hr   </v>
      </c>
    </row>
    <row r="111" spans="1:5" x14ac:dyDescent="0.25">
      <c r="A111" s="48">
        <v>60.4</v>
      </c>
      <c r="B111" s="49" t="str">
        <f>VLOOKUP(A111,Estimate!A:C,3,FALSE)</f>
        <v>Labour</v>
      </c>
      <c r="C111" s="56">
        <v>0.20300000000000001</v>
      </c>
      <c r="D111" s="50" t="s">
        <v>500</v>
      </c>
      <c r="E111" s="50" t="str">
        <f>VLOOKUP(A111,Estimate!A:D,4,FALSE)</f>
        <v xml:space="preserve">hr   </v>
      </c>
    </row>
    <row r="112" spans="1:5" ht="30" x14ac:dyDescent="0.25">
      <c r="A112" s="48">
        <v>61</v>
      </c>
      <c r="B112" s="49" t="str">
        <f>VLOOKUP(A112,Estimate!A:C,3,FALSE)</f>
        <v>2 x 450 Cast Insitu Endwall to Main Roads Std Dwg 1306 Complete in place, incl. Excavate, supply and construct</v>
      </c>
      <c r="C112" s="56">
        <v>1</v>
      </c>
      <c r="D112" s="50" t="s">
        <v>502</v>
      </c>
      <c r="E112" s="50" t="str">
        <f>VLOOKUP(A112,Estimate!A:D,4,FALSE)</f>
        <v xml:space="preserve">No   </v>
      </c>
    </row>
    <row r="113" spans="1:5" x14ac:dyDescent="0.25">
      <c r="A113" s="48">
        <v>61.1</v>
      </c>
      <c r="B113" s="49" t="str">
        <f>VLOOKUP(A113,Estimate!A:C,3,FALSE)</f>
        <v>Labour</v>
      </c>
      <c r="C113" s="56">
        <v>0.125</v>
      </c>
      <c r="D113" s="50" t="s">
        <v>500</v>
      </c>
      <c r="E113" s="50" t="str">
        <f>VLOOKUP(A113,Estimate!A:D,4,FALSE)</f>
        <v xml:space="preserve">hr   </v>
      </c>
    </row>
    <row r="114" spans="1:5" ht="60" x14ac:dyDescent="0.25">
      <c r="A114" s="48">
        <v>62</v>
      </c>
      <c r="B114" s="49" t="str">
        <f>VLOOKUP(A114,Estimate!A:C,3,FALSE)</f>
        <v>Ch 1949.800 Extend 2/750 dia SRC Pipe Class 2, Installation to Main Roads Std Dwg 1359 - 2 x 750 SRC Pipe Cl 2 Complete in place, incl. removal of existing Endwall with care, excavate, sand, supply, lay &amp; backfill.</v>
      </c>
      <c r="C114" s="56">
        <v>1.22</v>
      </c>
      <c r="D114" s="50" t="s">
        <v>502</v>
      </c>
      <c r="E114" s="50" t="str">
        <f>VLOOKUP(A114,Estimate!A:D,4,FALSE)</f>
        <v xml:space="preserve">m    </v>
      </c>
    </row>
    <row r="115" spans="1:5" x14ac:dyDescent="0.25">
      <c r="A115" s="48">
        <v>62.1</v>
      </c>
      <c r="B115" s="49" t="str">
        <f>VLOOKUP(A115,Estimate!A:C,3,FALSE)</f>
        <v>Excavator - 25T</v>
      </c>
      <c r="C115" s="56">
        <v>1.22</v>
      </c>
      <c r="D115" s="50" t="s">
        <v>500</v>
      </c>
      <c r="E115" s="50" t="str">
        <f>VLOOKUP(A115,Estimate!A:D,4,FALSE)</f>
        <v xml:space="preserve">hr   </v>
      </c>
    </row>
    <row r="116" spans="1:5" x14ac:dyDescent="0.25">
      <c r="A116" s="48">
        <v>62.2</v>
      </c>
      <c r="B116" s="49" t="str">
        <f>VLOOKUP(A116,Estimate!A:C,3,FALSE)</f>
        <v>Excavator - 25T</v>
      </c>
      <c r="C116" s="56">
        <v>0.81299999999999994</v>
      </c>
      <c r="D116" s="50" t="s">
        <v>500</v>
      </c>
      <c r="E116" s="50" t="str">
        <f>VLOOKUP(A116,Estimate!A:D,4,FALSE)</f>
        <v xml:space="preserve">hr   </v>
      </c>
    </row>
    <row r="117" spans="1:5" x14ac:dyDescent="0.25">
      <c r="A117" s="48">
        <v>62.3</v>
      </c>
      <c r="B117" s="49" t="str">
        <f>VLOOKUP(A117,Estimate!A:C,3,FALSE)</f>
        <v>Excavator - 25T</v>
      </c>
      <c r="C117" s="56">
        <v>0.40699999999999997</v>
      </c>
      <c r="D117" s="50" t="s">
        <v>500</v>
      </c>
      <c r="E117" s="50" t="str">
        <f>VLOOKUP(A117,Estimate!A:D,4,FALSE)</f>
        <v xml:space="preserve">hr   </v>
      </c>
    </row>
    <row r="118" spans="1:5" x14ac:dyDescent="0.25">
      <c r="A118" s="48">
        <v>62.4</v>
      </c>
      <c r="B118" s="49" t="str">
        <f>VLOOKUP(A118,Estimate!A:C,3,FALSE)</f>
        <v>Labour</v>
      </c>
      <c r="C118" s="56">
        <v>0.20300000000000001</v>
      </c>
      <c r="D118" s="50" t="s">
        <v>500</v>
      </c>
      <c r="E118" s="50" t="str">
        <f>VLOOKUP(A118,Estimate!A:D,4,FALSE)</f>
        <v xml:space="preserve">hr   </v>
      </c>
    </row>
    <row r="119" spans="1:5" ht="30" x14ac:dyDescent="0.25">
      <c r="A119" s="48">
        <v>63</v>
      </c>
      <c r="B119" s="49" t="str">
        <f>VLOOKUP(A119,Estimate!A:C,3,FALSE)</f>
        <v>2 x 750 Cast Insitu Endwall ,Main Roads Std Dwg 1304 Complete in place, incl. Excavate, supply and construct</v>
      </c>
      <c r="C119" s="56">
        <v>1</v>
      </c>
      <c r="D119" s="50" t="s">
        <v>502</v>
      </c>
      <c r="E119" s="50" t="str">
        <f>VLOOKUP(A119,Estimate!A:D,4,FALSE)</f>
        <v xml:space="preserve">No   </v>
      </c>
    </row>
    <row r="120" spans="1:5" x14ac:dyDescent="0.25">
      <c r="A120" s="48">
        <v>63.1</v>
      </c>
      <c r="B120" s="49" t="str">
        <f>VLOOKUP(A120,Estimate!A:C,3,FALSE)</f>
        <v>Excavator - 25T</v>
      </c>
      <c r="C120" s="56">
        <v>0.25</v>
      </c>
      <c r="D120" s="50" t="s">
        <v>500</v>
      </c>
      <c r="E120" s="50" t="str">
        <f>VLOOKUP(A120,Estimate!A:D,4,FALSE)</f>
        <v xml:space="preserve">hr   </v>
      </c>
    </row>
    <row r="121" spans="1:5" x14ac:dyDescent="0.25">
      <c r="A121" s="48">
        <v>63.2</v>
      </c>
      <c r="B121" s="49" t="str">
        <f>VLOOKUP(A121,Estimate!A:C,3,FALSE)</f>
        <v>Labour</v>
      </c>
      <c r="C121" s="56">
        <v>0.1111111111111111</v>
      </c>
      <c r="D121" s="50" t="s">
        <v>500</v>
      </c>
      <c r="E121" s="50" t="str">
        <f>VLOOKUP(A121,Estimate!A:D,4,FALSE)</f>
        <v xml:space="preserve">hr   </v>
      </c>
    </row>
    <row r="122" spans="1:5" ht="60" x14ac:dyDescent="0.25">
      <c r="A122" s="48">
        <v>64</v>
      </c>
      <c r="B122" s="49" t="str">
        <f>VLOOKUP(A122,Estimate!A:C,3,FALSE)</f>
        <v>Ch 2200 Extend 1/375 dia SRC Pipe Class 2, Installation to Main Roads Std Dwg 1359 - 1 x 375 SRC Pipe Cl 2 Complete in place, incl.  removal of existing Endwall with care, excavate, sand, supply, lay &amp; backfill.</v>
      </c>
      <c r="C122" s="56">
        <v>1.22</v>
      </c>
      <c r="D122" s="50" t="s">
        <v>502</v>
      </c>
      <c r="E122" s="50" t="str">
        <f>VLOOKUP(A122,Estimate!A:D,4,FALSE)</f>
        <v xml:space="preserve">m    </v>
      </c>
    </row>
    <row r="123" spans="1:5" x14ac:dyDescent="0.25">
      <c r="A123" s="48">
        <v>64.099999999999994</v>
      </c>
      <c r="B123" s="49" t="str">
        <f>VLOOKUP(A123,Estimate!A:C,3,FALSE)</f>
        <v>Excavator - 25T</v>
      </c>
      <c r="C123" s="56">
        <v>2.44</v>
      </c>
      <c r="D123" s="50" t="s">
        <v>500</v>
      </c>
      <c r="E123" s="50" t="str">
        <f>VLOOKUP(A123,Estimate!A:D,4,FALSE)</f>
        <v xml:space="preserve">hr   </v>
      </c>
    </row>
    <row r="124" spans="1:5" x14ac:dyDescent="0.25">
      <c r="A124" s="48">
        <v>64.2</v>
      </c>
      <c r="B124" s="49" t="str">
        <f>VLOOKUP(A124,Estimate!A:C,3,FALSE)</f>
        <v>Excavator - 25T</v>
      </c>
      <c r="C124" s="56">
        <v>1.22</v>
      </c>
      <c r="D124" s="50" t="s">
        <v>500</v>
      </c>
      <c r="E124" s="50" t="str">
        <f>VLOOKUP(A124,Estimate!A:D,4,FALSE)</f>
        <v xml:space="preserve">hr   </v>
      </c>
    </row>
    <row r="125" spans="1:5" x14ac:dyDescent="0.25">
      <c r="A125" s="48">
        <v>64.3</v>
      </c>
      <c r="B125" s="49" t="str">
        <f>VLOOKUP(A125,Estimate!A:C,3,FALSE)</f>
        <v>Excavator - 25T</v>
      </c>
      <c r="C125" s="56">
        <v>1.22</v>
      </c>
      <c r="D125" s="50" t="s">
        <v>500</v>
      </c>
      <c r="E125" s="50" t="str">
        <f>VLOOKUP(A125,Estimate!A:D,4,FALSE)</f>
        <v xml:space="preserve">hr   </v>
      </c>
    </row>
    <row r="126" spans="1:5" x14ac:dyDescent="0.25">
      <c r="A126" s="48">
        <v>64.400000000000006</v>
      </c>
      <c r="B126" s="49" t="str">
        <f>VLOOKUP(A126,Estimate!A:C,3,FALSE)</f>
        <v>Labour</v>
      </c>
      <c r="C126" s="56">
        <v>0.30499999999999999</v>
      </c>
      <c r="D126" s="50" t="s">
        <v>500</v>
      </c>
      <c r="E126" s="50" t="str">
        <f>VLOOKUP(A126,Estimate!A:D,4,FALSE)</f>
        <v xml:space="preserve">hr   </v>
      </c>
    </row>
    <row r="127" spans="1:5" ht="30" x14ac:dyDescent="0.25">
      <c r="A127" s="48">
        <v>65</v>
      </c>
      <c r="B127" s="49" t="str">
        <f>VLOOKUP(A127,Estimate!A:C,3,FALSE)</f>
        <v>1 x 375 Endwall , Precast Type with wings, Complete in place, incl. Excavate, sand, supply and install.</v>
      </c>
      <c r="C127" s="56">
        <v>1</v>
      </c>
      <c r="D127" s="50" t="s">
        <v>502</v>
      </c>
      <c r="E127" s="50" t="str">
        <f>VLOOKUP(A127,Estimate!A:D,4,FALSE)</f>
        <v xml:space="preserve">No   </v>
      </c>
    </row>
    <row r="128" spans="1:5" x14ac:dyDescent="0.25">
      <c r="A128" s="48">
        <v>65.099999999999994</v>
      </c>
      <c r="B128" s="49" t="str">
        <f>VLOOKUP(A128,Estimate!A:C,3,FALSE)</f>
        <v>Excavator - 25T</v>
      </c>
      <c r="C128" s="56">
        <v>0.5</v>
      </c>
      <c r="D128" s="50" t="s">
        <v>500</v>
      </c>
      <c r="E128" s="50" t="str">
        <f>VLOOKUP(A128,Estimate!A:D,4,FALSE)</f>
        <v xml:space="preserve">hr   </v>
      </c>
    </row>
    <row r="129" spans="1:5" ht="60" x14ac:dyDescent="0.25">
      <c r="A129" s="48">
        <v>66</v>
      </c>
      <c r="B129" s="49" t="str">
        <f>VLOOKUP(A129,Estimate!A:C,3,FALSE)</f>
        <v>Ch 2720 Extend 2/375 dia SRC Pipe Class 2, Installation to Main Roads Std Dwg 1359 - 2 x 375 SRC Pipe Cl 2 Complete in place, incl. removal of existing Endwall with care, excavate, sand, supply, lay &amp; backfill.</v>
      </c>
      <c r="C129" s="56">
        <v>1.22</v>
      </c>
      <c r="D129" s="50" t="s">
        <v>502</v>
      </c>
      <c r="E129" s="50" t="str">
        <f>VLOOKUP(A129,Estimate!A:D,4,FALSE)</f>
        <v xml:space="preserve">m    </v>
      </c>
    </row>
    <row r="130" spans="1:5" x14ac:dyDescent="0.25">
      <c r="A130" s="48">
        <v>66.099999999999994</v>
      </c>
      <c r="B130" s="49" t="str">
        <f>VLOOKUP(A130,Estimate!A:C,3,FALSE)</f>
        <v>Excavator - 25T</v>
      </c>
      <c r="C130" s="56">
        <v>2.44</v>
      </c>
      <c r="D130" s="50" t="s">
        <v>500</v>
      </c>
      <c r="E130" s="50" t="str">
        <f>VLOOKUP(A130,Estimate!A:D,4,FALSE)</f>
        <v xml:space="preserve">hr   </v>
      </c>
    </row>
    <row r="131" spans="1:5" x14ac:dyDescent="0.25">
      <c r="A131" s="48">
        <v>66.2</v>
      </c>
      <c r="B131" s="49" t="str">
        <f>VLOOKUP(A131,Estimate!A:C,3,FALSE)</f>
        <v>Excavator - 25T</v>
      </c>
      <c r="C131" s="56">
        <v>0.81299999999999994</v>
      </c>
      <c r="D131" s="50" t="s">
        <v>500</v>
      </c>
      <c r="E131" s="50" t="str">
        <f>VLOOKUP(A131,Estimate!A:D,4,FALSE)</f>
        <v xml:space="preserve">hr   </v>
      </c>
    </row>
    <row r="132" spans="1:5" x14ac:dyDescent="0.25">
      <c r="A132" s="48">
        <v>66.3</v>
      </c>
      <c r="B132" s="49" t="str">
        <f>VLOOKUP(A132,Estimate!A:C,3,FALSE)</f>
        <v>Excavator - 25T</v>
      </c>
      <c r="C132" s="56">
        <v>0.61</v>
      </c>
      <c r="D132" s="50" t="s">
        <v>500</v>
      </c>
      <c r="E132" s="50" t="str">
        <f>VLOOKUP(A132,Estimate!A:D,4,FALSE)</f>
        <v xml:space="preserve">hr   </v>
      </c>
    </row>
    <row r="133" spans="1:5" x14ac:dyDescent="0.25">
      <c r="A133" s="48">
        <v>66.400000000000006</v>
      </c>
      <c r="B133" s="49" t="str">
        <f>VLOOKUP(A133,Estimate!A:C,3,FALSE)</f>
        <v>Labour</v>
      </c>
      <c r="C133" s="56">
        <v>0.20300000000000001</v>
      </c>
      <c r="D133" s="50" t="s">
        <v>500</v>
      </c>
      <c r="E133" s="50" t="str">
        <f>VLOOKUP(A133,Estimate!A:D,4,FALSE)</f>
        <v xml:space="preserve">hr   </v>
      </c>
    </row>
    <row r="134" spans="1:5" ht="30" x14ac:dyDescent="0.25">
      <c r="A134" s="48">
        <v>265</v>
      </c>
      <c r="B134" s="49" t="str">
        <f>VLOOKUP(A134,Estimate!A:C,3,FALSE)</f>
        <v>2 x 375 Cast Insitu Endwall to Main Roads Std Dwg 1306 Complete in place, incl. Excavate, supply and construct</v>
      </c>
      <c r="C134" s="56">
        <v>1</v>
      </c>
      <c r="D134" s="50" t="s">
        <v>502</v>
      </c>
      <c r="E134" s="50" t="str">
        <f>VLOOKUP(A134,Estimate!A:D,4,FALSE)</f>
        <v xml:space="preserve">No   </v>
      </c>
    </row>
    <row r="135" spans="1:5" x14ac:dyDescent="0.25">
      <c r="A135" s="48">
        <v>265.10000000000002</v>
      </c>
      <c r="B135" s="49" t="str">
        <f>VLOOKUP(A135,Estimate!A:C,3,FALSE)</f>
        <v>Labour</v>
      </c>
      <c r="C135" s="56">
        <v>0.125</v>
      </c>
      <c r="D135" s="50" t="s">
        <v>500</v>
      </c>
      <c r="E135" s="50" t="str">
        <f>VLOOKUP(A135,Estimate!A:D,4,FALSE)</f>
        <v xml:space="preserve">hr   </v>
      </c>
    </row>
    <row r="136" spans="1:5" ht="60" x14ac:dyDescent="0.25">
      <c r="A136" s="48">
        <v>266</v>
      </c>
      <c r="B136" s="49" t="str">
        <f>VLOOKUP(A136,Estimate!A:C,3,FALSE)</f>
        <v>Ch 2780 New 1/600 x 300 RCBC,Installation to Main Roads Std Dwg 1359 - Ch 2780 New 1/600 x 300 RCBC,Installation to Main Roads Std Dwg 1359 - 1/600 x 300 RCBC Complete in place, including excavate, sand, supply, lay and backfill.</v>
      </c>
      <c r="C136" s="56">
        <v>14.4</v>
      </c>
      <c r="D136" s="50" t="s">
        <v>502</v>
      </c>
      <c r="E136" s="50" t="str">
        <f>VLOOKUP(A136,Estimate!A:D,4,FALSE)</f>
        <v xml:space="preserve">m    </v>
      </c>
    </row>
    <row r="137" spans="1:5" x14ac:dyDescent="0.25">
      <c r="A137" s="48">
        <v>266.10000000000002</v>
      </c>
      <c r="B137" s="49" t="str">
        <f>VLOOKUP(A137,Estimate!A:C,3,FALSE)</f>
        <v>Excavator - 25T</v>
      </c>
      <c r="C137" s="56">
        <v>3.6</v>
      </c>
      <c r="D137" s="50" t="s">
        <v>500</v>
      </c>
      <c r="E137" s="50" t="str">
        <f>VLOOKUP(A137,Estimate!A:D,4,FALSE)</f>
        <v xml:space="preserve">hr   </v>
      </c>
    </row>
    <row r="138" spans="1:5" x14ac:dyDescent="0.25">
      <c r="A138" s="48">
        <v>266.2</v>
      </c>
      <c r="B138" s="49" t="str">
        <f>VLOOKUP(A138,Estimate!A:C,3,FALSE)</f>
        <v>Bobcat</v>
      </c>
      <c r="C138" s="56">
        <v>1.8</v>
      </c>
      <c r="D138" s="50" t="s">
        <v>500</v>
      </c>
      <c r="E138" s="50" t="str">
        <f>VLOOKUP(A138,Estimate!A:D,4,FALSE)</f>
        <v xml:space="preserve">hr   </v>
      </c>
    </row>
    <row r="139" spans="1:5" x14ac:dyDescent="0.25">
      <c r="A139" s="48">
        <v>266.3</v>
      </c>
      <c r="B139" s="49" t="str">
        <f>VLOOKUP(A139,Estimate!A:C,3,FALSE)</f>
        <v>Excavator - 25T</v>
      </c>
      <c r="C139" s="56">
        <v>3</v>
      </c>
      <c r="D139" s="50" t="s">
        <v>500</v>
      </c>
      <c r="E139" s="50" t="str">
        <f>VLOOKUP(A139,Estimate!A:D,4,FALSE)</f>
        <v xml:space="preserve">hr   </v>
      </c>
    </row>
    <row r="140" spans="1:5" x14ac:dyDescent="0.25">
      <c r="A140" s="48">
        <v>266.39999999999998</v>
      </c>
      <c r="B140" s="49" t="str">
        <f>VLOOKUP(A140,Estimate!A:C,3,FALSE)</f>
        <v>Bobcat</v>
      </c>
      <c r="C140" s="56">
        <v>3.6</v>
      </c>
      <c r="D140" s="50" t="s">
        <v>500</v>
      </c>
      <c r="E140" s="50" t="str">
        <f>VLOOKUP(A140,Estimate!A:D,4,FALSE)</f>
        <v xml:space="preserve">hr   </v>
      </c>
    </row>
    <row r="141" spans="1:5" ht="45" x14ac:dyDescent="0.25">
      <c r="A141" s="48">
        <v>67</v>
      </c>
      <c r="B141" s="49" t="str">
        <f>VLOOKUP(A141,Estimate!A:C,3,FALSE)</f>
        <v>1/600 x 300 Cast Insitu Endwall and Apron to Main Roads Std Dwgs 1304 and 1371 Complete in place, incl. Excavate, supply and construct</v>
      </c>
      <c r="C141" s="56">
        <v>2</v>
      </c>
      <c r="D141" s="50" t="s">
        <v>502</v>
      </c>
      <c r="E141" s="50" t="str">
        <f>VLOOKUP(A141,Estimate!A:D,4,FALSE)</f>
        <v xml:space="preserve">No   </v>
      </c>
    </row>
    <row r="142" spans="1:5" x14ac:dyDescent="0.25">
      <c r="A142" s="48">
        <v>67.099999999999994</v>
      </c>
      <c r="B142" s="49" t="str">
        <f>VLOOKUP(A142,Estimate!A:C,3,FALSE)</f>
        <v>Labour</v>
      </c>
      <c r="C142" s="56">
        <v>0.5</v>
      </c>
      <c r="D142" s="50" t="s">
        <v>500</v>
      </c>
      <c r="E142" s="50" t="str">
        <f>VLOOKUP(A142,Estimate!A:D,4,FALSE)</f>
        <v xml:space="preserve">hr   </v>
      </c>
    </row>
    <row r="143" spans="1:5" ht="30" x14ac:dyDescent="0.25">
      <c r="A143" s="48">
        <v>68</v>
      </c>
      <c r="B143" s="49" t="str">
        <f>VLOOKUP(A143,Estimate!A:C,3,FALSE)</f>
        <v>Excavate inlet and outlet at 0.5% grade with 1.0m base width to connect to existing drains neatly and smoothly.</v>
      </c>
      <c r="C143" s="56">
        <v>1</v>
      </c>
      <c r="D143" s="50" t="s">
        <v>502</v>
      </c>
      <c r="E143" s="50" t="str">
        <f>VLOOKUP(A143,Estimate!A:D,4,FALSE)</f>
        <v xml:space="preserve">Item </v>
      </c>
    </row>
    <row r="144" spans="1:5" x14ac:dyDescent="0.25">
      <c r="A144" s="48">
        <v>68.099999999999994</v>
      </c>
      <c r="B144" s="49" t="str">
        <f>VLOOKUP(A144,Estimate!A:C,3,FALSE)</f>
        <v>Excavator - 25T</v>
      </c>
      <c r="C144" s="56">
        <v>0.16700000000000001</v>
      </c>
      <c r="D144" s="50" t="s">
        <v>500</v>
      </c>
      <c r="E144" s="50" t="str">
        <f>VLOOKUP(A144,Estimate!A:D,4,FALSE)</f>
        <v xml:space="preserve">hr   </v>
      </c>
    </row>
    <row r="145" spans="1:5" ht="45" x14ac:dyDescent="0.25">
      <c r="A145" s="48">
        <v>69</v>
      </c>
      <c r="B145" s="49" t="str">
        <f>VLOOKUP(A145,Estimate!A:C,3,FALSE)</f>
        <v>Rip Rap Rock Protection in 250mm dia rock (layer 0.5m thick) to Outlet to extend 10m past culvert end and up batters a minimum of 1m - leave neat, tidy and even surface to rock</v>
      </c>
      <c r="C145" s="56">
        <v>1</v>
      </c>
      <c r="D145" s="50" t="s">
        <v>502</v>
      </c>
      <c r="E145" s="50" t="str">
        <f>VLOOKUP(A145,Estimate!A:D,4,FALSE)</f>
        <v xml:space="preserve">Item </v>
      </c>
    </row>
    <row r="146" spans="1:5" x14ac:dyDescent="0.25">
      <c r="A146" s="48">
        <v>69.099999999999994</v>
      </c>
      <c r="B146" s="49" t="str">
        <f>VLOOKUP(A146,Estimate!A:C,3,FALSE)</f>
        <v>Excavator - 25T</v>
      </c>
      <c r="C146" s="56">
        <v>11.25</v>
      </c>
      <c r="D146" s="50" t="s">
        <v>500</v>
      </c>
      <c r="E146" s="50" t="str">
        <f>VLOOKUP(A146,Estimate!A:D,4,FALSE)</f>
        <v xml:space="preserve">hr   </v>
      </c>
    </row>
    <row r="147" spans="1:5" ht="30" x14ac:dyDescent="0.25">
      <c r="A147" s="48">
        <v>70</v>
      </c>
      <c r="B147" s="49" t="str">
        <f>VLOOKUP(A147,Estimate!A:C,3,FALSE)</f>
        <v>Ch 2800 Take up and stack existing 1/600 x 300 RCBC and backfill to reinstate roadway.</v>
      </c>
      <c r="C147" s="56">
        <v>1</v>
      </c>
      <c r="D147" s="50" t="s">
        <v>502</v>
      </c>
      <c r="E147" s="50" t="str">
        <f>VLOOKUP(A147,Estimate!A:D,4,FALSE)</f>
        <v xml:space="preserve">Item </v>
      </c>
    </row>
    <row r="148" spans="1:5" x14ac:dyDescent="0.25">
      <c r="A148" s="48">
        <v>70.099999999999994</v>
      </c>
      <c r="B148" s="49" t="str">
        <f>VLOOKUP(A148,Estimate!A:C,3,FALSE)</f>
        <v>Excavator - 25T</v>
      </c>
      <c r="C148" s="56">
        <v>0.25</v>
      </c>
      <c r="D148" s="50" t="s">
        <v>500</v>
      </c>
      <c r="E148" s="50" t="str">
        <f>VLOOKUP(A148,Estimate!A:D,4,FALSE)</f>
        <v xml:space="preserve">hr   </v>
      </c>
    </row>
    <row r="149" spans="1:5" x14ac:dyDescent="0.25">
      <c r="A149" s="48">
        <v>70.2</v>
      </c>
      <c r="B149" s="49" t="str">
        <f>VLOOKUP(A149,Estimate!A:C,3,FALSE)</f>
        <v>Bobcat</v>
      </c>
      <c r="C149" s="56">
        <v>0.25</v>
      </c>
      <c r="D149" s="50" t="s">
        <v>500</v>
      </c>
      <c r="E149" s="50" t="str">
        <f>VLOOKUP(A149,Estimate!A:D,4,FALSE)</f>
        <v xml:space="preserve">hr   </v>
      </c>
    </row>
    <row r="150" spans="1:5" ht="60" x14ac:dyDescent="0.25">
      <c r="A150" s="48">
        <v>71</v>
      </c>
      <c r="B150" s="49" t="str">
        <f>VLOOKUP(A150,Estimate!A:C,3,FALSE)</f>
        <v>Schedule C - Dysart Middlemount / Dysart Bypass Intersection - Provision for Traffic and Safety including an approved Traffic Management Plan required by Council prior to commencement of site works.</v>
      </c>
      <c r="C150" s="56">
        <v>1</v>
      </c>
      <c r="D150" s="50" t="s">
        <v>502</v>
      </c>
      <c r="E150" s="50" t="str">
        <f>VLOOKUP(A150,Estimate!A:D,4,FALSE)</f>
        <v xml:space="preserve">Item </v>
      </c>
    </row>
    <row r="151" spans="1:5" x14ac:dyDescent="0.25">
      <c r="A151" s="48">
        <v>72</v>
      </c>
      <c r="B151" s="49" t="str">
        <f>VLOOKUP(A151,Estimate!A:C,3,FALSE)</f>
        <v>Construction Setout by Contractor</v>
      </c>
      <c r="C151" s="56">
        <v>1</v>
      </c>
      <c r="D151" s="50" t="s">
        <v>502</v>
      </c>
      <c r="E151" s="50" t="str">
        <f>VLOOKUP(A151,Estimate!A:D,4,FALSE)</f>
        <v xml:space="preserve">Item </v>
      </c>
    </row>
    <row r="152" spans="1:5" ht="30" x14ac:dyDescent="0.25">
      <c r="A152" s="48">
        <v>73</v>
      </c>
      <c r="B152" s="49" t="str">
        <f>VLOOKUP(A152,Estimate!A:C,3,FALSE)</f>
        <v>Provision of evidence of Public Liability Insurance ($10 million), and Workers Compensation Insurance for the works.</v>
      </c>
      <c r="C152" s="56">
        <v>1</v>
      </c>
      <c r="D152" s="50" t="s">
        <v>502</v>
      </c>
      <c r="E152" s="50" t="str">
        <f>VLOOKUP(A152,Estimate!A:D,4,FALSE)</f>
        <v xml:space="preserve">Item </v>
      </c>
    </row>
    <row r="153" spans="1:5" ht="30" x14ac:dyDescent="0.25">
      <c r="A153" s="48">
        <v>74</v>
      </c>
      <c r="B153" s="49" t="str">
        <f>VLOOKUP(A153,Estimate!A:C,3,FALSE)</f>
        <v>Locate Existing Services (Dial-Before-You-Dig, CapVac Truck etc) as required in existing road reserves</v>
      </c>
      <c r="C153" s="56">
        <v>1</v>
      </c>
      <c r="D153" s="50" t="s">
        <v>502</v>
      </c>
      <c r="E153" s="50" t="str">
        <f>VLOOKUP(A153,Estimate!A:D,4,FALSE)</f>
        <v xml:space="preserve">Item </v>
      </c>
    </row>
    <row r="154" spans="1:5" x14ac:dyDescent="0.25">
      <c r="A154" s="48">
        <v>75</v>
      </c>
      <c r="B154" s="49" t="str">
        <f>VLOOKUP(A154,Estimate!A:C,3,FALSE)</f>
        <v>As Constructed Survey Data to Council Requirements.</v>
      </c>
      <c r="C154" s="56">
        <v>1</v>
      </c>
      <c r="D154" s="50" t="s">
        <v>502</v>
      </c>
      <c r="E154" s="50" t="str">
        <f>VLOOKUP(A154,Estimate!A:D,4,FALSE)</f>
        <v xml:space="preserve">Item </v>
      </c>
    </row>
    <row r="155" spans="1:5" ht="30" x14ac:dyDescent="0.25">
      <c r="A155" s="48">
        <v>76</v>
      </c>
      <c r="B155" s="49" t="str">
        <f>VLOOKUP(A155,Estimate!A:C,3,FALSE)</f>
        <v>Geotechnical Testing by NATA Registered laboratory - Subgrade Compaction testing as specified</v>
      </c>
      <c r="C155" s="56">
        <v>4</v>
      </c>
      <c r="D155" s="50" t="s">
        <v>502</v>
      </c>
      <c r="E155" s="50" t="str">
        <f>VLOOKUP(A155,Estimate!A:D,4,FALSE)</f>
        <v xml:space="preserve"> No  </v>
      </c>
    </row>
    <row r="156" spans="1:5" x14ac:dyDescent="0.25">
      <c r="A156" s="48">
        <v>77</v>
      </c>
      <c r="B156" s="49" t="str">
        <f>VLOOKUP(A156,Estimate!A:C,3,FALSE)</f>
        <v>Sub-Base Compaction testing as specified - assume 2 layers</v>
      </c>
      <c r="C156" s="56">
        <v>4</v>
      </c>
      <c r="D156" s="50" t="s">
        <v>502</v>
      </c>
      <c r="E156" s="50" t="str">
        <f>VLOOKUP(A156,Estimate!A:D,4,FALSE)</f>
        <v xml:space="preserve"> No  </v>
      </c>
    </row>
    <row r="157" spans="1:5" x14ac:dyDescent="0.25">
      <c r="A157" s="48">
        <v>78</v>
      </c>
      <c r="B157" s="49" t="str">
        <f>VLOOKUP(A157,Estimate!A:C,3,FALSE)</f>
        <v>Base Compaction testing as specified</v>
      </c>
      <c r="C157" s="56">
        <v>2</v>
      </c>
      <c r="D157" s="50" t="s">
        <v>502</v>
      </c>
      <c r="E157" s="50" t="str">
        <f>VLOOKUP(A157,Estimate!A:D,4,FALSE)</f>
        <v xml:space="preserve"> No  </v>
      </c>
    </row>
    <row r="158" spans="1:5" ht="30" x14ac:dyDescent="0.25">
      <c r="A158" s="48">
        <v>79</v>
      </c>
      <c r="B158" s="49" t="str">
        <f>VLOOKUP(A158,Estimate!A:C,3,FALSE)</f>
        <v>Sub-Base Quality Testing as specified; Full Atterbergs plus grading plus full Quarry Stockpile results - assume 2 layers</v>
      </c>
      <c r="C158" s="56">
        <v>1</v>
      </c>
      <c r="D158" s="50" t="s">
        <v>502</v>
      </c>
      <c r="E158" s="50" t="str">
        <f>VLOOKUP(A158,Estimate!A:D,4,FALSE)</f>
        <v xml:space="preserve"> No  </v>
      </c>
    </row>
    <row r="159" spans="1:5" ht="30" x14ac:dyDescent="0.25">
      <c r="A159" s="48">
        <v>80</v>
      </c>
      <c r="B159" s="49" t="str">
        <f>VLOOKUP(A159,Estimate!A:C,3,FALSE)</f>
        <v>Base Quality Testing as specified; Full Atterbergs plus grading plus full Quarry Stockpile results</v>
      </c>
      <c r="C159" s="56">
        <v>1</v>
      </c>
      <c r="D159" s="50" t="s">
        <v>502</v>
      </c>
      <c r="E159" s="50" t="str">
        <f>VLOOKUP(A159,Estimate!A:D,4,FALSE)</f>
        <v xml:space="preserve"> No  </v>
      </c>
    </row>
    <row r="160" spans="1:5" ht="30" x14ac:dyDescent="0.25">
      <c r="A160" s="48">
        <v>81</v>
      </c>
      <c r="B160" s="49" t="str">
        <f>VLOOKUP(A160,Estimate!A:C,3,FALSE)</f>
        <v>Clearing &amp; Grubbing, removal of existing kerb and complete offsite disposal of Spoil inclusive of Dump Fees as required.</v>
      </c>
      <c r="C160" s="56">
        <v>1</v>
      </c>
      <c r="D160" s="50" t="s">
        <v>502</v>
      </c>
      <c r="E160" s="50" t="str">
        <f>VLOOKUP(A160,Estimate!A:D,4,FALSE)</f>
        <v xml:space="preserve">Item </v>
      </c>
    </row>
    <row r="161" spans="1:5" ht="45" x14ac:dyDescent="0.25">
      <c r="A161" s="48">
        <v>82</v>
      </c>
      <c r="B161" s="49" t="str">
        <f>VLOOKUP(A161,Estimate!A:C,3,FALSE)</f>
        <v xml:space="preserve"> Earthworks - excavate and place as embankment as directed - Cut to Spoil - to achieve boxed out deep to 500mm - material will be spoiled at IRC Tip.</v>
      </c>
      <c r="C161" s="56">
        <v>379</v>
      </c>
      <c r="D161" s="50" t="s">
        <v>502</v>
      </c>
      <c r="E161" s="50" t="str">
        <f>VLOOKUP(A161,Estimate!A:D,4,FALSE)</f>
        <v xml:space="preserve">m3   </v>
      </c>
    </row>
    <row r="162" spans="1:5" x14ac:dyDescent="0.25">
      <c r="A162" s="48">
        <v>82.1</v>
      </c>
      <c r="B162" s="49" t="str">
        <f>VLOOKUP(A162,Estimate!A:C,3,FALSE)</f>
        <v>Excavator - 25T</v>
      </c>
      <c r="C162" s="56">
        <v>42.110999999999997</v>
      </c>
      <c r="D162" s="50" t="s">
        <v>500</v>
      </c>
      <c r="E162" s="50" t="str">
        <f>VLOOKUP(A162,Estimate!A:D,4,FALSE)</f>
        <v xml:space="preserve">hr   </v>
      </c>
    </row>
    <row r="163" spans="1:5" ht="30" x14ac:dyDescent="0.25">
      <c r="A163" s="48">
        <v>83</v>
      </c>
      <c r="B163" s="49" t="str">
        <f>VLOOKUP(A163,Estimate!A:C,3,FALSE)</f>
        <v>Remove isolated soft spots in subgrade as ordered and replace with Selected Spoil material - Provisional Item</v>
      </c>
      <c r="C163" s="56">
        <v>50</v>
      </c>
      <c r="D163" s="50" t="s">
        <v>502</v>
      </c>
      <c r="E163" s="50" t="str">
        <f>VLOOKUP(A163,Estimate!A:D,4,FALSE)</f>
        <v xml:space="preserve">m3   </v>
      </c>
    </row>
    <row r="164" spans="1:5" x14ac:dyDescent="0.25">
      <c r="A164" s="48">
        <v>83.1</v>
      </c>
      <c r="B164" s="49" t="str">
        <f>VLOOKUP(A164,Estimate!A:C,3,FALSE)</f>
        <v>Excavator - 25T</v>
      </c>
      <c r="C164" s="56">
        <v>10</v>
      </c>
      <c r="D164" s="50" t="s">
        <v>500</v>
      </c>
      <c r="E164" s="50" t="str">
        <f>VLOOKUP(A164,Estimate!A:D,4,FALSE)</f>
        <v xml:space="preserve">hr   </v>
      </c>
    </row>
    <row r="165" spans="1:5" ht="75" x14ac:dyDescent="0.25">
      <c r="A165" s="48">
        <v>84</v>
      </c>
      <c r="B165" s="49" t="str">
        <f>VLOOKUP(A165,Estimate!A:C,3,FALSE)</f>
        <v>Prepare Dysart Bypass Rd - Middlemount Rd Intersection Subgrade Surface for Gravel Pavement &amp; for Council / MRD Inspection, (incl. provision of subgrade levels and compaction test results by Contractor) - Dysart Bypass Rd - Middlemount Rd Intersection LHS</v>
      </c>
      <c r="C165" s="56">
        <v>630</v>
      </c>
      <c r="D165" s="50" t="s">
        <v>502</v>
      </c>
      <c r="E165" s="50" t="str">
        <f>VLOOKUP(A165,Estimate!A:D,4,FALSE)</f>
        <v xml:space="preserve">m2   </v>
      </c>
    </row>
    <row r="166" spans="1:5" x14ac:dyDescent="0.25">
      <c r="A166" s="48">
        <v>84.1</v>
      </c>
      <c r="B166" s="49" t="str">
        <f>VLOOKUP(A166,Estimate!A:C,3,FALSE)</f>
        <v>Grader</v>
      </c>
      <c r="C166" s="56">
        <v>200</v>
      </c>
      <c r="D166" s="50" t="s">
        <v>500</v>
      </c>
      <c r="E166" s="50" t="str">
        <f>VLOOKUP(A166,Estimate!A:D,4,FALSE)</f>
        <v xml:space="preserve">hr   </v>
      </c>
    </row>
    <row r="167" spans="1:5" ht="75" x14ac:dyDescent="0.25">
      <c r="A167" s="48">
        <v>85</v>
      </c>
      <c r="B167" s="49" t="str">
        <f>VLOOKUP(A167,Estimate!A:C,3,FALSE)</f>
        <v>Prepare Dysart Bypass Rd - Middlemount Rd Intersection Subgrade Surface for Gravel Pavement &amp; for Council / MRD Inspection, (incl. provision of subgrade levels and compaction test results by Contractor) -  Dysart Bypass Rd - Middlemount Rd Intersection RHS</v>
      </c>
      <c r="C167" s="56">
        <v>574</v>
      </c>
      <c r="D167" s="50" t="s">
        <v>502</v>
      </c>
      <c r="E167" s="50" t="str">
        <f>VLOOKUP(A167,Estimate!A:D,4,FALSE)</f>
        <v xml:space="preserve">m2   </v>
      </c>
    </row>
    <row r="168" spans="1:5" x14ac:dyDescent="0.25">
      <c r="A168" s="48">
        <v>85.1</v>
      </c>
      <c r="B168" s="49" t="str">
        <f>VLOOKUP(A168,Estimate!A:C,3,FALSE)</f>
        <v>Grader</v>
      </c>
      <c r="C168" s="56">
        <v>200</v>
      </c>
      <c r="D168" s="50" t="s">
        <v>500</v>
      </c>
      <c r="E168" s="50" t="str">
        <f>VLOOKUP(A168,Estimate!A:D,4,FALSE)</f>
        <v xml:space="preserve">hr   </v>
      </c>
    </row>
    <row r="169" spans="1:5" ht="45" x14ac:dyDescent="0.25">
      <c r="A169" s="48">
        <v>86</v>
      </c>
      <c r="B169" s="49" t="str">
        <f>VLOOKUP(A169,Estimate!A:C,3,FALSE)</f>
        <v>Prepare Base Gravel Surface for Primerseal &amp; for Council / MRD Inspection, incl provision of compaction test results - Dysart Bypass Rd - Middlemount Rd Intersection LHS</v>
      </c>
      <c r="C169" s="56">
        <v>437</v>
      </c>
      <c r="D169" s="50" t="s">
        <v>502</v>
      </c>
      <c r="E169" s="50" t="str">
        <f>VLOOKUP(A169,Estimate!A:D,4,FALSE)</f>
        <v xml:space="preserve">m2   </v>
      </c>
    </row>
    <row r="170" spans="1:5" x14ac:dyDescent="0.25">
      <c r="A170" s="48">
        <v>86.1</v>
      </c>
      <c r="B170" s="49" t="str">
        <f>VLOOKUP(A170,Estimate!A:C,3,FALSE)</f>
        <v>Grader</v>
      </c>
      <c r="C170" s="56">
        <v>275</v>
      </c>
      <c r="D170" s="50" t="s">
        <v>500</v>
      </c>
      <c r="E170" s="50" t="str">
        <f>VLOOKUP(A170,Estimate!A:D,4,FALSE)</f>
        <v xml:space="preserve">hr   </v>
      </c>
    </row>
    <row r="171" spans="1:5" ht="45" x14ac:dyDescent="0.25">
      <c r="A171" s="48">
        <v>87</v>
      </c>
      <c r="B171" s="49" t="str">
        <f>VLOOKUP(A171,Estimate!A:C,3,FALSE)</f>
        <v>Prepare Base Gravel Surface for Primerseal &amp; for Council / MRD Inspection, incl provision of compaction test results - Dysart Bypass Rd - Middlemount Rd Intersection RHS</v>
      </c>
      <c r="C171" s="56">
        <v>415</v>
      </c>
      <c r="D171" s="50" t="s">
        <v>502</v>
      </c>
      <c r="E171" s="50" t="str">
        <f>VLOOKUP(A171,Estimate!A:D,4,FALSE)</f>
        <v xml:space="preserve">m2   </v>
      </c>
    </row>
    <row r="172" spans="1:5" x14ac:dyDescent="0.25">
      <c r="A172" s="48">
        <v>87.1</v>
      </c>
      <c r="B172" s="49" t="str">
        <f>VLOOKUP(A172,Estimate!A:C,3,FALSE)</f>
        <v>Grader</v>
      </c>
      <c r="C172" s="56">
        <v>275</v>
      </c>
      <c r="D172" s="50" t="s">
        <v>500</v>
      </c>
      <c r="E172" s="50" t="str">
        <f>VLOOKUP(A172,Estimate!A:D,4,FALSE)</f>
        <v xml:space="preserve">hr   </v>
      </c>
    </row>
    <row r="173" spans="1:5" ht="60" x14ac:dyDescent="0.25">
      <c r="A173" s="48">
        <v>88</v>
      </c>
      <c r="B173" s="49" t="str">
        <f>VLOOKUP(A173,Estimate!A:C,3,FALSE)</f>
        <v>Gravel Pavement In Place complete, including supply, spreading, watering, rolling and trimming:- (a) Dysart Bypass Rd - Middlemount Rd Intersection LHS - Base QT Type 2.1 @ 150mm deep</v>
      </c>
      <c r="C173" s="56">
        <v>70</v>
      </c>
      <c r="D173" s="50" t="s">
        <v>502</v>
      </c>
      <c r="E173" s="50" t="str">
        <f>VLOOKUP(A173,Estimate!A:D,4,FALSE)</f>
        <v xml:space="preserve">m3   </v>
      </c>
    </row>
    <row r="174" spans="1:5" x14ac:dyDescent="0.25">
      <c r="A174" s="48">
        <v>0</v>
      </c>
      <c r="B174" s="49" t="e">
        <f>VLOOKUP(A174,Estimate!A:C,3,FALSE)</f>
        <v>#N/A</v>
      </c>
      <c r="C174" s="56">
        <v>66.667000000000002</v>
      </c>
      <c r="D174" s="50" t="s">
        <v>500</v>
      </c>
      <c r="E174" s="50" t="e">
        <f>VLOOKUP(A174,Estimate!A:D,4,FALSE)</f>
        <v>#N/A</v>
      </c>
    </row>
    <row r="175" spans="1:5" ht="60" x14ac:dyDescent="0.25">
      <c r="A175" s="48">
        <v>89</v>
      </c>
      <c r="B175" s="49" t="str">
        <f>VLOOKUP(A175,Estimate!A:C,3,FALSE)</f>
        <v>Gravel Pavement In Place complete, including supply, spreading, watering, rolling and trimming:- (a) Dysart Bypass Rd - Middlemount Rd Intersection LHS Upper Sub-Base QT Type 2.3 @ 200mm deep</v>
      </c>
      <c r="C175" s="56">
        <v>107</v>
      </c>
      <c r="D175" s="50" t="s">
        <v>502</v>
      </c>
      <c r="E175" s="50" t="str">
        <f>VLOOKUP(A175,Estimate!A:D,4,FALSE)</f>
        <v xml:space="preserve">m3   </v>
      </c>
    </row>
    <row r="176" spans="1:5" x14ac:dyDescent="0.25">
      <c r="A176" s="48">
        <v>89.1</v>
      </c>
      <c r="B176" s="49" t="str">
        <f>VLOOKUP(A176,Estimate!A:C,3,FALSE)</f>
        <v>Grader</v>
      </c>
      <c r="C176" s="56">
        <v>66.667000000000002</v>
      </c>
      <c r="D176" s="50" t="s">
        <v>500</v>
      </c>
      <c r="E176" s="50" t="str">
        <f>VLOOKUP(A176,Estimate!A:D,4,FALSE)</f>
        <v xml:space="preserve">hr   </v>
      </c>
    </row>
    <row r="177" spans="1:5" ht="60" x14ac:dyDescent="0.25">
      <c r="A177" s="48">
        <v>90</v>
      </c>
      <c r="B177" s="49" t="str">
        <f>VLOOKUP(A177,Estimate!A:C,3,FALSE)</f>
        <v>Gravel Pavement In Place complete, including supply, spreading, watering, rolling and trimming:- (a) Dysart Bypass Rd - Middlemount Rd Intersection LHS - Lower Sub-Base QT Type 2.5 @ 150mm deep</v>
      </c>
      <c r="C177" s="56">
        <v>90</v>
      </c>
      <c r="D177" s="50" t="s">
        <v>502</v>
      </c>
      <c r="E177" s="50" t="str">
        <f>VLOOKUP(A177,Estimate!A:D,4,FALSE)</f>
        <v xml:space="preserve">m3   </v>
      </c>
    </row>
    <row r="178" spans="1:5" x14ac:dyDescent="0.25">
      <c r="A178" s="48">
        <v>90.1</v>
      </c>
      <c r="B178" s="49" t="str">
        <f>VLOOKUP(A178,Estimate!A:C,3,FALSE)</f>
        <v>Grader</v>
      </c>
      <c r="C178" s="56">
        <v>66.667000000000002</v>
      </c>
      <c r="D178" s="50" t="s">
        <v>500</v>
      </c>
      <c r="E178" s="50" t="str">
        <f>VLOOKUP(A178,Estimate!A:D,4,FALSE)</f>
        <v xml:space="preserve">hr   </v>
      </c>
    </row>
    <row r="179" spans="1:5" ht="60" x14ac:dyDescent="0.25">
      <c r="A179" s="48">
        <v>91</v>
      </c>
      <c r="B179" s="49" t="str">
        <f>VLOOKUP(A179,Estimate!A:C,3,FALSE)</f>
        <v>Gravel Pavement In Place complete, including supply, spreading, watering, rolling and trimming:- (B) Dysart Bypass Rd - Middlemount Rd Intersection RHS - Base QT Type 2.1 @ 150mm deep</v>
      </c>
      <c r="C179" s="56">
        <v>66</v>
      </c>
      <c r="D179" s="50" t="s">
        <v>502</v>
      </c>
      <c r="E179" s="50" t="str">
        <f>VLOOKUP(A179,Estimate!A:D,4,FALSE)</f>
        <v xml:space="preserve">m3   </v>
      </c>
    </row>
    <row r="180" spans="1:5" x14ac:dyDescent="0.25">
      <c r="A180" s="48">
        <v>91.1</v>
      </c>
      <c r="B180" s="49" t="str">
        <f>VLOOKUP(A180,Estimate!A:C,3,FALSE)</f>
        <v>Grader</v>
      </c>
      <c r="C180" s="56">
        <v>66.667000000000002</v>
      </c>
      <c r="D180" s="50" t="s">
        <v>500</v>
      </c>
      <c r="E180" s="50" t="str">
        <f>VLOOKUP(A180,Estimate!A:D,4,FALSE)</f>
        <v xml:space="preserve">hr   </v>
      </c>
    </row>
    <row r="181" spans="1:5" ht="60" x14ac:dyDescent="0.25">
      <c r="A181" s="48">
        <v>92</v>
      </c>
      <c r="B181" s="49" t="str">
        <f>VLOOKUP(A181,Estimate!A:C,3,FALSE)</f>
        <v>Gravel Pavement In Place complete, including supply, spreading, watering, rolling and trimming:- (B) Dysart Bypass Rd - Middlemount Rd Intersection RHS -Upper Sub-Base QT Type 2.3 @ 200mm deep</v>
      </c>
      <c r="C181" s="56">
        <v>99</v>
      </c>
      <c r="D181" s="50" t="s">
        <v>502</v>
      </c>
      <c r="E181" s="50" t="str">
        <f>VLOOKUP(A181,Estimate!A:D,4,FALSE)</f>
        <v xml:space="preserve">m3   </v>
      </c>
    </row>
    <row r="182" spans="1:5" x14ac:dyDescent="0.25">
      <c r="A182" s="48">
        <v>92.1</v>
      </c>
      <c r="B182" s="49" t="str">
        <f>VLOOKUP(A182,Estimate!A:C,3,FALSE)</f>
        <v>Grader</v>
      </c>
      <c r="C182" s="56">
        <v>66.667000000000002</v>
      </c>
      <c r="D182" s="50" t="s">
        <v>500</v>
      </c>
      <c r="E182" s="50" t="str">
        <f>VLOOKUP(A182,Estimate!A:D,4,FALSE)</f>
        <v xml:space="preserve">hr   </v>
      </c>
    </row>
    <row r="183" spans="1:5" ht="60" x14ac:dyDescent="0.25">
      <c r="A183" s="48">
        <v>93</v>
      </c>
      <c r="B183" s="49" t="str">
        <f>VLOOKUP(A183,Estimate!A:C,3,FALSE)</f>
        <v>Gravel Pavement In Place complete, including supply, spreading, watering, rolling and trimming:- (B) Dysart Bypass Rd - Middlemount Rd Intersection RHS -Lower Sub-Base QT Type 2.5 @ 150mm deep</v>
      </c>
      <c r="C183" s="56">
        <v>83</v>
      </c>
      <c r="D183" s="50" t="s">
        <v>502</v>
      </c>
      <c r="E183" s="50" t="str">
        <f>VLOOKUP(A183,Estimate!A:D,4,FALSE)</f>
        <v xml:space="preserve">m3   </v>
      </c>
    </row>
    <row r="184" spans="1:5" x14ac:dyDescent="0.25">
      <c r="A184" s="48">
        <v>93.1</v>
      </c>
      <c r="B184" s="49" t="str">
        <f>VLOOKUP(A184,Estimate!A:C,3,FALSE)</f>
        <v>Grader</v>
      </c>
      <c r="C184" s="56">
        <v>66.667000000000002</v>
      </c>
      <c r="D184" s="50" t="s">
        <v>500</v>
      </c>
      <c r="E184" s="50" t="str">
        <f>VLOOKUP(A184,Estimate!A:D,4,FALSE)</f>
        <v xml:space="preserve">hr   </v>
      </c>
    </row>
    <row r="185" spans="1:5" ht="45" x14ac:dyDescent="0.25">
      <c r="A185" s="48">
        <v>94</v>
      </c>
      <c r="B185" s="49" t="str">
        <f>VLOOKUP(A185,Estimate!A:C,3,FALSE)</f>
        <v>Provisional Item Pavement Repairs - Cement Stabilise 4% by weight 200mm deep any failed areas identified by the Superintendent as ordered.</v>
      </c>
      <c r="C185" s="56">
        <v>30</v>
      </c>
      <c r="D185" s="50" t="s">
        <v>502</v>
      </c>
      <c r="E185" s="50" t="str">
        <f>VLOOKUP(A185,Estimate!A:D,4,FALSE)</f>
        <v xml:space="preserve">m2   </v>
      </c>
    </row>
    <row r="186" spans="1:5" x14ac:dyDescent="0.25">
      <c r="A186" s="48">
        <v>94.1</v>
      </c>
      <c r="B186" s="49" t="str">
        <f>VLOOKUP(A186,Estimate!A:C,3,FALSE)</f>
        <v>Stabilising</v>
      </c>
      <c r="C186" s="56">
        <v>3.3330000000000002</v>
      </c>
      <c r="D186" s="50" t="s">
        <v>500</v>
      </c>
      <c r="E186" s="50">
        <f>VLOOKUP(A186,Estimate!A:D,4,FALSE)</f>
        <v>0</v>
      </c>
    </row>
    <row r="187" spans="1:5" ht="60" x14ac:dyDescent="0.25">
      <c r="A187" s="48">
        <v>95</v>
      </c>
      <c r="B187" s="49" t="str">
        <f>VLOOKUP(A187,Estimate!A:C,3,FALSE)</f>
        <v>Bitumen Seal - complete in place (10mm primerseal ) ; spray rates nominally to be 1.1 l/sqm C170 - SEAL DESIGN TO BE CONFIRMED - Dysart Bypass Rd - Middlemount Rd Intersection LHS</v>
      </c>
      <c r="C187" s="56">
        <v>437</v>
      </c>
      <c r="D187" s="50" t="s">
        <v>502</v>
      </c>
      <c r="E187" s="50" t="str">
        <f>VLOOKUP(A187,Estimate!A:D,4,FALSE)</f>
        <v xml:space="preserve">m2   </v>
      </c>
    </row>
    <row r="188" spans="1:5" ht="60" x14ac:dyDescent="0.25">
      <c r="A188" s="48">
        <v>96</v>
      </c>
      <c r="B188" s="49" t="str">
        <f>VLOOKUP(A188,Estimate!A:C,3,FALSE)</f>
        <v>Bitumen Seal - complete in place (10mm primerseal ) ; spray rates nominally to be 1.1 l/sqm C170 - SEAL DESIGN TO BE CONFIRMED - Dysart Bypass Rd - Middlemount Rd Intersection RHS</v>
      </c>
      <c r="C188" s="56">
        <v>415</v>
      </c>
      <c r="D188" s="50" t="s">
        <v>502</v>
      </c>
      <c r="E188" s="50" t="str">
        <f>VLOOKUP(A188,Estimate!A:D,4,FALSE)</f>
        <v xml:space="preserve">m2   </v>
      </c>
    </row>
    <row r="189" spans="1:5" ht="60" x14ac:dyDescent="0.25">
      <c r="A189" s="48">
        <v>97</v>
      </c>
      <c r="B189" s="49" t="str">
        <f>VLOOKUP(A189,Estimate!A:C,3,FALSE)</f>
        <v>Asphaltic Concrete Pavement MRD Type DG14 and 60 mm minimum thickness - complete in place. - Dysart Bypass Rd - Middlemount Rd Intersection Complete (overlaying existing seal area)</v>
      </c>
      <c r="C189" s="56">
        <v>2776</v>
      </c>
      <c r="D189" s="50" t="s">
        <v>502</v>
      </c>
      <c r="E189" s="50" t="str">
        <f>VLOOKUP(A189,Estimate!A:D,4,FALSE)</f>
        <v xml:space="preserve">m2   </v>
      </c>
    </row>
    <row r="190" spans="1:5" ht="30" x14ac:dyDescent="0.25">
      <c r="A190" s="48">
        <v>98</v>
      </c>
      <c r="B190" s="49" t="str">
        <f>VLOOKUP(A190,Estimate!A:C,3,FALSE)</f>
        <v>Medians Kerb at Intersections - Type 5 Concrete Kerb in minimum 25 MPa concrete</v>
      </c>
      <c r="C190" s="56">
        <v>67</v>
      </c>
      <c r="D190" s="50" t="s">
        <v>502</v>
      </c>
      <c r="E190" s="50" t="str">
        <f>VLOOKUP(A190,Estimate!A:D,4,FALSE)</f>
        <v xml:space="preserve">m    </v>
      </c>
    </row>
    <row r="191" spans="1:5" ht="60" x14ac:dyDescent="0.25">
      <c r="A191" s="48">
        <v>99</v>
      </c>
      <c r="B191" s="49" t="str">
        <f>VLOOKUP(A191,Estimate!A:C,3,FALSE)</f>
        <v>Street Lighting - Conduits and Bases - Electrical Mains Trenching and Conduiting including bends, draw-wire, sand, bed, backfill, warning tape: 1 x 100 dia LV (HD) + HARD COVER (Provisional Item)</v>
      </c>
      <c r="C191" s="56">
        <v>79</v>
      </c>
      <c r="D191" s="50" t="s">
        <v>502</v>
      </c>
      <c r="E191" s="50" t="str">
        <f>VLOOKUP(A191,Estimate!A:D,4,FALSE)</f>
        <v xml:space="preserve">m    </v>
      </c>
    </row>
    <row r="192" spans="1:5" x14ac:dyDescent="0.25">
      <c r="A192" s="48">
        <v>99.1</v>
      </c>
      <c r="B192" s="49" t="str">
        <f>VLOOKUP(A192,Estimate!A:C,3,FALSE)</f>
        <v>Excavator - 25T</v>
      </c>
      <c r="C192" s="56">
        <v>79</v>
      </c>
      <c r="D192" s="50" t="s">
        <v>502</v>
      </c>
      <c r="E192" s="50" t="str">
        <f>VLOOKUP(A192,Estimate!A:D,4,FALSE)</f>
        <v xml:space="preserve">hr   </v>
      </c>
    </row>
    <row r="193" spans="1:5" ht="30" x14ac:dyDescent="0.25">
      <c r="A193" s="48">
        <v>100</v>
      </c>
      <c r="B193" s="49" t="str">
        <f>VLOOKUP(A193,Estimate!A:C,3,FALSE)</f>
        <v>Electrical Under Road Bore complete including conduit bends and draw-wire: 1 x 100 dia LV (HD) (Provisional Item)</v>
      </c>
      <c r="C193" s="56">
        <v>20</v>
      </c>
      <c r="D193" s="50" t="s">
        <v>502</v>
      </c>
      <c r="E193" s="50" t="str">
        <f>VLOOKUP(A193,Estimate!A:D,4,FALSE)</f>
        <v xml:space="preserve">m    </v>
      </c>
    </row>
    <row r="194" spans="1:5" x14ac:dyDescent="0.25">
      <c r="A194" s="48">
        <v>101</v>
      </c>
      <c r="B194" s="49" t="str">
        <f>VLOOKUP(A194,Estimate!A:C,3,FALSE)</f>
        <v>Electrical Mains Cable Pit (Provisional Item)</v>
      </c>
      <c r="C194" s="56">
        <v>2</v>
      </c>
      <c r="D194" s="50" t="s">
        <v>502</v>
      </c>
      <c r="E194" s="50" t="str">
        <f>VLOOKUP(A194,Estimate!A:D,4,FALSE)</f>
        <v xml:space="preserve">No   </v>
      </c>
    </row>
    <row r="195" spans="1:5" x14ac:dyDescent="0.25">
      <c r="A195" s="48">
        <v>101.1</v>
      </c>
      <c r="B195" s="49" t="str">
        <f>VLOOKUP(A195,Estimate!A:C,3,FALSE)</f>
        <v>Excavator - 25T</v>
      </c>
      <c r="C195" s="56">
        <v>1</v>
      </c>
      <c r="D195" s="50" t="s">
        <v>500</v>
      </c>
      <c r="E195" s="50" t="str">
        <f>VLOOKUP(A195,Estimate!A:D,4,FALSE)</f>
        <v xml:space="preserve">hr   </v>
      </c>
    </row>
    <row r="196" spans="1:5" ht="45" x14ac:dyDescent="0.25">
      <c r="A196" s="48">
        <v>102</v>
      </c>
      <c r="B196" s="49" t="str">
        <f>VLOOKUP(A196,Estimate!A:C,3,FALSE)</f>
        <v>Street Light Bases Complete in Place, including supply of rag bolts and excluding  Conduiting Major Pole Base (NB - ALL 10.5m POLES NEED THE LARGER BASES)</v>
      </c>
      <c r="C196" s="56">
        <v>2</v>
      </c>
      <c r="D196" s="50" t="s">
        <v>502</v>
      </c>
      <c r="E196" s="50" t="str">
        <f>VLOOKUP(A196,Estimate!A:D,4,FALSE)</f>
        <v xml:space="preserve">No   </v>
      </c>
    </row>
    <row r="197" spans="1:5" x14ac:dyDescent="0.25">
      <c r="A197" s="48">
        <v>102.1</v>
      </c>
      <c r="B197" s="49" t="str">
        <f>VLOOKUP(A197,Estimate!A:C,3,FALSE)</f>
        <v>Excavator - 25T</v>
      </c>
      <c r="C197" s="56">
        <v>0.5</v>
      </c>
      <c r="D197" s="50" t="s">
        <v>500</v>
      </c>
      <c r="E197" s="50" t="str">
        <f>VLOOKUP(A197,Estimate!A:D,4,FALSE)</f>
        <v xml:space="preserve">hr   </v>
      </c>
    </row>
    <row r="198" spans="1:5" ht="30" x14ac:dyDescent="0.25">
      <c r="A198" s="48">
        <v>103</v>
      </c>
      <c r="B198" s="49" t="str">
        <f>VLOOKUP(A198,Estimate!A:C,3,FALSE)</f>
        <v>Soil Management Measures inclusive of: Prepare batters and drains for hydromulch placement</v>
      </c>
      <c r="C198" s="56">
        <v>1000</v>
      </c>
      <c r="D198" s="50" t="s">
        <v>502</v>
      </c>
      <c r="E198" s="50" t="str">
        <f>VLOOKUP(A198,Estimate!A:D,4,FALSE)</f>
        <v xml:space="preserve">m2   </v>
      </c>
    </row>
    <row r="199" spans="1:5" x14ac:dyDescent="0.25">
      <c r="A199" s="48">
        <v>103.1</v>
      </c>
      <c r="B199" s="49" t="str">
        <f>VLOOKUP(A199,Estimate!A:C,3,FALSE)</f>
        <v>Grader</v>
      </c>
      <c r="C199" s="56">
        <v>400</v>
      </c>
      <c r="D199" s="50" t="s">
        <v>500</v>
      </c>
      <c r="E199" s="50" t="str">
        <f>VLOOKUP(A199,Estimate!A:D,4,FALSE)</f>
        <v xml:space="preserve">hr   </v>
      </c>
    </row>
    <row r="200" spans="1:5" ht="30" x14ac:dyDescent="0.25">
      <c r="A200" s="48">
        <v>104</v>
      </c>
      <c r="B200" s="49" t="str">
        <f>VLOOKUP(A200,Estimate!A:C,3,FALSE)</f>
        <v>Soil Management Measures inclusive of: Hydromulch to all disturbed areas as directed (batters and drains)</v>
      </c>
      <c r="C200" s="56">
        <v>1000</v>
      </c>
      <c r="D200" s="50" t="s">
        <v>502</v>
      </c>
      <c r="E200" s="50" t="str">
        <f>VLOOKUP(A200,Estimate!A:D,4,FALSE)</f>
        <v xml:space="preserve">m2   </v>
      </c>
    </row>
    <row r="201" spans="1:5" x14ac:dyDescent="0.25">
      <c r="A201" s="48">
        <v>104.1</v>
      </c>
      <c r="B201" s="49" t="str">
        <f>VLOOKUP(A201,Estimate!A:C,3,FALSE)</f>
        <v>Water Cart - Hire</v>
      </c>
      <c r="C201" s="56">
        <v>550</v>
      </c>
      <c r="D201" s="50" t="s">
        <v>500</v>
      </c>
      <c r="E201" s="50" t="str">
        <f>VLOOKUP(A201,Estimate!A:D,4,FALSE)</f>
        <v xml:space="preserve">hr   </v>
      </c>
    </row>
    <row r="202" spans="1:5" ht="30" x14ac:dyDescent="0.25">
      <c r="A202" s="48">
        <v>105</v>
      </c>
      <c r="B202" s="49" t="str">
        <f>VLOOKUP(A202,Estimate!A:C,3,FALSE)</f>
        <v>Soil Management Measures inclusive of: Rock check dams as directed</v>
      </c>
      <c r="C202" s="56">
        <v>6</v>
      </c>
      <c r="D202" s="50" t="s">
        <v>502</v>
      </c>
      <c r="E202" s="50" t="str">
        <f>VLOOKUP(A202,Estimate!A:D,4,FALSE)</f>
        <v xml:space="preserve">No   </v>
      </c>
    </row>
    <row r="203" spans="1:5" x14ac:dyDescent="0.25">
      <c r="A203" s="48">
        <v>105.1</v>
      </c>
      <c r="B203" s="49" t="str">
        <f>VLOOKUP(A203,Estimate!A:C,3,FALSE)</f>
        <v>Bobcat</v>
      </c>
      <c r="C203" s="56">
        <v>3</v>
      </c>
      <c r="D203" s="50" t="s">
        <v>500</v>
      </c>
      <c r="E203" s="50" t="str">
        <f>VLOOKUP(A203,Estimate!A:D,4,FALSE)</f>
        <v xml:space="preserve">hr   </v>
      </c>
    </row>
    <row r="204" spans="1:5" x14ac:dyDescent="0.25">
      <c r="A204" s="48">
        <v>106</v>
      </c>
      <c r="B204" s="49" t="str">
        <f>VLOOKUP(A204,Estimate!A:C,3,FALSE)</f>
        <v>Supply and Install New Guide Posts</v>
      </c>
      <c r="C204" s="56">
        <v>11</v>
      </c>
      <c r="D204" s="50" t="s">
        <v>502</v>
      </c>
      <c r="E204" s="50" t="str">
        <f>VLOOKUP(A204,Estimate!A:D,4,FALSE)</f>
        <v xml:space="preserve">No   </v>
      </c>
    </row>
    <row r="205" spans="1:5" x14ac:dyDescent="0.25">
      <c r="A205" s="48">
        <v>107</v>
      </c>
      <c r="B205" s="49" t="str">
        <f>VLOOKUP(A205,Estimate!A:C,3,FALSE)</f>
        <v>Supply and Install New Give Way Sign R1-2</v>
      </c>
      <c r="C205" s="56">
        <v>1</v>
      </c>
      <c r="D205" s="50" t="s">
        <v>502</v>
      </c>
      <c r="E205" s="50" t="str">
        <f>VLOOKUP(A205,Estimate!A:D,4,FALSE)</f>
        <v xml:space="preserve">No   </v>
      </c>
    </row>
    <row r="206" spans="1:5" x14ac:dyDescent="0.25">
      <c r="A206" s="48">
        <v>107.1</v>
      </c>
      <c r="B206" s="49" t="str">
        <f>VLOOKUP(A206,Estimate!A:C,3,FALSE)</f>
        <v>Labour</v>
      </c>
      <c r="C206" s="56">
        <v>1</v>
      </c>
      <c r="D206" s="50" t="s">
        <v>500</v>
      </c>
      <c r="E206" s="50" t="str">
        <f>VLOOKUP(A206,Estimate!A:D,4,FALSE)</f>
        <v xml:space="preserve">hr   </v>
      </c>
    </row>
    <row r="207" spans="1:5" ht="45" x14ac:dyDescent="0.25">
      <c r="A207" s="48">
        <v>108</v>
      </c>
      <c r="B207" s="49" t="str">
        <f>VLOOKUP(A207,Estimate!A:C,3,FALSE)</f>
        <v>Linemarking Complete,Dysart Bypass Rd - Middlemount Rd Intersection - Reinstate existing and new lines as per drawing No 842 - R19</v>
      </c>
      <c r="C207" s="56">
        <v>1</v>
      </c>
      <c r="D207" s="50" t="s">
        <v>502</v>
      </c>
      <c r="E207" s="50" t="str">
        <f>VLOOKUP(A207,Estimate!A:D,4,FALSE)</f>
        <v xml:space="preserve">Item </v>
      </c>
    </row>
    <row r="208" spans="1:5" ht="45" x14ac:dyDescent="0.25">
      <c r="A208" s="48">
        <v>109</v>
      </c>
      <c r="B208" s="49" t="str">
        <f>VLOOKUP(A208,Estimate!A:C,3,FALSE)</f>
        <v>Drainage - Ch 140 Middlemount Road Culvert 1A - Extend existing 600 x 300 RCBC RHS, complete in place incl. excavate, sand, supply, lay and backfill</v>
      </c>
      <c r="C208" s="56">
        <v>3.6</v>
      </c>
      <c r="D208" s="50" t="s">
        <v>502</v>
      </c>
      <c r="E208" s="50" t="str">
        <f>VLOOKUP(A208,Estimate!A:D,4,FALSE)</f>
        <v xml:space="preserve">m    </v>
      </c>
    </row>
    <row r="209" spans="1:5" x14ac:dyDescent="0.25">
      <c r="A209" s="48">
        <v>109.1</v>
      </c>
      <c r="B209" s="49" t="str">
        <f>VLOOKUP(A209,Estimate!A:C,3,FALSE)</f>
        <v>Excavator - 25T</v>
      </c>
      <c r="C209" s="56">
        <v>1.8</v>
      </c>
      <c r="D209" s="50" t="s">
        <v>500</v>
      </c>
      <c r="E209" s="50" t="str">
        <f>VLOOKUP(A209,Estimate!A:D,4,FALSE)</f>
        <v xml:space="preserve">hr   </v>
      </c>
    </row>
    <row r="210" spans="1:5" x14ac:dyDescent="0.25">
      <c r="A210" s="48">
        <v>109.2</v>
      </c>
      <c r="B210" s="49" t="str">
        <f>VLOOKUP(A210,Estimate!A:C,3,FALSE)</f>
        <v>Bobcat</v>
      </c>
      <c r="C210" s="56">
        <v>0.9</v>
      </c>
      <c r="D210" s="50" t="s">
        <v>500</v>
      </c>
      <c r="E210" s="50" t="str">
        <f>VLOOKUP(A210,Estimate!A:D,4,FALSE)</f>
        <v xml:space="preserve">hr   </v>
      </c>
    </row>
    <row r="211" spans="1:5" x14ac:dyDescent="0.25">
      <c r="A211" s="48">
        <v>109.3</v>
      </c>
      <c r="B211" s="49" t="str">
        <f>VLOOKUP(A211,Estimate!A:C,3,FALSE)</f>
        <v>Excavator - 25T</v>
      </c>
      <c r="C211" s="56">
        <v>3</v>
      </c>
      <c r="D211" s="50" t="s">
        <v>500</v>
      </c>
      <c r="E211" s="50" t="str">
        <f>VLOOKUP(A211,Estimate!A:D,4,FALSE)</f>
        <v xml:space="preserve">hr   </v>
      </c>
    </row>
    <row r="212" spans="1:5" x14ac:dyDescent="0.25">
      <c r="A212" s="48">
        <v>109.4</v>
      </c>
      <c r="B212" s="49" t="str">
        <f>VLOOKUP(A212,Estimate!A:C,3,FALSE)</f>
        <v>Bobcat</v>
      </c>
      <c r="C212" s="56">
        <v>1.8</v>
      </c>
      <c r="D212" s="50" t="s">
        <v>500</v>
      </c>
      <c r="E212" s="50" t="str">
        <f>VLOOKUP(A212,Estimate!A:D,4,FALSE)</f>
        <v xml:space="preserve">hr   </v>
      </c>
    </row>
    <row r="213" spans="1:5" ht="30" x14ac:dyDescent="0.25">
      <c r="A213" s="48">
        <v>110</v>
      </c>
      <c r="B213" s="49" t="str">
        <f>VLOOKUP(A213,Estimate!A:C,3,FALSE)</f>
        <v>Drainage - Ch 140 Middlemount Road - 1/600 x 300 Cast Insitu Endwall and Apron to Main Roads Std Dwgs complete in place</v>
      </c>
      <c r="C213" s="56">
        <v>1</v>
      </c>
      <c r="D213" s="50" t="s">
        <v>502</v>
      </c>
      <c r="E213" s="50" t="str">
        <f>VLOOKUP(A213,Estimate!A:D,4,FALSE)</f>
        <v xml:space="preserve">No   </v>
      </c>
    </row>
    <row r="214" spans="1:5" x14ac:dyDescent="0.25">
      <c r="A214" s="48">
        <v>110.1</v>
      </c>
      <c r="B214" s="49" t="str">
        <f>VLOOKUP(A214,Estimate!A:C,3,FALSE)</f>
        <v>Labour</v>
      </c>
      <c r="C214" s="56">
        <v>0.25</v>
      </c>
      <c r="D214" s="50" t="s">
        <v>500</v>
      </c>
      <c r="E214" s="50" t="str">
        <f>VLOOKUP(A214,Estimate!A:D,4,FALSE)</f>
        <v xml:space="preserve">hr   </v>
      </c>
    </row>
    <row r="215" spans="1:5" ht="45" x14ac:dyDescent="0.25">
      <c r="A215" s="48">
        <v>111</v>
      </c>
      <c r="B215" s="49" t="str">
        <f>VLOOKUP(A215,Estimate!A:C,3,FALSE)</f>
        <v>Provision for Traffic and Safety including an approved Traffic Management Plan required by Council prior to commencement of site works.</v>
      </c>
      <c r="C215" s="56">
        <v>1</v>
      </c>
      <c r="D215" s="50" t="s">
        <v>502</v>
      </c>
      <c r="E215" s="50" t="str">
        <f>VLOOKUP(A215,Estimate!A:D,4,FALSE)</f>
        <v xml:space="preserve">Item </v>
      </c>
    </row>
    <row r="216" spans="1:5" x14ac:dyDescent="0.25">
      <c r="A216" s="48">
        <v>112</v>
      </c>
      <c r="B216" s="49" t="str">
        <f>VLOOKUP(A216,Estimate!A:C,3,FALSE)</f>
        <v>Construction Setout by Contractor</v>
      </c>
      <c r="C216" s="56">
        <v>1</v>
      </c>
      <c r="D216" s="50" t="s">
        <v>502</v>
      </c>
      <c r="E216" s="50" t="str">
        <f>VLOOKUP(A216,Estimate!A:D,4,FALSE)</f>
        <v xml:space="preserve">Item </v>
      </c>
    </row>
    <row r="217" spans="1:5" ht="30" x14ac:dyDescent="0.25">
      <c r="A217" s="48">
        <v>113</v>
      </c>
      <c r="B217" s="49" t="str">
        <f>VLOOKUP(A217,Estimate!A:C,3,FALSE)</f>
        <v>Provision of evidence of Public Liability Insurance ($10 million), and Workers Compensation Insurance for the works.</v>
      </c>
      <c r="C217" s="56">
        <v>1</v>
      </c>
      <c r="D217" s="50" t="s">
        <v>502</v>
      </c>
      <c r="E217" s="50" t="str">
        <f>VLOOKUP(A217,Estimate!A:D,4,FALSE)</f>
        <v xml:space="preserve">Item </v>
      </c>
    </row>
    <row r="218" spans="1:5" ht="30" x14ac:dyDescent="0.25">
      <c r="A218" s="48">
        <v>114</v>
      </c>
      <c r="B218" s="49" t="str">
        <f>VLOOKUP(A218,Estimate!A:C,3,FALSE)</f>
        <v>Locate Existing Services (Dial-Before-You-Dig, CapVac Truck etc) as required in existing road reserves</v>
      </c>
      <c r="C218" s="56">
        <v>1</v>
      </c>
      <c r="D218" s="50" t="s">
        <v>502</v>
      </c>
      <c r="E218" s="50" t="str">
        <f>VLOOKUP(A218,Estimate!A:D,4,FALSE)</f>
        <v xml:space="preserve">Item </v>
      </c>
    </row>
    <row r="219" spans="1:5" x14ac:dyDescent="0.25">
      <c r="A219" s="48">
        <v>115</v>
      </c>
      <c r="B219" s="49" t="str">
        <f>VLOOKUP(A219,Estimate!A:C,3,FALSE)</f>
        <v>As Constructed Survey Data to Council Requirements.</v>
      </c>
      <c r="C219" s="56">
        <v>1</v>
      </c>
      <c r="D219" s="50" t="s">
        <v>502</v>
      </c>
      <c r="E219" s="50" t="str">
        <f>VLOOKUP(A219,Estimate!A:D,4,FALSE)</f>
        <v xml:space="preserve">Item </v>
      </c>
    </row>
    <row r="220" spans="1:5" ht="30" x14ac:dyDescent="0.25">
      <c r="A220" s="48">
        <v>116</v>
      </c>
      <c r="B220" s="49" t="str">
        <f>VLOOKUP(A220,Estimate!A:C,3,FALSE)</f>
        <v>Geotechnical Testing by NATA Registered laboratory - Subgrade Compaction testing as specified</v>
      </c>
      <c r="C220" s="56">
        <v>4</v>
      </c>
      <c r="D220" s="50" t="s">
        <v>502</v>
      </c>
      <c r="E220" s="50" t="str">
        <f>VLOOKUP(A220,Estimate!A:D,4,FALSE)</f>
        <v xml:space="preserve"> No  </v>
      </c>
    </row>
    <row r="221" spans="1:5" x14ac:dyDescent="0.25">
      <c r="A221" s="48">
        <v>117</v>
      </c>
      <c r="B221" s="49" t="str">
        <f>VLOOKUP(A221,Estimate!A:C,3,FALSE)</f>
        <v>Sub-Base Compaction testing as specified - assume 2 layers</v>
      </c>
      <c r="C221" s="56">
        <v>4</v>
      </c>
      <c r="D221" s="50" t="s">
        <v>502</v>
      </c>
      <c r="E221" s="50" t="str">
        <f>VLOOKUP(A221,Estimate!A:D,4,FALSE)</f>
        <v xml:space="preserve"> No  </v>
      </c>
    </row>
    <row r="222" spans="1:5" x14ac:dyDescent="0.25">
      <c r="A222" s="48">
        <v>118</v>
      </c>
      <c r="B222" s="49" t="str">
        <f>VLOOKUP(A222,Estimate!A:C,3,FALSE)</f>
        <v>Base Compaction testing as specified</v>
      </c>
      <c r="C222" s="56">
        <v>2</v>
      </c>
      <c r="D222" s="50" t="s">
        <v>502</v>
      </c>
      <c r="E222" s="50" t="str">
        <f>VLOOKUP(A222,Estimate!A:D,4,FALSE)</f>
        <v xml:space="preserve"> No  </v>
      </c>
    </row>
    <row r="223" spans="1:5" ht="30" x14ac:dyDescent="0.25">
      <c r="A223" s="48">
        <v>119</v>
      </c>
      <c r="B223" s="49" t="str">
        <f>VLOOKUP(A223,Estimate!A:C,3,FALSE)</f>
        <v>Sub-Base Quality Testing as specified; Full Atterbergs plus grading plus full Quarry Stockpile results - assume 2 layers</v>
      </c>
      <c r="C223" s="56">
        <v>1</v>
      </c>
      <c r="D223" s="50" t="s">
        <v>502</v>
      </c>
      <c r="E223" s="50" t="str">
        <f>VLOOKUP(A223,Estimate!A:D,4,FALSE)</f>
        <v xml:space="preserve"> No  </v>
      </c>
    </row>
    <row r="224" spans="1:5" ht="30" x14ac:dyDescent="0.25">
      <c r="A224" s="48">
        <v>120</v>
      </c>
      <c r="B224" s="49" t="str">
        <f>VLOOKUP(A224,Estimate!A:C,3,FALSE)</f>
        <v>Base Quality Testing as specified; Full Atterbergs plus grading plus full Quarry Stockpile results</v>
      </c>
      <c r="C224" s="56">
        <v>1</v>
      </c>
      <c r="D224" s="50" t="s">
        <v>502</v>
      </c>
      <c r="E224" s="50" t="str">
        <f>VLOOKUP(A224,Estimate!A:D,4,FALSE)</f>
        <v xml:space="preserve"> No  </v>
      </c>
    </row>
    <row r="225" spans="1:5" ht="30" x14ac:dyDescent="0.25">
      <c r="A225" s="48">
        <v>121</v>
      </c>
      <c r="B225" s="49" t="str">
        <f>VLOOKUP(A225,Estimate!A:C,3,FALSE)</f>
        <v>Clearing &amp; Grubbing, removal of existing kerb and complete offsite disposal of Spoil inclusive of Dump Fees as required.</v>
      </c>
      <c r="C225" s="56">
        <v>1</v>
      </c>
      <c r="D225" s="50" t="s">
        <v>502</v>
      </c>
      <c r="E225" s="50" t="str">
        <f>VLOOKUP(A225,Estimate!A:D,4,FALSE)</f>
        <v xml:space="preserve">Item </v>
      </c>
    </row>
    <row r="226" spans="1:5" x14ac:dyDescent="0.25">
      <c r="A226" s="48">
        <v>121.1</v>
      </c>
      <c r="B226" s="49" t="str">
        <f>VLOOKUP(A226,Estimate!A:C,3,FALSE)</f>
        <v>Excavator - 25T</v>
      </c>
      <c r="C226" s="56">
        <v>0.111</v>
      </c>
      <c r="D226" s="50" t="s">
        <v>500</v>
      </c>
      <c r="E226" s="50" t="str">
        <f>VLOOKUP(A226,Estimate!A:D,4,FALSE)</f>
        <v xml:space="preserve">hr   </v>
      </c>
    </row>
    <row r="227" spans="1:5" ht="45" x14ac:dyDescent="0.25">
      <c r="A227" s="48">
        <v>122</v>
      </c>
      <c r="B227" s="49" t="str">
        <f>VLOOKUP(A227,Estimate!A:C,3,FALSE)</f>
        <v>Earthworks - excavate and place as embankment as directed - Cut to Spoil - to achieve boxed out deep to 500mm - material will be spoiled at IRC Tip.</v>
      </c>
      <c r="C227" s="56">
        <v>396</v>
      </c>
      <c r="D227" s="50" t="s">
        <v>502</v>
      </c>
      <c r="E227" s="50" t="str">
        <f>VLOOKUP(A227,Estimate!A:D,4,FALSE)</f>
        <v xml:space="preserve">m3   </v>
      </c>
    </row>
    <row r="228" spans="1:5" x14ac:dyDescent="0.25">
      <c r="A228" s="48">
        <v>122.1</v>
      </c>
      <c r="B228" s="49" t="str">
        <f>VLOOKUP(A228,Estimate!A:C,3,FALSE)</f>
        <v>Excavator - 25T</v>
      </c>
      <c r="C228" s="56">
        <v>44</v>
      </c>
      <c r="D228" s="50" t="s">
        <v>500</v>
      </c>
      <c r="E228" s="50" t="str">
        <f>VLOOKUP(A228,Estimate!A:D,4,FALSE)</f>
        <v xml:space="preserve">hr   </v>
      </c>
    </row>
    <row r="229" spans="1:5" ht="30" x14ac:dyDescent="0.25">
      <c r="A229" s="48">
        <v>123</v>
      </c>
      <c r="B229" s="49" t="str">
        <f>VLOOKUP(A229,Estimate!A:C,3,FALSE)</f>
        <v>Remove isolated soft spots in subgrade as ordered and replace with Selected Spoil material - Provisional Item</v>
      </c>
      <c r="C229" s="56">
        <v>50</v>
      </c>
      <c r="D229" s="50" t="s">
        <v>502</v>
      </c>
      <c r="E229" s="50" t="str">
        <f>VLOOKUP(A229,Estimate!A:D,4,FALSE)</f>
        <v xml:space="preserve">m3   </v>
      </c>
    </row>
    <row r="230" spans="1:5" x14ac:dyDescent="0.25">
      <c r="A230" s="48">
        <v>123.1</v>
      </c>
      <c r="B230" s="49" t="str">
        <f>VLOOKUP(A230,Estimate!A:C,3,FALSE)</f>
        <v>Excavator - 25T</v>
      </c>
      <c r="C230" s="56">
        <v>10</v>
      </c>
      <c r="D230" s="50" t="s">
        <v>500</v>
      </c>
      <c r="E230" s="50" t="str">
        <f>VLOOKUP(A230,Estimate!A:D,4,FALSE)</f>
        <v xml:space="preserve">hr   </v>
      </c>
    </row>
    <row r="231" spans="1:5" ht="75" x14ac:dyDescent="0.25">
      <c r="A231" s="48">
        <v>124</v>
      </c>
      <c r="B231" s="49" t="str">
        <f>VLOOKUP(A231,Estimate!A:C,3,FALSE)</f>
        <v>Prepare Dysart Bypass Rd - Golden Mile Rd Intersection Subgrade Surface for Gravel Pavement &amp; for Council Inspection, (incl. provision of subgrade levels and compaction test results by Contractor) - Dysart Bypass Rd - Golden Mile Rd Intersection LHS</v>
      </c>
      <c r="C231" s="56">
        <v>434</v>
      </c>
      <c r="D231" s="50" t="s">
        <v>502</v>
      </c>
      <c r="E231" s="50" t="str">
        <f>VLOOKUP(A231,Estimate!A:D,4,FALSE)</f>
        <v xml:space="preserve">m2   </v>
      </c>
    </row>
    <row r="232" spans="1:5" x14ac:dyDescent="0.25">
      <c r="A232" s="48">
        <v>124.1</v>
      </c>
      <c r="B232" s="49" t="str">
        <f>VLOOKUP(A232,Estimate!A:C,3,FALSE)</f>
        <v>Grader</v>
      </c>
      <c r="C232" s="56">
        <v>200</v>
      </c>
      <c r="D232" s="50" t="s">
        <v>500</v>
      </c>
      <c r="E232" s="50" t="str">
        <f>VLOOKUP(A232,Estimate!A:D,4,FALSE)</f>
        <v xml:space="preserve">hr   </v>
      </c>
    </row>
    <row r="233" spans="1:5" x14ac:dyDescent="0.25">
      <c r="A233" s="48">
        <v>125</v>
      </c>
      <c r="B233" s="49" t="str">
        <f>VLOOKUP(A233,Estimate!A:C,3,FALSE)</f>
        <v>Dysart Bypass Rd - Golden Mile Rd Intersection RHS</v>
      </c>
      <c r="C233" s="56">
        <v>830</v>
      </c>
      <c r="D233" s="50" t="s">
        <v>502</v>
      </c>
      <c r="E233" s="50" t="str">
        <f>VLOOKUP(A233,Estimate!A:D,4,FALSE)</f>
        <v xml:space="preserve">m2   </v>
      </c>
    </row>
    <row r="234" spans="1:5" x14ac:dyDescent="0.25">
      <c r="A234" s="48">
        <v>125.1</v>
      </c>
      <c r="B234" s="49" t="str">
        <f>VLOOKUP(A234,Estimate!A:C,3,FALSE)</f>
        <v>Grader</v>
      </c>
      <c r="C234" s="56">
        <v>200</v>
      </c>
      <c r="D234" s="50" t="s">
        <v>500</v>
      </c>
      <c r="E234" s="50" t="str">
        <f>VLOOKUP(A234,Estimate!A:D,4,FALSE)</f>
        <v xml:space="preserve">hr   </v>
      </c>
    </row>
    <row r="235" spans="1:5" ht="45" x14ac:dyDescent="0.25">
      <c r="A235" s="48">
        <v>126</v>
      </c>
      <c r="B235" s="49" t="str">
        <f>VLOOKUP(A235,Estimate!A:C,3,FALSE)</f>
        <v>Prepare Base Gravel Surface for Primerseal &amp; for Council Inspection, incl provision of compaction test results - Dysart Bypass Rd - Golden Mile Rd Intersection LHS</v>
      </c>
      <c r="C235" s="56">
        <v>283</v>
      </c>
      <c r="D235" s="50" t="s">
        <v>502</v>
      </c>
      <c r="E235" s="50" t="str">
        <f>VLOOKUP(A235,Estimate!A:D,4,FALSE)</f>
        <v xml:space="preserve">m2   </v>
      </c>
    </row>
    <row r="236" spans="1:5" x14ac:dyDescent="0.25">
      <c r="A236" s="48">
        <v>126.1</v>
      </c>
      <c r="B236" s="49" t="str">
        <f>VLOOKUP(A236,Estimate!A:C,3,FALSE)</f>
        <v>Grader</v>
      </c>
      <c r="C236" s="56">
        <v>275</v>
      </c>
      <c r="D236" s="50" t="s">
        <v>500</v>
      </c>
      <c r="E236" s="50" t="str">
        <f>VLOOKUP(A236,Estimate!A:D,4,FALSE)</f>
        <v xml:space="preserve">hr   </v>
      </c>
    </row>
    <row r="237" spans="1:5" x14ac:dyDescent="0.25">
      <c r="A237" s="48">
        <v>127</v>
      </c>
      <c r="B237" s="49" t="str">
        <f>VLOOKUP(A237,Estimate!A:C,3,FALSE)</f>
        <v>Dysart Bypass Rd - Golden Mile Rd Intersection RHS</v>
      </c>
      <c r="C237" s="56">
        <v>597</v>
      </c>
      <c r="D237" s="50" t="s">
        <v>502</v>
      </c>
      <c r="E237" s="50" t="str">
        <f>VLOOKUP(A237,Estimate!A:D,4,FALSE)</f>
        <v xml:space="preserve">m2   </v>
      </c>
    </row>
    <row r="238" spans="1:5" x14ac:dyDescent="0.25">
      <c r="A238" s="48">
        <v>127.1</v>
      </c>
      <c r="B238" s="49" t="str">
        <f>VLOOKUP(A238,Estimate!A:C,3,FALSE)</f>
        <v>Grader</v>
      </c>
      <c r="C238" s="56">
        <v>275</v>
      </c>
      <c r="D238" s="50" t="s">
        <v>500</v>
      </c>
      <c r="E238" s="50" t="str">
        <f>VLOOKUP(A238,Estimate!A:D,4,FALSE)</f>
        <v xml:space="preserve">hr   </v>
      </c>
    </row>
    <row r="239" spans="1:5" ht="60" x14ac:dyDescent="0.25">
      <c r="A239" s="48">
        <v>128</v>
      </c>
      <c r="B239" s="49" t="str">
        <f>VLOOKUP(A239,Estimate!A:C,3,FALSE)</f>
        <v>Gravel Pavement - In Place complete, including supply, spreading, watering, rolling and trimming:- Dysart Bypass Rd - Golden Mile Rd Intersection LHS - Base QT Type 2.1 @ 150mm deep</v>
      </c>
      <c r="C239" s="56">
        <v>46</v>
      </c>
      <c r="D239" s="50" t="s">
        <v>502</v>
      </c>
      <c r="E239" s="50" t="str">
        <f>VLOOKUP(A239,Estimate!A:D,4,FALSE)</f>
        <v xml:space="preserve">m3   </v>
      </c>
    </row>
    <row r="240" spans="1:5" x14ac:dyDescent="0.25">
      <c r="A240" s="48">
        <v>128.1</v>
      </c>
      <c r="B240" s="49" t="str">
        <f>VLOOKUP(A240,Estimate!A:C,3,FALSE)</f>
        <v>Grader</v>
      </c>
      <c r="C240" s="56">
        <v>66.667000000000002</v>
      </c>
      <c r="D240" s="50" t="s">
        <v>500</v>
      </c>
      <c r="E240" s="50" t="str">
        <f>VLOOKUP(A240,Estimate!A:D,4,FALSE)</f>
        <v xml:space="preserve">hr   </v>
      </c>
    </row>
    <row r="241" spans="1:5" ht="60" x14ac:dyDescent="0.25">
      <c r="A241" s="48">
        <v>129</v>
      </c>
      <c r="B241" s="49" t="str">
        <f>VLOOKUP(A241,Estimate!A:C,3,FALSE)</f>
        <v>Gravel Pavement - In Place complete, including supply, spreading, watering, rolling and trimming:- Dysart Bypass Rd - Golden Mile Rd Intersection LHS - Upper Sub-Base QT Type 2.3 @ 200mm deep</v>
      </c>
      <c r="C241" s="56">
        <v>72</v>
      </c>
      <c r="D241" s="50" t="s">
        <v>502</v>
      </c>
      <c r="E241" s="50" t="str">
        <f>VLOOKUP(A241,Estimate!A:D,4,FALSE)</f>
        <v xml:space="preserve">m3   </v>
      </c>
    </row>
    <row r="242" spans="1:5" x14ac:dyDescent="0.25">
      <c r="A242" s="48">
        <v>129.1</v>
      </c>
      <c r="B242" s="49" t="str">
        <f>VLOOKUP(A242,Estimate!A:C,3,FALSE)</f>
        <v>Grader</v>
      </c>
      <c r="C242" s="56">
        <v>66.667000000000002</v>
      </c>
      <c r="D242" s="50" t="s">
        <v>500</v>
      </c>
      <c r="E242" s="50" t="str">
        <f>VLOOKUP(A242,Estimate!A:D,4,FALSE)</f>
        <v xml:space="preserve">hr   </v>
      </c>
    </row>
    <row r="243" spans="1:5" ht="60" x14ac:dyDescent="0.25">
      <c r="A243" s="48">
        <v>130</v>
      </c>
      <c r="B243" s="49" t="str">
        <f>VLOOKUP(A243,Estimate!A:C,3,FALSE)</f>
        <v>Gravel Pavement - In Place complete, including supply, spreading, watering, rolling and trimming:- Dysart Bypass Rd - Golden Mile Rd Intersection LHS - Lower Sub-Base QT Type 2.5 @ 150mm deep</v>
      </c>
      <c r="C243" s="56">
        <v>62</v>
      </c>
      <c r="D243" s="50" t="s">
        <v>502</v>
      </c>
      <c r="E243" s="50" t="str">
        <f>VLOOKUP(A243,Estimate!A:D,4,FALSE)</f>
        <v xml:space="preserve">m3   </v>
      </c>
    </row>
    <row r="244" spans="1:5" x14ac:dyDescent="0.25">
      <c r="A244" s="48">
        <v>130.1</v>
      </c>
      <c r="B244" s="49" t="str">
        <f>VLOOKUP(A244,Estimate!A:C,3,FALSE)</f>
        <v>Grader</v>
      </c>
      <c r="C244" s="56">
        <v>66.667000000000002</v>
      </c>
      <c r="D244" s="50" t="s">
        <v>500</v>
      </c>
      <c r="E244" s="50" t="str">
        <f>VLOOKUP(A244,Estimate!A:D,4,FALSE)</f>
        <v xml:space="preserve">hr   </v>
      </c>
    </row>
    <row r="245" spans="1:5" ht="60" x14ac:dyDescent="0.25">
      <c r="A245" s="48">
        <v>131</v>
      </c>
      <c r="B245" s="49" t="str">
        <f>VLOOKUP(A245,Estimate!A:C,3,FALSE)</f>
        <v>Gravel Pavement - In Place complete, including supply, spreading, watering, rolling and trimming:- Dysart Bypass Rd - Golden Mile Rd Intersection RHS - Base QT Type 2.1 @ 150mm deep</v>
      </c>
      <c r="C245" s="56">
        <v>95</v>
      </c>
      <c r="D245" s="50" t="s">
        <v>502</v>
      </c>
      <c r="E245" s="50" t="str">
        <f>VLOOKUP(A245,Estimate!A:D,4,FALSE)</f>
        <v xml:space="preserve">m3   </v>
      </c>
    </row>
    <row r="246" spans="1:5" x14ac:dyDescent="0.25">
      <c r="A246" s="48">
        <v>131.1</v>
      </c>
      <c r="B246" s="49" t="str">
        <f>VLOOKUP(A246,Estimate!A:C,3,FALSE)</f>
        <v>Grader</v>
      </c>
      <c r="C246" s="56">
        <v>66.667000000000002</v>
      </c>
      <c r="D246" s="50" t="s">
        <v>500</v>
      </c>
      <c r="E246" s="50" t="str">
        <f>VLOOKUP(A246,Estimate!A:D,4,FALSE)</f>
        <v xml:space="preserve">hr   </v>
      </c>
    </row>
    <row r="247" spans="1:5" ht="60" x14ac:dyDescent="0.25">
      <c r="A247" s="48">
        <v>132</v>
      </c>
      <c r="B247" s="49" t="str">
        <f>VLOOKUP(A247,Estimate!A:C,3,FALSE)</f>
        <v>Gravel Pavement - In Place complete, including supply, spreading, watering, rolling and trimming:- Dysart Bypass Rd - Golden Mile Rd Intersection RHS - Upper Sub-Base QT Type 2.3 @ 200mm deep</v>
      </c>
      <c r="C247" s="56">
        <v>143</v>
      </c>
      <c r="D247" s="50" t="s">
        <v>502</v>
      </c>
      <c r="E247" s="50" t="str">
        <f>VLOOKUP(A247,Estimate!A:D,4,FALSE)</f>
        <v xml:space="preserve">m3   </v>
      </c>
    </row>
    <row r="248" spans="1:5" x14ac:dyDescent="0.25">
      <c r="A248" s="48">
        <v>132.1</v>
      </c>
      <c r="B248" s="49" t="str">
        <f>VLOOKUP(A248,Estimate!A:C,3,FALSE)</f>
        <v>Grader</v>
      </c>
      <c r="C248" s="56">
        <v>66.667000000000002</v>
      </c>
      <c r="D248" s="50" t="s">
        <v>500</v>
      </c>
      <c r="E248" s="50" t="str">
        <f>VLOOKUP(A248,Estimate!A:D,4,FALSE)</f>
        <v xml:space="preserve">hr   </v>
      </c>
    </row>
    <row r="249" spans="1:5" ht="60" x14ac:dyDescent="0.25">
      <c r="A249" s="48">
        <v>133</v>
      </c>
      <c r="B249" s="49" t="str">
        <f>VLOOKUP(A249,Estimate!A:C,3,FALSE)</f>
        <v>Gravel Pavement - In Place complete, including supply, spreading, watering, rolling and trimming:- Dysart Bypass Rd - Golden Mile Rd Intersection RHS - Lower Sub-Base QT Type 2.5 @ 150mm deep</v>
      </c>
      <c r="C249" s="56">
        <v>119</v>
      </c>
      <c r="D249" s="50" t="s">
        <v>502</v>
      </c>
      <c r="E249" s="50" t="str">
        <f>VLOOKUP(A249,Estimate!A:D,4,FALSE)</f>
        <v xml:space="preserve">m3   </v>
      </c>
    </row>
    <row r="250" spans="1:5" x14ac:dyDescent="0.25">
      <c r="A250" s="48">
        <v>133.1</v>
      </c>
      <c r="B250" s="49" t="str">
        <f>VLOOKUP(A250,Estimate!A:C,3,FALSE)</f>
        <v>Grader</v>
      </c>
      <c r="C250" s="56">
        <v>66.667000000000002</v>
      </c>
      <c r="D250" s="50" t="s">
        <v>500</v>
      </c>
      <c r="E250" s="50" t="str">
        <f>VLOOKUP(A250,Estimate!A:D,4,FALSE)</f>
        <v xml:space="preserve">hr   </v>
      </c>
    </row>
    <row r="251" spans="1:5" ht="45" x14ac:dyDescent="0.25">
      <c r="A251" s="48">
        <v>134</v>
      </c>
      <c r="B251" s="49" t="str">
        <f>VLOOKUP(A251,Estimate!A:C,3,FALSE)</f>
        <v>Provisional Item Pavement Repairs - Cement Stabilise 4% by weight 200mm deep any failed areas identified by the Superintendent as ordered.</v>
      </c>
      <c r="C251" s="56">
        <v>30</v>
      </c>
      <c r="D251" s="50" t="s">
        <v>502</v>
      </c>
      <c r="E251" s="50" t="str">
        <f>VLOOKUP(A251,Estimate!A:D,4,FALSE)</f>
        <v xml:space="preserve">m2   </v>
      </c>
    </row>
    <row r="252" spans="1:5" x14ac:dyDescent="0.25">
      <c r="A252" s="48">
        <v>134.1</v>
      </c>
      <c r="B252" s="49" t="str">
        <f>VLOOKUP(A252,Estimate!A:C,3,FALSE)</f>
        <v>Stabilising</v>
      </c>
      <c r="C252" s="56">
        <v>3.3330000000000002</v>
      </c>
      <c r="D252" s="50" t="s">
        <v>500</v>
      </c>
      <c r="E252" s="50">
        <f>VLOOKUP(A252,Estimate!A:D,4,FALSE)</f>
        <v>0</v>
      </c>
    </row>
    <row r="253" spans="1:5" ht="60" x14ac:dyDescent="0.25">
      <c r="A253" s="48">
        <v>135</v>
      </c>
      <c r="B253" s="49" t="str">
        <f>VLOOKUP(A253,Estimate!A:C,3,FALSE)</f>
        <v>Bitumen Seal - complete in place (10mm primerseal ) ; spray rates nominally to be 1.1 l/sqm C170 - SEAL DESIGN TO BE CONFIRMED - Dysart Bypass Rd - Golden Mile Rd Intersection LHS</v>
      </c>
      <c r="C253" s="56">
        <v>283</v>
      </c>
      <c r="D253" s="50" t="s">
        <v>502</v>
      </c>
      <c r="E253" s="50" t="str">
        <f>VLOOKUP(A253,Estimate!A:D,4,FALSE)</f>
        <v xml:space="preserve">m2   </v>
      </c>
    </row>
    <row r="254" spans="1:5" ht="60" x14ac:dyDescent="0.25">
      <c r="A254" s="48">
        <v>136</v>
      </c>
      <c r="B254" s="49" t="str">
        <f>VLOOKUP(A254,Estimate!A:C,3,FALSE)</f>
        <v>Bitumen Seal - complete in place (10mm primerseal ) ; spray rates nominally to be 1.1 l/sqm C170 - SEAL DESIGN TO BE CONFIRMED - Dysart Bypass Rd - Golden Mile Rd Intersection RHS</v>
      </c>
      <c r="C254" s="56">
        <v>597</v>
      </c>
      <c r="D254" s="50" t="s">
        <v>502</v>
      </c>
      <c r="E254" s="50" t="str">
        <f>VLOOKUP(A254,Estimate!A:D,4,FALSE)</f>
        <v xml:space="preserve">m2   </v>
      </c>
    </row>
    <row r="255" spans="1:5" ht="60" x14ac:dyDescent="0.25">
      <c r="A255" s="48">
        <v>137</v>
      </c>
      <c r="B255" s="49" t="str">
        <f>VLOOKUP(A255,Estimate!A:C,3,FALSE)</f>
        <v>Asphaltic Concrete Pavement MRD Type DG14 and 60 mm minimum thickness - complete in place. - Dysart Bypass Rd - Golden Mile Rd Intersection Complete (overlaying existing seal area)</v>
      </c>
      <c r="C255" s="56">
        <v>2912</v>
      </c>
      <c r="D255" s="50" t="s">
        <v>502</v>
      </c>
      <c r="E255" s="50" t="str">
        <f>VLOOKUP(A255,Estimate!A:D,4,FALSE)</f>
        <v xml:space="preserve">m2   </v>
      </c>
    </row>
    <row r="256" spans="1:5" ht="30" x14ac:dyDescent="0.25">
      <c r="A256" s="48">
        <v>138</v>
      </c>
      <c r="B256" s="49" t="str">
        <f>VLOOKUP(A256,Estimate!A:C,3,FALSE)</f>
        <v>Medians Kerb at Intersections - Type 5 Concrete Kerb in minimum 25 MPa concrete</v>
      </c>
      <c r="C256" s="56">
        <v>67</v>
      </c>
      <c r="D256" s="50" t="s">
        <v>502</v>
      </c>
      <c r="E256" s="50" t="str">
        <f>VLOOKUP(A256,Estimate!A:D,4,FALSE)</f>
        <v xml:space="preserve">m    </v>
      </c>
    </row>
    <row r="257" spans="1:5" ht="60" x14ac:dyDescent="0.25">
      <c r="A257" s="48">
        <v>139</v>
      </c>
      <c r="B257" s="49" t="str">
        <f>VLOOKUP(A257,Estimate!A:C,3,FALSE)</f>
        <v>Street Lighting - Conduits and Bases - Electrical Mains Trenching and Conduiting including bends, draw-wire, sand, bed, backfill, warning tape: 1 x 100 dia LV (HD) + HARD COVER (Provisional Item)</v>
      </c>
      <c r="C257" s="56">
        <v>78</v>
      </c>
      <c r="D257" s="50" t="s">
        <v>502</v>
      </c>
      <c r="E257" s="50" t="str">
        <f>VLOOKUP(A257,Estimate!A:D,4,FALSE)</f>
        <v xml:space="preserve">m    </v>
      </c>
    </row>
    <row r="258" spans="1:5" x14ac:dyDescent="0.25">
      <c r="A258" s="48">
        <v>139.1</v>
      </c>
      <c r="B258" s="49" t="str">
        <f>VLOOKUP(A258,Estimate!A:C,3,FALSE)</f>
        <v>Excavator - 25T</v>
      </c>
      <c r="C258" s="56">
        <v>25</v>
      </c>
      <c r="D258" s="50" t="s">
        <v>500</v>
      </c>
      <c r="E258" s="50" t="str">
        <f>VLOOKUP(A258,Estimate!A:D,4,FALSE)</f>
        <v xml:space="preserve">hr   </v>
      </c>
    </row>
    <row r="259" spans="1:5" ht="30" x14ac:dyDescent="0.25">
      <c r="A259" s="48">
        <v>140</v>
      </c>
      <c r="B259" s="49" t="str">
        <f>VLOOKUP(A259,Estimate!A:C,3,FALSE)</f>
        <v>Electrical Under Road Bore complete including conduit bends and draw-wire: 1 x 100 dia LV (HD) (Provisional Item)</v>
      </c>
      <c r="C259" s="56">
        <v>22</v>
      </c>
      <c r="D259" s="50" t="s">
        <v>502</v>
      </c>
      <c r="E259" s="50" t="str">
        <f>VLOOKUP(A259,Estimate!A:D,4,FALSE)</f>
        <v xml:space="preserve">m    </v>
      </c>
    </row>
    <row r="260" spans="1:5" x14ac:dyDescent="0.25">
      <c r="A260" s="48">
        <v>141</v>
      </c>
      <c r="B260" s="49" t="str">
        <f>VLOOKUP(A260,Estimate!A:C,3,FALSE)</f>
        <v>Electrical Mains Cable Pit (Provisional Item)</v>
      </c>
      <c r="C260" s="56">
        <v>2</v>
      </c>
      <c r="D260" s="50" t="s">
        <v>502</v>
      </c>
      <c r="E260" s="50" t="str">
        <f>VLOOKUP(A260,Estimate!A:D,4,FALSE)</f>
        <v xml:space="preserve">No   </v>
      </c>
    </row>
    <row r="261" spans="1:5" x14ac:dyDescent="0.25">
      <c r="A261" s="48">
        <v>141.1</v>
      </c>
      <c r="B261" s="49" t="str">
        <f>VLOOKUP(A261,Estimate!A:C,3,FALSE)</f>
        <v>Labour</v>
      </c>
      <c r="C261" s="56">
        <v>0.5</v>
      </c>
      <c r="D261" s="50" t="s">
        <v>500</v>
      </c>
      <c r="E261" s="50" t="str">
        <f>VLOOKUP(A261,Estimate!A:D,4,FALSE)</f>
        <v xml:space="preserve">hr   </v>
      </c>
    </row>
    <row r="262" spans="1:5" ht="45" x14ac:dyDescent="0.25">
      <c r="A262" s="48">
        <v>142</v>
      </c>
      <c r="B262" s="49" t="str">
        <f>VLOOKUP(A262,Estimate!A:C,3,FALSE)</f>
        <v>Street Light Bases Complete in Place, including supply of rag bolts and excluding  Conduiting Major Pole Base (NB - ALL 10.5m POLES NEED THE LARGER BASES)</v>
      </c>
      <c r="C262" s="56">
        <v>2</v>
      </c>
      <c r="D262" s="50" t="s">
        <v>502</v>
      </c>
      <c r="E262" s="50" t="str">
        <f>VLOOKUP(A262,Estimate!A:D,4,FALSE)</f>
        <v xml:space="preserve">No   </v>
      </c>
    </row>
    <row r="263" spans="1:5" x14ac:dyDescent="0.25">
      <c r="A263" s="48">
        <v>142.1</v>
      </c>
      <c r="B263" s="49" t="str">
        <f>VLOOKUP(A263,Estimate!A:C,3,FALSE)</f>
        <v>Excavator - 25T</v>
      </c>
      <c r="C263" s="56">
        <v>0.5</v>
      </c>
      <c r="D263" s="50" t="s">
        <v>500</v>
      </c>
      <c r="E263" s="50" t="str">
        <f>VLOOKUP(A263,Estimate!A:D,4,FALSE)</f>
        <v xml:space="preserve">hr   </v>
      </c>
    </row>
    <row r="264" spans="1:5" ht="30" x14ac:dyDescent="0.25">
      <c r="A264" s="48">
        <v>143</v>
      </c>
      <c r="B264" s="49" t="str">
        <f>VLOOKUP(A264,Estimate!A:C,3,FALSE)</f>
        <v>Soil Management Measures inclusive of: - Prepare batters and drains for hydromulch placement</v>
      </c>
      <c r="C264" s="56">
        <v>1000</v>
      </c>
      <c r="D264" s="50" t="s">
        <v>502</v>
      </c>
      <c r="E264" s="50" t="str">
        <f>VLOOKUP(A264,Estimate!A:D,4,FALSE)</f>
        <v xml:space="preserve">m2   </v>
      </c>
    </row>
    <row r="265" spans="1:5" x14ac:dyDescent="0.25">
      <c r="A265" s="48">
        <v>143.1</v>
      </c>
      <c r="B265" s="49" t="str">
        <f>VLOOKUP(A265,Estimate!A:C,3,FALSE)</f>
        <v>Grader</v>
      </c>
      <c r="C265" s="56">
        <v>400</v>
      </c>
      <c r="D265" s="50" t="s">
        <v>500</v>
      </c>
      <c r="E265" s="50" t="str">
        <f>VLOOKUP(A265,Estimate!A:D,4,FALSE)</f>
        <v xml:space="preserve">hr   </v>
      </c>
    </row>
    <row r="266" spans="1:5" ht="30" x14ac:dyDescent="0.25">
      <c r="A266" s="48">
        <v>144</v>
      </c>
      <c r="B266" s="49" t="str">
        <f>VLOOKUP(A266,Estimate!A:C,3,FALSE)</f>
        <v>Hydromulch to all disturbed areas as directed (batters &amp; drains)</v>
      </c>
      <c r="C266" s="56">
        <v>1000</v>
      </c>
      <c r="D266" s="50" t="s">
        <v>502</v>
      </c>
      <c r="E266" s="50" t="str">
        <f>VLOOKUP(A266,Estimate!A:D,4,FALSE)</f>
        <v xml:space="preserve">m2   </v>
      </c>
    </row>
    <row r="267" spans="1:5" x14ac:dyDescent="0.25">
      <c r="A267" s="48">
        <v>144.1</v>
      </c>
      <c r="B267" s="49" t="str">
        <f>VLOOKUP(A267,Estimate!A:C,3,FALSE)</f>
        <v>Water Cart - Hire</v>
      </c>
      <c r="C267" s="56">
        <v>550</v>
      </c>
      <c r="D267" s="50" t="s">
        <v>500</v>
      </c>
      <c r="E267" s="50" t="str">
        <f>VLOOKUP(A267,Estimate!A:D,4,FALSE)</f>
        <v xml:space="preserve">hr   </v>
      </c>
    </row>
    <row r="268" spans="1:5" x14ac:dyDescent="0.25">
      <c r="A268" s="48">
        <v>145</v>
      </c>
      <c r="B268" s="49" t="str">
        <f>VLOOKUP(A268,Estimate!A:C,3,FALSE)</f>
        <v>Rock check dams as directed</v>
      </c>
      <c r="C268" s="56">
        <v>6</v>
      </c>
      <c r="D268" s="50" t="s">
        <v>502</v>
      </c>
      <c r="E268" s="50" t="str">
        <f>VLOOKUP(A268,Estimate!A:D,4,FALSE)</f>
        <v xml:space="preserve">No   </v>
      </c>
    </row>
    <row r="269" spans="1:5" x14ac:dyDescent="0.25">
      <c r="A269" s="48">
        <v>145.1</v>
      </c>
      <c r="B269" s="49" t="str">
        <f>VLOOKUP(A269,Estimate!A:C,3,FALSE)</f>
        <v>Bobcat</v>
      </c>
      <c r="C269" s="56">
        <v>3</v>
      </c>
      <c r="D269" s="50" t="s">
        <v>500</v>
      </c>
      <c r="E269" s="50" t="str">
        <f>VLOOKUP(A269,Estimate!A:D,4,FALSE)</f>
        <v xml:space="preserve">hr   </v>
      </c>
    </row>
    <row r="270" spans="1:5" x14ac:dyDescent="0.25">
      <c r="A270" s="48">
        <v>146</v>
      </c>
      <c r="B270" s="49" t="str">
        <f>VLOOKUP(A270,Estimate!A:C,3,FALSE)</f>
        <v>Supply and Install New Guide Posts</v>
      </c>
      <c r="C270" s="56">
        <v>10</v>
      </c>
      <c r="D270" s="50" t="s">
        <v>502</v>
      </c>
      <c r="E270" s="50" t="str">
        <f>VLOOKUP(A270,Estimate!A:D,4,FALSE)</f>
        <v xml:space="preserve">No   </v>
      </c>
    </row>
    <row r="271" spans="1:5" x14ac:dyDescent="0.25">
      <c r="A271" s="48">
        <v>147</v>
      </c>
      <c r="B271" s="49" t="str">
        <f>VLOOKUP(A271,Estimate!A:C,3,FALSE)</f>
        <v>Supply and Install New Give Way Sign R1-2</v>
      </c>
      <c r="C271" s="56">
        <v>1</v>
      </c>
      <c r="D271" s="50" t="s">
        <v>502</v>
      </c>
      <c r="E271" s="50" t="str">
        <f>VLOOKUP(A271,Estimate!A:D,4,FALSE)</f>
        <v xml:space="preserve">No   </v>
      </c>
    </row>
    <row r="272" spans="1:5" x14ac:dyDescent="0.25">
      <c r="A272" s="48">
        <v>147.1</v>
      </c>
      <c r="B272" s="49" t="str">
        <f>VLOOKUP(A272,Estimate!A:C,3,FALSE)</f>
        <v>Bobcat</v>
      </c>
      <c r="C272" s="56">
        <v>1</v>
      </c>
      <c r="D272" s="50" t="s">
        <v>500</v>
      </c>
      <c r="E272" s="50" t="str">
        <f>VLOOKUP(A272,Estimate!A:D,4,FALSE)</f>
        <v xml:space="preserve">hr   </v>
      </c>
    </row>
    <row r="273" spans="1:6" ht="45" x14ac:dyDescent="0.25">
      <c r="A273" s="48">
        <v>148</v>
      </c>
      <c r="B273" s="49" t="str">
        <f>VLOOKUP(A273,Estimate!A:C,3,FALSE)</f>
        <v xml:space="preserve"> Linemarking Complete,Dysart Bypass Rd - Golden Mile Rd Intersection - Reinstate existing and new lines as per drawing No 842 - R19</v>
      </c>
      <c r="C273" s="56">
        <v>1</v>
      </c>
      <c r="D273" s="50" t="s">
        <v>502</v>
      </c>
      <c r="E273" s="50" t="str">
        <f>VLOOKUP(A273,Estimate!A:D,4,FALSE)</f>
        <v xml:space="preserve">Item </v>
      </c>
    </row>
    <row r="274" spans="1:6" s="57" customFormat="1" x14ac:dyDescent="0.25">
      <c r="A274" s="48">
        <v>149</v>
      </c>
      <c r="B274" s="49" t="str">
        <f>VLOOKUP(A274,Estimate!A:C,3,FALSE)</f>
        <v>PV01 - Revised Tender Rates - Seal &amp; Asphalt</v>
      </c>
      <c r="C274" s="56">
        <v>1</v>
      </c>
      <c r="D274" s="50" t="s">
        <v>502</v>
      </c>
      <c r="E274" s="50" t="str">
        <f>VLOOKUP(A274,Estimate!A:D,4,FALSE)</f>
        <v>item</v>
      </c>
      <c r="F274" s="34"/>
    </row>
    <row r="275" spans="1:6" s="57" customFormat="1" x14ac:dyDescent="0.25">
      <c r="A275" s="48">
        <v>149.1</v>
      </c>
      <c r="B275" s="49" t="str">
        <f>VLOOKUP(A275,Estimate!A:C,3,FALSE)</f>
        <v>E/0 Primer Seal - 10mm</v>
      </c>
      <c r="C275" s="56">
        <v>2280</v>
      </c>
      <c r="D275" s="50" t="s">
        <v>502</v>
      </c>
      <c r="E275" s="50" t="str">
        <f>VLOOKUP(A275,Estimate!A:D,4,FALSE)</f>
        <v xml:space="preserve">m²   </v>
      </c>
      <c r="F275" s="34"/>
    </row>
    <row r="276" spans="1:6" s="57" customFormat="1" x14ac:dyDescent="0.25">
      <c r="A276" s="48">
        <v>149.19999999999999</v>
      </c>
      <c r="B276" s="49" t="str">
        <f>VLOOKUP(A276,Estimate!A:C,3,FALSE)</f>
        <v>E/O First Seal</v>
      </c>
      <c r="C276" s="56">
        <v>4361</v>
      </c>
      <c r="D276" s="50" t="s">
        <v>502</v>
      </c>
      <c r="E276" s="50" t="str">
        <f>VLOOKUP(A276,Estimate!A:D,4,FALSE)</f>
        <v xml:space="preserve">m²   </v>
      </c>
      <c r="F276" s="34"/>
    </row>
    <row r="277" spans="1:6" s="57" customFormat="1" x14ac:dyDescent="0.25">
      <c r="A277" s="48">
        <v>149.30000000000001</v>
      </c>
      <c r="B277" s="49" t="str">
        <f>VLOOKUP(A277,Estimate!A:C,3,FALSE)</f>
        <v>E/O Second Seal</v>
      </c>
      <c r="C277" s="56">
        <v>18501</v>
      </c>
      <c r="D277" s="50" t="s">
        <v>502</v>
      </c>
      <c r="E277" s="50" t="str">
        <f>VLOOKUP(A277,Estimate!A:D,4,FALSE)</f>
        <v xml:space="preserve">m²   </v>
      </c>
      <c r="F277" s="34"/>
    </row>
    <row r="278" spans="1:6" s="57" customFormat="1" x14ac:dyDescent="0.25">
      <c r="A278" s="48">
        <v>149.4</v>
      </c>
      <c r="B278" s="49" t="str">
        <f>VLOOKUP(A278,Estimate!A:C,3,FALSE)</f>
        <v>E/O DG10 AC</v>
      </c>
      <c r="C278" s="56">
        <v>1260</v>
      </c>
      <c r="D278" s="50" t="s">
        <v>502</v>
      </c>
      <c r="E278" s="50" t="str">
        <f>VLOOKUP(A278,Estimate!A:D,4,FALSE)</f>
        <v xml:space="preserve">m²   </v>
      </c>
      <c r="F278" s="34"/>
    </row>
    <row r="279" spans="1:6" s="57" customFormat="1" x14ac:dyDescent="0.25">
      <c r="A279" s="48">
        <v>149.5</v>
      </c>
      <c r="B279" s="49" t="str">
        <f>VLOOKUP(A279,Estimate!A:C,3,FALSE)</f>
        <v>E/O DG14 AC</v>
      </c>
      <c r="C279" s="56">
        <v>5688</v>
      </c>
      <c r="D279" s="50" t="s">
        <v>502</v>
      </c>
      <c r="E279" s="50" t="str">
        <f>VLOOKUP(A279,Estimate!A:D,4,FALSE)</f>
        <v xml:space="preserve">m²   </v>
      </c>
      <c r="F279" s="34"/>
    </row>
    <row r="280" spans="1:6" s="57" customFormat="1" x14ac:dyDescent="0.25">
      <c r="A280" s="48">
        <v>150</v>
      </c>
      <c r="B280" s="49" t="str">
        <f>VLOOKUP(A280,Estimate!A:C,3,FALSE)</f>
        <v>PV02 - Revised pavement design</v>
      </c>
      <c r="C280" s="56">
        <v>1</v>
      </c>
      <c r="D280" s="50" t="s">
        <v>502</v>
      </c>
      <c r="E280" s="50" t="str">
        <f>VLOOKUP(A280,Estimate!A:D,4,FALSE)</f>
        <v>Item</v>
      </c>
      <c r="F280" s="34"/>
    </row>
    <row r="281" spans="1:6" s="57" customFormat="1" x14ac:dyDescent="0.25">
      <c r="A281" s="48">
        <v>150.1</v>
      </c>
      <c r="B281" s="49" t="str">
        <f>VLOOKUP(A281,Estimate!A:C,3,FALSE)</f>
        <v>CBR80</v>
      </c>
      <c r="C281" s="56">
        <v>-2708</v>
      </c>
      <c r="D281" s="50" t="s">
        <v>502</v>
      </c>
      <c r="E281" s="50" t="str">
        <f>VLOOKUP(A281,Estimate!A:D,4,FALSE)</f>
        <v>t</v>
      </c>
      <c r="F281" s="34"/>
    </row>
    <row r="282" spans="1:6" s="57" customFormat="1" x14ac:dyDescent="0.25">
      <c r="A282" s="48">
        <v>150.19999999999999</v>
      </c>
      <c r="B282" s="49" t="str">
        <f>VLOOKUP(A282,Estimate!A:C,3,FALSE)</f>
        <v>CBR45</v>
      </c>
      <c r="C282" s="56">
        <v>-4470</v>
      </c>
      <c r="D282" s="50" t="s">
        <v>502</v>
      </c>
      <c r="E282" s="50" t="str">
        <f>VLOOKUP(A282,Estimate!A:D,4,FALSE)</f>
        <v>t</v>
      </c>
      <c r="F282" s="34"/>
    </row>
    <row r="283" spans="1:6" s="57" customFormat="1" x14ac:dyDescent="0.25">
      <c r="A283" s="48">
        <v>150.30000000000001</v>
      </c>
      <c r="B283" s="49" t="str">
        <f>VLOOKUP(A283,Estimate!A:C,3,FALSE)</f>
        <v>CBR15</v>
      </c>
      <c r="C283" s="56">
        <v>-931</v>
      </c>
      <c r="D283" s="50" t="s">
        <v>502</v>
      </c>
      <c r="E283" s="50" t="str">
        <f>VLOOKUP(A283,Estimate!A:D,4,FALSE)</f>
        <v>t</v>
      </c>
      <c r="F283" s="34"/>
    </row>
    <row r="284" spans="1:6" s="57" customFormat="1" ht="75" x14ac:dyDescent="0.25">
      <c r="A284" s="48">
        <v>151</v>
      </c>
      <c r="B284" s="49" t="str">
        <f>VLOOKUP(A284,Estimate!A:C,3,FALSE)</f>
        <v>Earthworks - excavate and place as embankment as directed - Cut to fill - Ch 18 to Ch 2801 to achieve boxed out widening of existing road x 350mm deep - refer type cross section (total of  2804 m3 of Cut and 225 m3 of Fill)  balance of cut material will be spoiled at IRC Tip</v>
      </c>
      <c r="C284" s="56">
        <v>-2804</v>
      </c>
      <c r="D284" s="50" t="s">
        <v>502</v>
      </c>
      <c r="E284" s="50" t="str">
        <f>VLOOKUP(A284,Estimate!A:D,4,FALSE)</f>
        <v xml:space="preserve">m3   </v>
      </c>
      <c r="F284" s="34"/>
    </row>
    <row r="285" spans="1:6" s="57" customFormat="1" x14ac:dyDescent="0.25">
      <c r="A285" s="48">
        <v>151.1</v>
      </c>
      <c r="B285" s="49" t="str">
        <f>VLOOKUP(A285,Estimate!A:C,3,FALSE)</f>
        <v>Excavator - 25T</v>
      </c>
      <c r="C285" s="56">
        <v>50</v>
      </c>
      <c r="D285" s="50" t="s">
        <v>500</v>
      </c>
      <c r="E285" s="50" t="str">
        <f>VLOOKUP(A285,Estimate!A:D,4,FALSE)</f>
        <v xml:space="preserve">hr   </v>
      </c>
      <c r="F285" s="34"/>
    </row>
    <row r="286" spans="1:6" s="57" customFormat="1" ht="45" x14ac:dyDescent="0.25">
      <c r="A286" s="48">
        <v>152</v>
      </c>
      <c r="B286" s="49" t="str">
        <f>VLOOKUP(A286,Estimate!A:C,3,FALSE)</f>
        <v>REMOVE THIS ITEM: - Remove isolated soft spots in subgrade as ordered and replace with Selected Spoil material - Provisional Item</v>
      </c>
      <c r="C286" s="56">
        <v>-40</v>
      </c>
      <c r="D286" s="50" t="s">
        <v>502</v>
      </c>
      <c r="E286" s="50" t="str">
        <f>VLOOKUP(A286,Estimate!A:D,4,FALSE)</f>
        <v xml:space="preserve">m3   </v>
      </c>
      <c r="F286" s="34"/>
    </row>
    <row r="287" spans="1:6" s="57" customFormat="1" x14ac:dyDescent="0.25">
      <c r="A287" s="48">
        <v>152.1</v>
      </c>
      <c r="B287" s="49" t="str">
        <f>VLOOKUP(A287,Estimate!A:C,3,FALSE)</f>
        <v>Excavator - 25T</v>
      </c>
      <c r="C287" s="56">
        <v>10</v>
      </c>
      <c r="D287" s="50" t="s">
        <v>500</v>
      </c>
      <c r="E287" s="50" t="str">
        <f>VLOOKUP(A287,Estimate!A:D,4,FALSE)</f>
        <v xml:space="preserve">hr   </v>
      </c>
      <c r="F287" s="34"/>
    </row>
    <row r="288" spans="1:6" s="57" customFormat="1" ht="60" x14ac:dyDescent="0.25">
      <c r="A288" s="48">
        <v>153</v>
      </c>
      <c r="B288" s="49" t="str">
        <f>VLOOKUP(A288,Estimate!A:C,3,FALSE)</f>
        <v>REMOVE THIS ITEM: - Provisional Item Allowance to excavate an additional 150mm depth to the pavement box if required over 25% of length (material to spoil at IRC Tip) - Only if ordered by the Superintendent</v>
      </c>
      <c r="C288" s="56">
        <v>-423</v>
      </c>
      <c r="D288" s="50" t="s">
        <v>502</v>
      </c>
      <c r="E288" s="50" t="str">
        <f>VLOOKUP(A288,Estimate!A:D,4,FALSE)</f>
        <v xml:space="preserve">m3   </v>
      </c>
      <c r="F288" s="34"/>
    </row>
    <row r="289" spans="1:6" s="57" customFormat="1" x14ac:dyDescent="0.25">
      <c r="A289" s="48">
        <v>153.1</v>
      </c>
      <c r="B289" s="49" t="str">
        <f>VLOOKUP(A289,Estimate!A:C,3,FALSE)</f>
        <v>Excavator - 25T</v>
      </c>
      <c r="C289" s="56">
        <v>25</v>
      </c>
      <c r="D289" s="50" t="s">
        <v>500</v>
      </c>
      <c r="E289" s="50" t="str">
        <f>VLOOKUP(A289,Estimate!A:D,4,FALSE)</f>
        <v xml:space="preserve">hr   </v>
      </c>
      <c r="F289" s="34"/>
    </row>
    <row r="290" spans="1:6" s="57" customFormat="1" ht="60" x14ac:dyDescent="0.25">
      <c r="A290" s="48">
        <v>154</v>
      </c>
      <c r="B290" s="49" t="str">
        <f>VLOOKUP(A290,Estimate!A:C,3,FALSE)</f>
        <v>Prepare Subgrade Surface for Gravel Pavement &amp; for Council Inspection, (incl. provision of subgrade levels and compaction test results by Contractor) Bypass Road Widening from Ch 18 to Ch 2801</v>
      </c>
      <c r="C290" s="56">
        <v>-11270</v>
      </c>
      <c r="D290" s="50" t="s">
        <v>502</v>
      </c>
      <c r="E290" s="50" t="str">
        <f>VLOOKUP(A290,Estimate!A:D,4,FALSE)</f>
        <v xml:space="preserve">m2   </v>
      </c>
      <c r="F290" s="34"/>
    </row>
    <row r="291" spans="1:6" s="57" customFormat="1" x14ac:dyDescent="0.25">
      <c r="A291" s="48">
        <v>154.1</v>
      </c>
      <c r="B291" s="49" t="str">
        <f>VLOOKUP(A291,Estimate!A:C,3,FALSE)</f>
        <v>Grader</v>
      </c>
      <c r="C291" s="56">
        <v>200</v>
      </c>
      <c r="D291" s="50" t="s">
        <v>500</v>
      </c>
      <c r="E291" s="50" t="str">
        <f>VLOOKUP(A291,Estimate!A:D,4,FALSE)</f>
        <v xml:space="preserve">hr   </v>
      </c>
      <c r="F291" s="34"/>
    </row>
    <row r="292" spans="1:6" s="57" customFormat="1" ht="60" x14ac:dyDescent="0.25">
      <c r="A292" s="48">
        <v>155</v>
      </c>
      <c r="B292" s="49" t="str">
        <f>VLOOKUP(A292,Estimate!A:C,3,FALSE)</f>
        <v>Gravel Pavement Base In Place complete, including supply, spreading, watering, rolling and trimming:- (a) Bypass Road Widening Ch 18 to Ch 2801 - QT Type 2.1 @ 150mm deep x widening area</v>
      </c>
      <c r="C292" s="56">
        <v>-1231</v>
      </c>
      <c r="D292" s="50" t="s">
        <v>502</v>
      </c>
      <c r="E292" s="50" t="str">
        <f>VLOOKUP(A292,Estimate!A:D,4,FALSE)</f>
        <v xml:space="preserve">m3   </v>
      </c>
      <c r="F292" s="34"/>
    </row>
    <row r="293" spans="1:6" s="57" customFormat="1" x14ac:dyDescent="0.25">
      <c r="A293" s="48">
        <v>155.1</v>
      </c>
      <c r="B293" s="49" t="str">
        <f>VLOOKUP(A293,Estimate!A:C,3,FALSE)</f>
        <v>Grader</v>
      </c>
      <c r="C293" s="56">
        <v>66.666666666666671</v>
      </c>
      <c r="D293" s="50" t="s">
        <v>500</v>
      </c>
      <c r="E293" s="50" t="str">
        <f>VLOOKUP(A293,Estimate!A:D,4,FALSE)</f>
        <v xml:space="preserve">hr   </v>
      </c>
      <c r="F293" s="34"/>
    </row>
    <row r="294" spans="1:6" s="57" customFormat="1" ht="60" x14ac:dyDescent="0.25">
      <c r="A294" s="48">
        <v>156</v>
      </c>
      <c r="B294" s="49" t="str">
        <f>VLOOKUP(A294,Estimate!A:C,3,FALSE)</f>
        <v>REMOVE THIS ITEM: - Gravel Pavement Base In Place complete, including supply, spreading, watering, rolling and trimming:- (a) Bypass Road Widening Ch 18 to Ch 2801 -Upper Sub-Base QT Type 2.3 @ 200mm deep x widening area</v>
      </c>
      <c r="C294" s="56">
        <v>-2032</v>
      </c>
      <c r="D294" s="50" t="s">
        <v>502</v>
      </c>
      <c r="E294" s="50" t="str">
        <f>VLOOKUP(A294,Estimate!A:D,4,FALSE)</f>
        <v xml:space="preserve">m3   </v>
      </c>
      <c r="F294" s="34"/>
    </row>
    <row r="295" spans="1:6" s="57" customFormat="1" x14ac:dyDescent="0.25">
      <c r="A295" s="48">
        <v>156.1</v>
      </c>
      <c r="B295" s="49" t="str">
        <f>VLOOKUP(A295,Estimate!A:C,3,FALSE)</f>
        <v>Grader</v>
      </c>
      <c r="C295" s="56">
        <v>66.666666666666671</v>
      </c>
      <c r="D295" s="50" t="s">
        <v>500</v>
      </c>
      <c r="E295" s="50" t="str">
        <f>VLOOKUP(A295,Estimate!A:D,4,FALSE)</f>
        <v xml:space="preserve">hr   </v>
      </c>
      <c r="F295" s="34"/>
    </row>
    <row r="296" spans="1:6" s="57" customFormat="1" ht="90" x14ac:dyDescent="0.25">
      <c r="A296" s="48">
        <v>157</v>
      </c>
      <c r="B296" s="49" t="str">
        <f>VLOOKUP(A296,Estimate!A:C,3,FALSE)</f>
        <v>REMOVE THIS ITEM: - Gravel Pavement Base In Place complete, including supply, spreading, watering, rolling and trimming:- (a) Bypass Road Widening Ch 18 to Ch 2801 - Provisional Item Allowance for Lower Sub-Base QT Type 2.5 @ 150mm deep x widening area over selected 25% of length - Only if ordered by the Superintendent</v>
      </c>
      <c r="C296" s="56">
        <v>-423</v>
      </c>
      <c r="D296" s="50" t="s">
        <v>502</v>
      </c>
      <c r="E296" s="50" t="str">
        <f>VLOOKUP(A296,Estimate!A:D,4,FALSE)</f>
        <v xml:space="preserve">m3   </v>
      </c>
      <c r="F296" s="34"/>
    </row>
    <row r="297" spans="1:6" s="57" customFormat="1" x14ac:dyDescent="0.25">
      <c r="A297" s="48">
        <v>157.1</v>
      </c>
      <c r="B297" s="49" t="str">
        <f>VLOOKUP(A297,Estimate!A:C,3,FALSE)</f>
        <v>Grader</v>
      </c>
      <c r="C297" s="56">
        <v>44.444444444444443</v>
      </c>
      <c r="D297" s="50" t="s">
        <v>500</v>
      </c>
      <c r="E297" s="50" t="str">
        <f>VLOOKUP(A297,Estimate!A:D,4,FALSE)</f>
        <v xml:space="preserve">hr   </v>
      </c>
      <c r="F297" s="34"/>
    </row>
    <row r="298" spans="1:6" s="57" customFormat="1" ht="60" x14ac:dyDescent="0.25">
      <c r="A298" s="48">
        <v>158</v>
      </c>
      <c r="B298" s="49" t="str">
        <f>VLOOKUP(A298,Estimate!A:C,3,FALSE)</f>
        <v>Prepare Subgrade Surface for Gravel Pavement &amp; for Council Inspection, (incl. provision of subgrade levels and compaction test results by Contractor) Bypass Road Widening from Ch 18 to Ch 2801</v>
      </c>
      <c r="C298" s="56">
        <v>11455</v>
      </c>
      <c r="D298" s="50" t="s">
        <v>502</v>
      </c>
      <c r="E298" s="50" t="str">
        <f>VLOOKUP(A298,Estimate!A:D,4,FALSE)</f>
        <v xml:space="preserve">m2   </v>
      </c>
      <c r="F298" s="34"/>
    </row>
    <row r="299" spans="1:6" s="57" customFormat="1" x14ac:dyDescent="0.25">
      <c r="A299" s="48">
        <v>158.1</v>
      </c>
      <c r="B299" s="49" t="str">
        <f>VLOOKUP(A299,Estimate!A:C,3,FALSE)</f>
        <v>Grader</v>
      </c>
      <c r="C299" s="56">
        <v>200</v>
      </c>
      <c r="D299" s="50" t="s">
        <v>500</v>
      </c>
      <c r="E299" s="50" t="str">
        <f>VLOOKUP(A299,Estimate!A:D,4,FALSE)</f>
        <v xml:space="preserve">hr   </v>
      </c>
      <c r="F299" s="34"/>
    </row>
    <row r="300" spans="1:6" s="57" customFormat="1" ht="45" x14ac:dyDescent="0.25">
      <c r="A300" s="48">
        <v>159</v>
      </c>
      <c r="B300" s="49" t="str">
        <f>VLOOKUP(A300,Estimate!A:C,3,FALSE)</f>
        <v>ADD THIS ITEM: - Gravel Pavement Base In Place complete, 200 mm OVERLAY - PRINCIPAL SUPPLIED GRAVEL, spreading, MIXING TO 300 mm DEPTH, watering, rolling and trimming:</v>
      </c>
      <c r="C300" s="56">
        <v>4842</v>
      </c>
      <c r="D300" s="50" t="s">
        <v>502</v>
      </c>
      <c r="E300" s="50" t="str">
        <f>VLOOKUP(A300,Estimate!A:D,4,FALSE)</f>
        <v xml:space="preserve">m3   </v>
      </c>
      <c r="F300" s="34"/>
    </row>
    <row r="301" spans="1:6" s="57" customFormat="1" x14ac:dyDescent="0.25">
      <c r="A301" s="48">
        <v>159.1</v>
      </c>
      <c r="B301" s="49" t="str">
        <f>VLOOKUP(A301,Estimate!A:C,3,FALSE)</f>
        <v>Grader</v>
      </c>
      <c r="C301" s="56">
        <v>200</v>
      </c>
      <c r="D301" s="50" t="s">
        <v>500</v>
      </c>
      <c r="E301" s="50" t="str">
        <f>VLOOKUP(A301,Estimate!A:D,4,FALSE)</f>
        <v xml:space="preserve">hr   </v>
      </c>
      <c r="F301" s="34"/>
    </row>
    <row r="302" spans="1:6" s="57" customFormat="1" x14ac:dyDescent="0.25">
      <c r="A302" s="48">
        <v>159.19999999999999</v>
      </c>
      <c r="B302" s="49" t="str">
        <f>VLOOKUP(A302,Estimate!A:C,3,FALSE)</f>
        <v>WS220</v>
      </c>
      <c r="C302" s="56">
        <v>2000</v>
      </c>
      <c r="D302" s="50" t="s">
        <v>500</v>
      </c>
      <c r="E302" s="50" t="str">
        <f>VLOOKUP(A302,Estimate!A:D,4,FALSE)</f>
        <v>day</v>
      </c>
      <c r="F302" s="34"/>
    </row>
    <row r="303" spans="1:6" s="57" customFormat="1" x14ac:dyDescent="0.25">
      <c r="A303" s="48">
        <v>159.30000000000001</v>
      </c>
      <c r="B303" s="49" t="str">
        <f>VLOOKUP(A303,Estimate!A:C,3,FALSE)</f>
        <v>Grader</v>
      </c>
      <c r="C303" s="56">
        <v>200</v>
      </c>
      <c r="D303" s="50" t="s">
        <v>500</v>
      </c>
      <c r="E303" s="50" t="str">
        <f>VLOOKUP(A303,Estimate!A:D,4,FALSE)</f>
        <v xml:space="preserve">hr   </v>
      </c>
      <c r="F303" s="34"/>
    </row>
    <row r="304" spans="1:6" s="57" customFormat="1" ht="30" x14ac:dyDescent="0.25">
      <c r="A304" s="48">
        <v>160</v>
      </c>
      <c r="B304" s="49" t="str">
        <f>VLOOKUP(A304,Estimate!A:C,3,FALSE)</f>
        <v>Bitumen Seal - complete in place (16mm primerseal ) Road Widening:</v>
      </c>
      <c r="C304" s="56">
        <v>14140</v>
      </c>
      <c r="D304" s="50" t="s">
        <v>502</v>
      </c>
      <c r="E304" s="50" t="str">
        <f>VLOOKUP(A304,Estimate!A:D,4,FALSE)</f>
        <v xml:space="preserve">m2   </v>
      </c>
      <c r="F304" s="34"/>
    </row>
    <row r="305" spans="1:6" s="57" customFormat="1" x14ac:dyDescent="0.25">
      <c r="A305" s="48">
        <v>161</v>
      </c>
      <c r="B305" s="49" t="str">
        <f>VLOOKUP(A305,Estimate!A:C,3,FALSE)</f>
        <v>Remove &amp; replace unsuitable</v>
      </c>
      <c r="C305" s="56">
        <v>63</v>
      </c>
      <c r="D305" s="50" t="s">
        <v>502</v>
      </c>
      <c r="E305" s="50" t="str">
        <f>VLOOKUP(A305,Estimate!A:D,4,FALSE)</f>
        <v>m3</v>
      </c>
      <c r="F305" s="34"/>
    </row>
    <row r="306" spans="1:6" s="57" customFormat="1" x14ac:dyDescent="0.25">
      <c r="A306" s="48">
        <v>161.1</v>
      </c>
      <c r="B306" s="49" t="str">
        <f>VLOOKUP(A306,Estimate!A:C,3,FALSE)</f>
        <v>Excavator - 25T</v>
      </c>
      <c r="C306" s="56">
        <v>12</v>
      </c>
      <c r="D306" s="50" t="s">
        <v>500</v>
      </c>
      <c r="E306" s="50" t="str">
        <f>VLOOKUP(A306,Estimate!A:D,4,FALSE)</f>
        <v xml:space="preserve">hr   </v>
      </c>
      <c r="F306" s="34"/>
    </row>
    <row r="307" spans="1:6" s="57" customFormat="1" x14ac:dyDescent="0.25">
      <c r="A307" s="48">
        <v>162</v>
      </c>
      <c r="B307" s="49" t="str">
        <f>VLOOKUP(A307,Estimate!A:C,3,FALSE)</f>
        <v>Additional Drainage Items</v>
      </c>
      <c r="C307" s="56"/>
      <c r="D307" s="50"/>
      <c r="E307" s="50">
        <f>VLOOKUP(A307,Estimate!A:D,4,FALSE)</f>
        <v>0</v>
      </c>
      <c r="F307" s="34"/>
    </row>
    <row r="308" spans="1:6" s="57" customFormat="1" ht="60" x14ac:dyDescent="0.25">
      <c r="A308" s="48">
        <v>163</v>
      </c>
      <c r="B308" s="49" t="str">
        <f>VLOOKUP(A308,Estimate!A:C,3,FALSE)</f>
        <v>Ch 1300 Extend 4/450 dia SRC Pipe Class 2 SRC, Installation to Main Roads STD DWG 1359 - 4 x 450 SRC Pipe Cl 2 Complete in place, incl.  removal of existing headwall with care, excavate, sand, supply, lay &amp; backfill.</v>
      </c>
      <c r="C308" s="56">
        <v>2.44</v>
      </c>
      <c r="D308" s="50" t="s">
        <v>502</v>
      </c>
      <c r="E308" s="50" t="str">
        <f>VLOOKUP(A308,Estimate!A:D,4,FALSE)</f>
        <v xml:space="preserve">m    </v>
      </c>
      <c r="F308" s="34"/>
    </row>
    <row r="309" spans="1:6" s="57" customFormat="1" x14ac:dyDescent="0.25">
      <c r="A309" s="48">
        <v>163.1</v>
      </c>
      <c r="B309" s="49" t="str">
        <f>VLOOKUP(A309,Estimate!A:C,3,FALSE)</f>
        <v>Excavator - 25T</v>
      </c>
      <c r="C309" s="56">
        <v>2.44</v>
      </c>
      <c r="D309" s="50" t="s">
        <v>500</v>
      </c>
      <c r="E309" s="50" t="str">
        <f>VLOOKUP(A309,Estimate!A:D,4,FALSE)</f>
        <v xml:space="preserve">hr   </v>
      </c>
      <c r="F309" s="34"/>
    </row>
    <row r="310" spans="1:6" s="57" customFormat="1" x14ac:dyDescent="0.25">
      <c r="A310" s="48">
        <v>163.19999999999999</v>
      </c>
      <c r="B310" s="49" t="str">
        <f>VLOOKUP(A310,Estimate!A:C,3,FALSE)</f>
        <v>Excavator - 25T</v>
      </c>
      <c r="C310" s="56">
        <v>1.22</v>
      </c>
      <c r="D310" s="50" t="s">
        <v>500</v>
      </c>
      <c r="E310" s="50" t="str">
        <f>VLOOKUP(A310,Estimate!A:D,4,FALSE)</f>
        <v xml:space="preserve">hr   </v>
      </c>
      <c r="F310" s="34"/>
    </row>
    <row r="311" spans="1:6" s="57" customFormat="1" x14ac:dyDescent="0.25">
      <c r="A311" s="48">
        <v>163.30000000000001</v>
      </c>
      <c r="B311" s="49" t="str">
        <f>VLOOKUP(A311,Estimate!A:C,3,FALSE)</f>
        <v>Excavator - 25T</v>
      </c>
      <c r="C311" s="56">
        <v>1.22</v>
      </c>
      <c r="D311" s="50" t="s">
        <v>500</v>
      </c>
      <c r="E311" s="50" t="str">
        <f>VLOOKUP(A311,Estimate!A:D,4,FALSE)</f>
        <v xml:space="preserve">hr   </v>
      </c>
      <c r="F311" s="34"/>
    </row>
    <row r="312" spans="1:6" s="57" customFormat="1" x14ac:dyDescent="0.25">
      <c r="A312" s="48">
        <v>163.4</v>
      </c>
      <c r="B312" s="49" t="str">
        <f>VLOOKUP(A312,Estimate!A:C,3,FALSE)</f>
        <v>Labour</v>
      </c>
      <c r="C312" s="56">
        <v>0.30499999999999999</v>
      </c>
      <c r="D312" s="50" t="s">
        <v>500</v>
      </c>
      <c r="E312" s="50" t="str">
        <f>VLOOKUP(A312,Estimate!A:D,4,FALSE)</f>
        <v xml:space="preserve">hr   </v>
      </c>
      <c r="F312" s="34"/>
    </row>
    <row r="313" spans="1:6" s="57" customFormat="1" ht="30" x14ac:dyDescent="0.25">
      <c r="A313" s="48">
        <v>164</v>
      </c>
      <c r="B313" s="49" t="str">
        <f>VLOOKUP(A313,Estimate!A:C,3,FALSE)</f>
        <v>4 x 450 Cast Insitu Endwall to Main Roads Std Dwg 1306 Complete in place, incl. Excavate, supply and construct</v>
      </c>
      <c r="C313" s="56">
        <v>2</v>
      </c>
      <c r="D313" s="50" t="s">
        <v>502</v>
      </c>
      <c r="E313" s="50" t="str">
        <f>VLOOKUP(A313,Estimate!A:D,4,FALSE)</f>
        <v xml:space="preserve">No   </v>
      </c>
      <c r="F313" s="34"/>
    </row>
    <row r="314" spans="1:6" s="57" customFormat="1" x14ac:dyDescent="0.25">
      <c r="A314" s="48">
        <v>164.1</v>
      </c>
      <c r="B314" s="49" t="str">
        <f>VLOOKUP(A314,Estimate!A:C,3,FALSE)</f>
        <v>Labour</v>
      </c>
      <c r="C314" s="56">
        <v>0.125</v>
      </c>
      <c r="D314" s="50" t="s">
        <v>500</v>
      </c>
      <c r="E314" s="50" t="str">
        <f>VLOOKUP(A314,Estimate!A:D,4,FALSE)</f>
        <v xml:space="preserve">hr   </v>
      </c>
      <c r="F314" s="34"/>
    </row>
    <row r="315" spans="1:6" s="57" customFormat="1" x14ac:dyDescent="0.25">
      <c r="A315" s="48">
        <v>165</v>
      </c>
      <c r="B315" s="49" t="str">
        <f>VLOOKUP(A315,Estimate!A:C,3,FALSE)</f>
        <v>Asphalt redesign at floodway ch510-651</v>
      </c>
      <c r="C315" s="56">
        <v>32</v>
      </c>
      <c r="D315" s="50" t="s">
        <v>502</v>
      </c>
      <c r="E315" s="50">
        <f>VLOOKUP(A315,Estimate!A:D,4,FALSE)</f>
        <v>0</v>
      </c>
      <c r="F315" s="34"/>
    </row>
    <row r="316" spans="1:6" s="57" customFormat="1" x14ac:dyDescent="0.25">
      <c r="A316" s="48">
        <v>166</v>
      </c>
      <c r="B316" s="49" t="str">
        <f>VLOOKUP(A316,Estimate!A:C,3,FALSE)</f>
        <v>Corrector course asphalt dysart-middlemount intersection</v>
      </c>
      <c r="C316" s="56">
        <v>15.9</v>
      </c>
      <c r="D316" s="50" t="s">
        <v>502</v>
      </c>
      <c r="E316" s="50">
        <f>VLOOKUP(A316,Estimate!A:D,4,FALSE)</f>
        <v>0</v>
      </c>
      <c r="F316" s="34"/>
    </row>
    <row r="317" spans="1:6" s="57" customFormat="1" ht="30" x14ac:dyDescent="0.25">
      <c r="A317" s="48">
        <v>167</v>
      </c>
      <c r="B317" s="49" t="str">
        <f>VLOOKUP(A317,Estimate!A:C,3,FALSE)</f>
        <v>Corrector course asphalt dysart-middlemount road (DMR section)</v>
      </c>
      <c r="C317" s="56">
        <v>35</v>
      </c>
      <c r="D317" s="50" t="s">
        <v>502</v>
      </c>
      <c r="E317" s="50">
        <f>VLOOKUP(A317,Estimate!A:D,4,FALSE)</f>
        <v>0</v>
      </c>
      <c r="F317" s="34"/>
    </row>
    <row r="318" spans="1:6" s="57" customFormat="1" ht="30" x14ac:dyDescent="0.25">
      <c r="A318" s="48">
        <v>168</v>
      </c>
      <c r="B318" s="49" t="str">
        <f>VLOOKUP(A318,Estimate!A:C,3,FALSE)</f>
        <v>Cement Stabilise 4% by weight 200mm deep Bypass Road Edges</v>
      </c>
      <c r="C318" s="56">
        <v>3628</v>
      </c>
      <c r="D318" s="50" t="s">
        <v>502</v>
      </c>
      <c r="E318" s="50" t="str">
        <f>VLOOKUP(A318,Estimate!A:D,4,FALSE)</f>
        <v xml:space="preserve">m2   </v>
      </c>
      <c r="F318" s="34"/>
    </row>
    <row r="319" spans="1:6" s="57" customFormat="1" x14ac:dyDescent="0.25">
      <c r="A319" s="48">
        <v>168.1</v>
      </c>
      <c r="B319" s="49" t="str">
        <f>VLOOKUP(A319,Estimate!A:C,3,FALSE)</f>
        <v>Stabilising</v>
      </c>
      <c r="C319" s="56">
        <v>800</v>
      </c>
      <c r="D319" s="50" t="s">
        <v>500</v>
      </c>
      <c r="E319" s="50">
        <f>VLOOKUP(A319,Estimate!A:D,4,FALSE)</f>
        <v>0</v>
      </c>
      <c r="F319" s="34"/>
    </row>
    <row r="320" spans="1:6" s="57" customFormat="1" x14ac:dyDescent="0.25">
      <c r="A320" s="48"/>
      <c r="B320" s="49"/>
      <c r="C320" s="56"/>
      <c r="D320" s="50"/>
      <c r="E320" s="50"/>
      <c r="F320" s="34"/>
    </row>
    <row r="321" spans="1:6" s="57" customFormat="1" x14ac:dyDescent="0.25">
      <c r="A321" s="48"/>
      <c r="B321" s="49"/>
      <c r="C321" s="56"/>
      <c r="D321" s="50"/>
      <c r="E321" s="50"/>
      <c r="F321" s="34"/>
    </row>
    <row r="322" spans="1:6" x14ac:dyDescent="0.25">
      <c r="A322" s="48">
        <v>9000</v>
      </c>
      <c r="B322" s="49" t="str">
        <f>VLOOKUP(A322,Estimate!A:C,3,FALSE)</f>
        <v>Project Supervision</v>
      </c>
      <c r="C322" s="56">
        <v>15</v>
      </c>
      <c r="D322" s="50" t="s">
        <v>502</v>
      </c>
      <c r="E322" s="50">
        <f>VLOOKUP(A322,Estimate!A:D,4,FALSE)</f>
        <v>0</v>
      </c>
    </row>
    <row r="323" spans="1:6" x14ac:dyDescent="0.25">
      <c r="A323" s="48">
        <v>9005</v>
      </c>
      <c r="B323" s="49" t="str">
        <f>VLOOKUP(A323,Estimate!A:C,3,FALSE)</f>
        <v>Project Engineering</v>
      </c>
      <c r="C323" s="56">
        <v>5</v>
      </c>
      <c r="D323" s="50" t="s">
        <v>502</v>
      </c>
      <c r="E323" s="50">
        <f>VLOOKUP(A323,Estimate!A:D,4,FALSE)</f>
        <v>0</v>
      </c>
    </row>
    <row r="324" spans="1:6" x14ac:dyDescent="0.25">
      <c r="A324" s="48">
        <v>9010</v>
      </c>
      <c r="B324" s="49" t="str">
        <f>VLOOKUP(A324,Estimate!A:C,3,FALSE)</f>
        <v>Site Facilities</v>
      </c>
      <c r="C324" s="56">
        <v>14</v>
      </c>
      <c r="D324" s="50" t="s">
        <v>502</v>
      </c>
      <c r="E324" s="50">
        <f>VLOOKUP(A324,Estimate!A:D,4,FALSE)</f>
        <v>0</v>
      </c>
    </row>
    <row r="325" spans="1:6" x14ac:dyDescent="0.25">
      <c r="A325" s="48">
        <v>9015</v>
      </c>
      <c r="B325" s="49" t="str">
        <f>VLOOKUP(A325,Estimate!A:C,3,FALSE)</f>
        <v>Retention Costs</v>
      </c>
      <c r="C325" s="56">
        <v>1</v>
      </c>
      <c r="D325" s="50" t="s">
        <v>502</v>
      </c>
      <c r="E325" s="50">
        <f>VLOOKUP(A325,Estimate!A:D,4,FALSE)</f>
        <v>0</v>
      </c>
    </row>
    <row r="326" spans="1:6" x14ac:dyDescent="0.25">
      <c r="A326" s="48">
        <v>9020</v>
      </c>
      <c r="B326" s="49" t="str">
        <f>VLOOKUP(A326,Estimate!A:C,3,FALSE)</f>
        <v>Dual Grade Laser</v>
      </c>
      <c r="C326" s="56">
        <v>12</v>
      </c>
      <c r="D326" s="50" t="s">
        <v>502</v>
      </c>
      <c r="E326" s="50">
        <f>VLOOKUP(A326,Estimate!A:D,4,FALSE)</f>
        <v>0</v>
      </c>
    </row>
    <row r="327" spans="1:6" x14ac:dyDescent="0.25">
      <c r="A327" s="48">
        <v>9025</v>
      </c>
      <c r="B327" s="49" t="str">
        <f>VLOOKUP(A327,Estimate!A:C,3,FALSE)</f>
        <v>Small Tools Allowance</v>
      </c>
      <c r="C327" s="56">
        <v>2500</v>
      </c>
      <c r="D327" s="50" t="s">
        <v>502</v>
      </c>
      <c r="E327" s="50">
        <f>VLOOKUP(A327,Estimate!A:D,4,FALSE)</f>
        <v>0</v>
      </c>
    </row>
    <row r="328" spans="1:6" x14ac:dyDescent="0.25">
      <c r="A328" s="48">
        <v>9030</v>
      </c>
      <c r="B328" s="49" t="str">
        <f>VLOOKUP(A328,Estimate!A:C,3,FALSE)</f>
        <v>Accommodation (Engineers &amp; Directors)</v>
      </c>
      <c r="C328" s="56">
        <v>30</v>
      </c>
      <c r="D328" s="50" t="s">
        <v>502</v>
      </c>
      <c r="E328" s="50">
        <f>VLOOKUP(A328,Estimate!A:D,4,FALSE)</f>
        <v>0</v>
      </c>
    </row>
    <row r="329" spans="1:6" x14ac:dyDescent="0.25">
      <c r="A329" s="48">
        <v>9040</v>
      </c>
      <c r="B329" s="49" t="str">
        <f>VLOOKUP(A329,Estimate!A:C,3,FALSE)</f>
        <v>Accommodation Supervisors</v>
      </c>
      <c r="C329" s="56">
        <v>112</v>
      </c>
      <c r="D329" s="50" t="s">
        <v>502</v>
      </c>
      <c r="E329" s="50">
        <f>VLOOKUP(A329,Estimate!A:D,4,FALSE)</f>
        <v>0</v>
      </c>
    </row>
    <row r="511" spans="1:1" x14ac:dyDescent="0.25">
      <c r="A511" s="51"/>
    </row>
    <row r="514" spans="1:1" x14ac:dyDescent="0.25">
      <c r="A514" s="51"/>
    </row>
    <row r="517" spans="1:1" x14ac:dyDescent="0.25">
      <c r="A517" s="51"/>
    </row>
    <row r="519" spans="1:1" x14ac:dyDescent="0.25">
      <c r="A519" s="51"/>
    </row>
    <row r="521" spans="1:1" x14ac:dyDescent="0.25">
      <c r="A521" s="51"/>
    </row>
    <row r="529" spans="1:1" x14ac:dyDescent="0.25">
      <c r="A529" s="51"/>
    </row>
    <row r="532" spans="1:1" x14ac:dyDescent="0.25">
      <c r="A532" s="51"/>
    </row>
    <row r="535" spans="1:1" x14ac:dyDescent="0.25">
      <c r="A535" s="51"/>
    </row>
    <row r="537" spans="1:1" x14ac:dyDescent="0.25">
      <c r="A537" s="51"/>
    </row>
    <row r="539" spans="1:1" x14ac:dyDescent="0.25">
      <c r="A539" s="51"/>
    </row>
    <row r="549" spans="1:1" x14ac:dyDescent="0.25">
      <c r="A549" s="51"/>
    </row>
    <row r="550" spans="1:1" x14ac:dyDescent="0.25">
      <c r="A550" s="51"/>
    </row>
    <row r="553" spans="1:1" x14ac:dyDescent="0.25">
      <c r="A553" s="51"/>
    </row>
    <row r="557" spans="1:1" x14ac:dyDescent="0.25">
      <c r="A557" s="51"/>
    </row>
    <row r="562" spans="1:1" x14ac:dyDescent="0.25">
      <c r="A562" s="51"/>
    </row>
    <row r="566" spans="1:1" x14ac:dyDescent="0.25">
      <c r="A566" s="51"/>
    </row>
    <row r="572" spans="1:1" x14ac:dyDescent="0.25">
      <c r="A572" s="51"/>
    </row>
    <row r="573" spans="1:1" x14ac:dyDescent="0.25">
      <c r="A573" s="51"/>
    </row>
    <row r="576" spans="1:1" x14ac:dyDescent="0.25">
      <c r="A576" s="51"/>
    </row>
    <row r="580" spans="1:1" x14ac:dyDescent="0.25">
      <c r="A580" s="51"/>
    </row>
    <row r="585" spans="1:1" x14ac:dyDescent="0.25">
      <c r="A585" s="51"/>
    </row>
    <row r="589" spans="1:1" x14ac:dyDescent="0.25">
      <c r="A589" s="51"/>
    </row>
    <row r="606" spans="1:1" x14ac:dyDescent="0.25">
      <c r="A606" s="51"/>
    </row>
    <row r="609" spans="1:1" x14ac:dyDescent="0.25">
      <c r="A609" s="51"/>
    </row>
    <row r="612" spans="1:1" x14ac:dyDescent="0.25">
      <c r="A612" s="51"/>
    </row>
    <row r="614" spans="1:1" x14ac:dyDescent="0.25">
      <c r="A614" s="51"/>
    </row>
    <row r="616" spans="1:1" x14ac:dyDescent="0.25">
      <c r="A616" s="51"/>
    </row>
    <row r="626" spans="1:1" x14ac:dyDescent="0.25">
      <c r="A626" s="51"/>
    </row>
    <row r="629" spans="1:1" x14ac:dyDescent="0.25">
      <c r="A629" s="51"/>
    </row>
    <row r="632" spans="1:1" x14ac:dyDescent="0.25">
      <c r="A632" s="51"/>
    </row>
    <row r="634" spans="1:1" x14ac:dyDescent="0.25">
      <c r="A634" s="51"/>
    </row>
    <row r="636" spans="1:1" x14ac:dyDescent="0.25">
      <c r="A636" s="51"/>
    </row>
    <row r="646" spans="1:1" x14ac:dyDescent="0.25">
      <c r="A646" s="51"/>
    </row>
    <row r="649" spans="1:1" x14ac:dyDescent="0.25">
      <c r="A649" s="51"/>
    </row>
    <row r="652" spans="1:1" x14ac:dyDescent="0.25">
      <c r="A652" s="51"/>
    </row>
    <row r="654" spans="1:1" x14ac:dyDescent="0.25">
      <c r="A654" s="51"/>
    </row>
    <row r="656" spans="1:1" x14ac:dyDescent="0.25">
      <c r="A656" s="51"/>
    </row>
    <row r="664" spans="1:1" x14ac:dyDescent="0.25">
      <c r="A664" s="51"/>
    </row>
    <row r="667" spans="1:1" x14ac:dyDescent="0.25">
      <c r="A667" s="51"/>
    </row>
    <row r="670" spans="1:1" x14ac:dyDescent="0.25">
      <c r="A670" s="51"/>
    </row>
    <row r="672" spans="1:1" x14ac:dyDescent="0.25">
      <c r="A672" s="51"/>
    </row>
    <row r="674" spans="1:1" x14ac:dyDescent="0.25">
      <c r="A674" s="51"/>
    </row>
    <row r="684" spans="1:1" x14ac:dyDescent="0.25">
      <c r="A684" s="51"/>
    </row>
    <row r="687" spans="1:1" x14ac:dyDescent="0.25">
      <c r="A687" s="51"/>
    </row>
    <row r="690" spans="1:1" x14ac:dyDescent="0.25">
      <c r="A690" s="51"/>
    </row>
    <row r="692" spans="1:1" x14ac:dyDescent="0.25">
      <c r="A692" s="51"/>
    </row>
    <row r="694" spans="1:1" x14ac:dyDescent="0.25">
      <c r="A694" s="51"/>
    </row>
    <row r="705" spans="1:1" x14ac:dyDescent="0.25">
      <c r="A705" s="51"/>
    </row>
    <row r="708" spans="1:1" x14ac:dyDescent="0.25">
      <c r="A708" s="51"/>
    </row>
    <row r="711" spans="1:1" x14ac:dyDescent="0.25">
      <c r="A711" s="51"/>
    </row>
    <row r="713" spans="1:1" x14ac:dyDescent="0.25">
      <c r="A713" s="51"/>
    </row>
    <row r="715" spans="1:1" x14ac:dyDescent="0.25">
      <c r="A715" s="51"/>
    </row>
    <row r="723" spans="1:1" x14ac:dyDescent="0.25">
      <c r="A723" s="51"/>
    </row>
    <row r="726" spans="1:1" x14ac:dyDescent="0.25">
      <c r="A726" s="51"/>
    </row>
    <row r="729" spans="1:1" x14ac:dyDescent="0.25">
      <c r="A729" s="51"/>
    </row>
    <row r="731" spans="1:1" x14ac:dyDescent="0.25">
      <c r="A731" s="51"/>
    </row>
    <row r="733" spans="1:1" x14ac:dyDescent="0.25">
      <c r="A733" s="51"/>
    </row>
    <row r="743" spans="1:1" x14ac:dyDescent="0.25">
      <c r="A743" s="51"/>
    </row>
    <row r="747" spans="1:1" x14ac:dyDescent="0.25">
      <c r="A747" s="51"/>
    </row>
    <row r="751" spans="1:1" x14ac:dyDescent="0.25">
      <c r="A751" s="51"/>
    </row>
    <row r="753" spans="1:1" x14ac:dyDescent="0.25">
      <c r="A753" s="51"/>
    </row>
    <row r="755" spans="1:1" x14ac:dyDescent="0.25">
      <c r="A755" s="51"/>
    </row>
    <row r="766" spans="1:1" x14ac:dyDescent="0.25">
      <c r="A766" s="51"/>
    </row>
    <row r="769" spans="1:1" x14ac:dyDescent="0.25">
      <c r="A769" s="51"/>
    </row>
    <row r="949" spans="1:1" x14ac:dyDescent="0.25">
      <c r="A949" s="51"/>
    </row>
    <row r="953" spans="1:1" x14ac:dyDescent="0.25">
      <c r="A953" s="51"/>
    </row>
    <row r="954" spans="1:1" x14ac:dyDescent="0.25">
      <c r="A954" s="51"/>
    </row>
    <row r="976" spans="1:1" x14ac:dyDescent="0.25">
      <c r="A976" s="51"/>
    </row>
    <row r="980" spans="1:1" x14ac:dyDescent="0.25">
      <c r="A980" s="51"/>
    </row>
    <row r="984" spans="1:1" x14ac:dyDescent="0.25">
      <c r="A984" s="51"/>
    </row>
    <row r="986" spans="1:1" x14ac:dyDescent="0.25">
      <c r="A986" s="51"/>
    </row>
    <row r="988" spans="1:1" x14ac:dyDescent="0.25">
      <c r="A988" s="51"/>
    </row>
    <row r="1176" spans="1:1" x14ac:dyDescent="0.25">
      <c r="A1176" s="51"/>
    </row>
    <row r="1180" spans="1:1" x14ac:dyDescent="0.25">
      <c r="A1180" s="51"/>
    </row>
    <row r="1181" spans="1:1" x14ac:dyDescent="0.25">
      <c r="A1181" s="51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72"/>
  <sheetViews>
    <sheetView topLeftCell="A41" workbookViewId="0">
      <selection activeCell="C76" sqref="C76"/>
    </sheetView>
  </sheetViews>
  <sheetFormatPr defaultRowHeight="15" x14ac:dyDescent="0.25"/>
  <cols>
    <col min="1" max="1" width="16.85546875" bestFit="1" customWidth="1"/>
    <col min="2" max="2" width="10.7109375" bestFit="1" customWidth="1"/>
    <col min="3" max="11" width="10.140625" bestFit="1" customWidth="1"/>
  </cols>
  <sheetData>
    <row r="1" spans="2:15" ht="15.75" thickBot="1" x14ac:dyDescent="0.3">
      <c r="B1" s="266" t="s">
        <v>528</v>
      </c>
      <c r="C1" s="266"/>
      <c r="D1" s="266"/>
      <c r="E1" s="266"/>
      <c r="F1" s="266"/>
      <c r="G1" s="266"/>
      <c r="H1" s="266"/>
      <c r="I1" s="266"/>
      <c r="J1" s="266"/>
      <c r="K1" s="266"/>
      <c r="L1" s="60"/>
      <c r="M1" s="60"/>
      <c r="N1" s="60"/>
      <c r="O1" s="60"/>
    </row>
    <row r="2" spans="2:15" x14ac:dyDescent="0.25">
      <c r="B2" s="267">
        <v>40544</v>
      </c>
      <c r="C2" s="268"/>
      <c r="D2" s="269">
        <v>40909</v>
      </c>
      <c r="E2" s="269"/>
      <c r="F2" s="268">
        <v>41275</v>
      </c>
      <c r="G2" s="268"/>
      <c r="H2" s="269">
        <v>41640</v>
      </c>
      <c r="I2" s="269"/>
      <c r="J2" s="268">
        <v>42005</v>
      </c>
      <c r="K2" s="270"/>
      <c r="L2" s="60"/>
      <c r="M2" s="60"/>
      <c r="N2" s="60"/>
      <c r="O2" s="60"/>
    </row>
    <row r="3" spans="2:15" x14ac:dyDescent="0.25">
      <c r="B3" s="62">
        <v>40551</v>
      </c>
      <c r="C3" s="63">
        <v>40552</v>
      </c>
      <c r="D3" s="64">
        <v>40922</v>
      </c>
      <c r="E3" s="64">
        <v>40923</v>
      </c>
      <c r="F3" s="63">
        <v>41293</v>
      </c>
      <c r="G3" s="63">
        <v>41294</v>
      </c>
      <c r="H3" s="64">
        <v>41657</v>
      </c>
      <c r="I3" s="64">
        <v>41658</v>
      </c>
      <c r="J3" s="63">
        <v>42021</v>
      </c>
      <c r="K3" s="65">
        <v>42022</v>
      </c>
      <c r="L3" s="66"/>
      <c r="M3" s="66"/>
      <c r="N3" s="66"/>
      <c r="O3" s="66"/>
    </row>
    <row r="4" spans="2:15" x14ac:dyDescent="0.25">
      <c r="B4" s="67">
        <v>40544</v>
      </c>
      <c r="C4" s="68">
        <v>40545</v>
      </c>
      <c r="D4" s="69"/>
      <c r="E4" s="69">
        <v>40909</v>
      </c>
      <c r="F4" s="68">
        <v>41279</v>
      </c>
      <c r="G4" s="68">
        <v>41280</v>
      </c>
      <c r="H4" s="69">
        <v>41643</v>
      </c>
      <c r="I4" s="69">
        <v>41644</v>
      </c>
      <c r="J4" s="68">
        <v>42007</v>
      </c>
      <c r="K4" s="70">
        <v>42008</v>
      </c>
      <c r="L4" s="57"/>
      <c r="M4" s="57"/>
      <c r="N4" s="59"/>
      <c r="O4" s="59"/>
    </row>
    <row r="5" spans="2:15" x14ac:dyDescent="0.25">
      <c r="B5" s="67">
        <v>40551</v>
      </c>
      <c r="C5" s="68">
        <v>40552</v>
      </c>
      <c r="D5" s="69">
        <v>40915</v>
      </c>
      <c r="E5" s="69">
        <v>40916</v>
      </c>
      <c r="F5" s="68">
        <v>41286</v>
      </c>
      <c r="G5" s="68">
        <v>41287</v>
      </c>
      <c r="H5" s="69">
        <v>41650</v>
      </c>
      <c r="I5" s="69">
        <v>41651</v>
      </c>
      <c r="J5" s="68">
        <v>42014</v>
      </c>
      <c r="K5" s="70">
        <v>42015</v>
      </c>
      <c r="L5" s="57"/>
      <c r="M5" s="57"/>
      <c r="N5" s="57"/>
      <c r="O5" s="57"/>
    </row>
    <row r="6" spans="2:15" x14ac:dyDescent="0.25">
      <c r="B6" s="67">
        <v>40558</v>
      </c>
      <c r="C6" s="68">
        <v>40559</v>
      </c>
      <c r="D6" s="69">
        <v>40922</v>
      </c>
      <c r="E6" s="69">
        <v>40923</v>
      </c>
      <c r="F6" s="68">
        <v>41293</v>
      </c>
      <c r="G6" s="68">
        <v>41294</v>
      </c>
      <c r="H6" s="69">
        <v>41657</v>
      </c>
      <c r="I6" s="69">
        <v>41658</v>
      </c>
      <c r="J6" s="68">
        <v>42021</v>
      </c>
      <c r="K6" s="70">
        <v>42022</v>
      </c>
      <c r="L6" s="57"/>
      <c r="M6" s="57"/>
      <c r="N6" s="57"/>
      <c r="O6" s="57"/>
    </row>
    <row r="7" spans="2:15" x14ac:dyDescent="0.25">
      <c r="B7" s="67">
        <v>40565</v>
      </c>
      <c r="C7" s="68">
        <v>40566</v>
      </c>
      <c r="D7" s="69">
        <v>40929</v>
      </c>
      <c r="E7" s="69">
        <v>40930</v>
      </c>
      <c r="F7" s="68">
        <v>41300</v>
      </c>
      <c r="G7" s="68">
        <v>41301</v>
      </c>
      <c r="H7" s="69">
        <v>41664</v>
      </c>
      <c r="I7" s="69">
        <v>41665</v>
      </c>
      <c r="J7" s="68">
        <v>42028</v>
      </c>
      <c r="K7" s="70">
        <v>42029</v>
      </c>
      <c r="L7" s="57"/>
      <c r="M7" s="57"/>
      <c r="N7" s="57"/>
      <c r="O7" s="57"/>
    </row>
    <row r="8" spans="2:15" x14ac:dyDescent="0.25">
      <c r="B8" s="67">
        <v>40572</v>
      </c>
      <c r="C8" s="68">
        <v>40573</v>
      </c>
      <c r="D8" s="69">
        <v>40936</v>
      </c>
      <c r="E8" s="69">
        <v>40937</v>
      </c>
      <c r="F8" s="68">
        <v>41307</v>
      </c>
      <c r="G8" s="68">
        <v>41308</v>
      </c>
      <c r="H8" s="69">
        <v>41671</v>
      </c>
      <c r="I8" s="69">
        <v>41672</v>
      </c>
      <c r="J8" s="68">
        <v>42035</v>
      </c>
      <c r="K8" s="70">
        <v>42036</v>
      </c>
      <c r="L8" s="57"/>
      <c r="M8" s="59"/>
      <c r="N8" s="57"/>
      <c r="O8" s="57"/>
    </row>
    <row r="9" spans="2:15" x14ac:dyDescent="0.25">
      <c r="B9" s="67">
        <v>40579</v>
      </c>
      <c r="C9" s="68">
        <v>40580</v>
      </c>
      <c r="D9" s="69">
        <v>40943</v>
      </c>
      <c r="E9" s="69">
        <v>40944</v>
      </c>
      <c r="F9" s="68">
        <v>41314</v>
      </c>
      <c r="G9" s="68">
        <v>41315</v>
      </c>
      <c r="H9" s="69">
        <v>41678</v>
      </c>
      <c r="I9" s="69">
        <v>41679</v>
      </c>
      <c r="J9" s="68">
        <v>42042</v>
      </c>
      <c r="K9" s="70">
        <v>42043</v>
      </c>
      <c r="L9" s="57"/>
      <c r="M9" s="57"/>
      <c r="N9" s="57"/>
      <c r="O9" s="57"/>
    </row>
    <row r="10" spans="2:15" x14ac:dyDescent="0.25">
      <c r="B10" s="67">
        <v>40586</v>
      </c>
      <c r="C10" s="68">
        <v>40587</v>
      </c>
      <c r="D10" s="69">
        <v>40950</v>
      </c>
      <c r="E10" s="69">
        <v>40951</v>
      </c>
      <c r="F10" s="68">
        <v>41321</v>
      </c>
      <c r="G10" s="68">
        <v>41322</v>
      </c>
      <c r="H10" s="69">
        <v>41685</v>
      </c>
      <c r="I10" s="69">
        <v>41686</v>
      </c>
      <c r="J10" s="68">
        <v>42049</v>
      </c>
      <c r="K10" s="70">
        <v>42050</v>
      </c>
      <c r="L10" s="57"/>
      <c r="M10" s="57"/>
      <c r="N10" s="57"/>
      <c r="O10" s="57"/>
    </row>
    <row r="11" spans="2:15" x14ac:dyDescent="0.25">
      <c r="B11" s="67">
        <v>40593</v>
      </c>
      <c r="C11" s="68">
        <v>40594</v>
      </c>
      <c r="D11" s="69">
        <v>40957</v>
      </c>
      <c r="E11" s="69">
        <v>40958</v>
      </c>
      <c r="F11" s="68">
        <v>41328</v>
      </c>
      <c r="G11" s="68">
        <v>41329</v>
      </c>
      <c r="H11" s="69">
        <v>41692</v>
      </c>
      <c r="I11" s="69">
        <v>41693</v>
      </c>
      <c r="J11" s="68">
        <v>42056</v>
      </c>
      <c r="K11" s="70">
        <v>42057</v>
      </c>
      <c r="L11" s="57"/>
      <c r="M11" s="57"/>
      <c r="N11" s="57"/>
      <c r="O11" s="57"/>
    </row>
    <row r="12" spans="2:15" x14ac:dyDescent="0.25">
      <c r="B12" s="67">
        <v>40600</v>
      </c>
      <c r="C12" s="68">
        <v>40601</v>
      </c>
      <c r="D12" s="69">
        <v>40964</v>
      </c>
      <c r="E12" s="69">
        <v>40965</v>
      </c>
      <c r="F12" s="68">
        <v>41335</v>
      </c>
      <c r="G12" s="68">
        <v>41336</v>
      </c>
      <c r="H12" s="69">
        <v>41699</v>
      </c>
      <c r="I12" s="69">
        <v>41700</v>
      </c>
      <c r="J12" s="68">
        <v>42063</v>
      </c>
      <c r="K12" s="70">
        <v>42064</v>
      </c>
      <c r="L12" s="57"/>
      <c r="M12" s="57"/>
      <c r="N12" s="57"/>
      <c r="O12" s="57"/>
    </row>
    <row r="13" spans="2:15" x14ac:dyDescent="0.25">
      <c r="B13" s="67">
        <v>40607</v>
      </c>
      <c r="C13" s="68">
        <v>40608</v>
      </c>
      <c r="D13" s="69">
        <v>40971</v>
      </c>
      <c r="E13" s="69">
        <v>40972</v>
      </c>
      <c r="F13" s="68">
        <v>41342</v>
      </c>
      <c r="G13" s="68">
        <v>41343</v>
      </c>
      <c r="H13" s="69">
        <v>41706</v>
      </c>
      <c r="I13" s="69">
        <v>41707</v>
      </c>
      <c r="J13" s="68">
        <v>42070</v>
      </c>
      <c r="K13" s="70">
        <v>42071</v>
      </c>
      <c r="L13" s="57"/>
      <c r="M13" s="57"/>
      <c r="N13" s="57"/>
      <c r="O13" s="57"/>
    </row>
    <row r="14" spans="2:15" x14ac:dyDescent="0.25">
      <c r="B14" s="67">
        <v>40614</v>
      </c>
      <c r="C14" s="68">
        <v>40615</v>
      </c>
      <c r="D14" s="69">
        <v>40978</v>
      </c>
      <c r="E14" s="69">
        <v>40979</v>
      </c>
      <c r="F14" s="68">
        <v>41349</v>
      </c>
      <c r="G14" s="68">
        <v>41350</v>
      </c>
      <c r="H14" s="69">
        <v>41713</v>
      </c>
      <c r="I14" s="69">
        <v>41714</v>
      </c>
      <c r="J14" s="68">
        <v>42077</v>
      </c>
      <c r="K14" s="70">
        <v>42078</v>
      </c>
      <c r="L14" s="57"/>
      <c r="M14" s="57"/>
      <c r="N14" s="57"/>
      <c r="O14" s="57"/>
    </row>
    <row r="15" spans="2:15" x14ac:dyDescent="0.25">
      <c r="B15" s="67">
        <v>40621</v>
      </c>
      <c r="C15" s="68">
        <v>40622</v>
      </c>
      <c r="D15" s="69">
        <v>40985</v>
      </c>
      <c r="E15" s="69">
        <v>40986</v>
      </c>
      <c r="F15" s="68">
        <v>41356</v>
      </c>
      <c r="G15" s="68">
        <v>41357</v>
      </c>
      <c r="H15" s="69">
        <v>41720</v>
      </c>
      <c r="I15" s="69">
        <v>41721</v>
      </c>
      <c r="J15" s="68">
        <v>42084</v>
      </c>
      <c r="K15" s="70">
        <v>42085</v>
      </c>
      <c r="L15" s="57"/>
      <c r="M15" s="57"/>
      <c r="N15" s="57"/>
      <c r="O15" s="57"/>
    </row>
    <row r="16" spans="2:15" x14ac:dyDescent="0.25">
      <c r="B16" s="67">
        <v>40628</v>
      </c>
      <c r="C16" s="68">
        <v>40629</v>
      </c>
      <c r="D16" s="69">
        <v>40992</v>
      </c>
      <c r="E16" s="69">
        <v>40993</v>
      </c>
      <c r="F16" s="68">
        <v>41363</v>
      </c>
      <c r="G16" s="68">
        <v>41364</v>
      </c>
      <c r="H16" s="69">
        <v>41727</v>
      </c>
      <c r="I16" s="69">
        <v>41728</v>
      </c>
      <c r="J16" s="68">
        <v>42091</v>
      </c>
      <c r="K16" s="70">
        <v>42092</v>
      </c>
      <c r="L16" s="57"/>
      <c r="M16" s="57"/>
      <c r="N16" s="57"/>
      <c r="O16" s="57"/>
    </row>
    <row r="17" spans="2:11" x14ac:dyDescent="0.25">
      <c r="B17" s="67">
        <v>40635</v>
      </c>
      <c r="C17" s="68">
        <v>40636</v>
      </c>
      <c r="D17" s="69">
        <v>40999</v>
      </c>
      <c r="E17" s="69">
        <v>41000</v>
      </c>
      <c r="F17" s="68">
        <v>41370</v>
      </c>
      <c r="G17" s="68">
        <v>41371</v>
      </c>
      <c r="H17" s="69">
        <v>41734</v>
      </c>
      <c r="I17" s="69">
        <v>41735</v>
      </c>
      <c r="J17" s="68">
        <v>42098</v>
      </c>
      <c r="K17" s="70">
        <v>42099</v>
      </c>
    </row>
    <row r="18" spans="2:11" x14ac:dyDescent="0.25">
      <c r="B18" s="67">
        <v>40642</v>
      </c>
      <c r="C18" s="68">
        <v>40643</v>
      </c>
      <c r="D18" s="69">
        <v>41006</v>
      </c>
      <c r="E18" s="69">
        <v>41007</v>
      </c>
      <c r="F18" s="68">
        <v>41377</v>
      </c>
      <c r="G18" s="68">
        <v>41378</v>
      </c>
      <c r="H18" s="69">
        <v>41741</v>
      </c>
      <c r="I18" s="69">
        <v>41742</v>
      </c>
      <c r="J18" s="68">
        <v>42105</v>
      </c>
      <c r="K18" s="70">
        <v>42106</v>
      </c>
    </row>
    <row r="19" spans="2:11" x14ac:dyDescent="0.25">
      <c r="B19" s="67">
        <v>40649</v>
      </c>
      <c r="C19" s="68">
        <v>40650</v>
      </c>
      <c r="D19" s="69">
        <v>41013</v>
      </c>
      <c r="E19" s="69">
        <v>41014</v>
      </c>
      <c r="F19" s="68">
        <v>41384</v>
      </c>
      <c r="G19" s="68">
        <v>41385</v>
      </c>
      <c r="H19" s="69">
        <v>41748</v>
      </c>
      <c r="I19" s="69">
        <v>41749</v>
      </c>
      <c r="J19" s="68">
        <v>42112</v>
      </c>
      <c r="K19" s="70">
        <v>42113</v>
      </c>
    </row>
    <row r="20" spans="2:11" x14ac:dyDescent="0.25">
      <c r="B20" s="67">
        <v>40656</v>
      </c>
      <c r="C20" s="68">
        <v>40657</v>
      </c>
      <c r="D20" s="69">
        <v>41020</v>
      </c>
      <c r="E20" s="69">
        <v>41021</v>
      </c>
      <c r="F20" s="68">
        <v>41391</v>
      </c>
      <c r="G20" s="68">
        <v>41392</v>
      </c>
      <c r="H20" s="69">
        <v>41755</v>
      </c>
      <c r="I20" s="69">
        <v>41756</v>
      </c>
      <c r="J20" s="68">
        <v>42119</v>
      </c>
      <c r="K20" s="70">
        <v>42120</v>
      </c>
    </row>
    <row r="21" spans="2:11" x14ac:dyDescent="0.25">
      <c r="B21" s="67">
        <v>40663</v>
      </c>
      <c r="C21" s="68">
        <v>40664</v>
      </c>
      <c r="D21" s="69">
        <v>41027</v>
      </c>
      <c r="E21" s="69">
        <v>41028</v>
      </c>
      <c r="F21" s="68">
        <v>41398</v>
      </c>
      <c r="G21" s="68">
        <v>41399</v>
      </c>
      <c r="H21" s="69">
        <v>41762</v>
      </c>
      <c r="I21" s="69">
        <v>41763</v>
      </c>
      <c r="J21" s="68">
        <v>42126</v>
      </c>
      <c r="K21" s="70">
        <v>42127</v>
      </c>
    </row>
    <row r="22" spans="2:11" x14ac:dyDescent="0.25">
      <c r="B22" s="67">
        <v>40670</v>
      </c>
      <c r="C22" s="68">
        <v>40671</v>
      </c>
      <c r="D22" s="69">
        <v>41034</v>
      </c>
      <c r="E22" s="69">
        <v>41035</v>
      </c>
      <c r="F22" s="68">
        <v>41405</v>
      </c>
      <c r="G22" s="68">
        <v>41406</v>
      </c>
      <c r="H22" s="69">
        <v>41769</v>
      </c>
      <c r="I22" s="69">
        <v>41770</v>
      </c>
      <c r="J22" s="68">
        <v>42133</v>
      </c>
      <c r="K22" s="70">
        <v>42134</v>
      </c>
    </row>
    <row r="23" spans="2:11" x14ac:dyDescent="0.25">
      <c r="B23" s="67">
        <v>40677</v>
      </c>
      <c r="C23" s="68">
        <v>40678</v>
      </c>
      <c r="D23" s="69">
        <v>41041</v>
      </c>
      <c r="E23" s="69">
        <v>41042</v>
      </c>
      <c r="F23" s="68">
        <v>41412</v>
      </c>
      <c r="G23" s="68">
        <v>41413</v>
      </c>
      <c r="H23" s="69">
        <v>41776</v>
      </c>
      <c r="I23" s="69">
        <v>41777</v>
      </c>
      <c r="J23" s="68">
        <v>42140</v>
      </c>
      <c r="K23" s="70">
        <v>42141</v>
      </c>
    </row>
    <row r="24" spans="2:11" x14ac:dyDescent="0.25">
      <c r="B24" s="67">
        <v>40684</v>
      </c>
      <c r="C24" s="68">
        <v>40685</v>
      </c>
      <c r="D24" s="69">
        <v>41048</v>
      </c>
      <c r="E24" s="69">
        <v>41049</v>
      </c>
      <c r="F24" s="68">
        <v>41419</v>
      </c>
      <c r="G24" s="68">
        <v>41420</v>
      </c>
      <c r="H24" s="69">
        <v>41783</v>
      </c>
      <c r="I24" s="69">
        <v>41784</v>
      </c>
      <c r="J24" s="68">
        <v>42147</v>
      </c>
      <c r="K24" s="70">
        <v>42148</v>
      </c>
    </row>
    <row r="25" spans="2:11" x14ac:dyDescent="0.25">
      <c r="B25" s="67">
        <v>40691</v>
      </c>
      <c r="C25" s="68">
        <v>40692</v>
      </c>
      <c r="D25" s="69">
        <v>41055</v>
      </c>
      <c r="E25" s="69">
        <v>41056</v>
      </c>
      <c r="F25" s="68">
        <v>41426</v>
      </c>
      <c r="G25" s="68">
        <v>41427</v>
      </c>
      <c r="H25" s="69">
        <v>41790</v>
      </c>
      <c r="I25" s="69">
        <v>41791</v>
      </c>
      <c r="J25" s="68">
        <v>42154</v>
      </c>
      <c r="K25" s="70">
        <v>42155</v>
      </c>
    </row>
    <row r="26" spans="2:11" x14ac:dyDescent="0.25">
      <c r="B26" s="67">
        <v>40698</v>
      </c>
      <c r="C26" s="68">
        <v>40699</v>
      </c>
      <c r="D26" s="69">
        <v>41062</v>
      </c>
      <c r="E26" s="69">
        <v>41063</v>
      </c>
      <c r="F26" s="68">
        <v>41433</v>
      </c>
      <c r="G26" s="68">
        <v>41434</v>
      </c>
      <c r="H26" s="69">
        <v>41797</v>
      </c>
      <c r="I26" s="69">
        <v>41798</v>
      </c>
      <c r="J26" s="68">
        <v>42161</v>
      </c>
      <c r="K26" s="70">
        <v>42162</v>
      </c>
    </row>
    <row r="27" spans="2:11" x14ac:dyDescent="0.25">
      <c r="B27" s="67">
        <v>40705</v>
      </c>
      <c r="C27" s="68">
        <v>40706</v>
      </c>
      <c r="D27" s="69">
        <v>41069</v>
      </c>
      <c r="E27" s="69">
        <v>41070</v>
      </c>
      <c r="F27" s="68">
        <v>41440</v>
      </c>
      <c r="G27" s="68">
        <v>41441</v>
      </c>
      <c r="H27" s="69">
        <v>41804</v>
      </c>
      <c r="I27" s="69">
        <v>41805</v>
      </c>
      <c r="J27" s="68">
        <v>42168</v>
      </c>
      <c r="K27" s="70">
        <v>42169</v>
      </c>
    </row>
    <row r="28" spans="2:11" x14ac:dyDescent="0.25">
      <c r="B28" s="67">
        <v>40712</v>
      </c>
      <c r="C28" s="68">
        <v>40713</v>
      </c>
      <c r="D28" s="69">
        <v>41076</v>
      </c>
      <c r="E28" s="69">
        <v>41077</v>
      </c>
      <c r="F28" s="68">
        <v>41447</v>
      </c>
      <c r="G28" s="68">
        <v>41448</v>
      </c>
      <c r="H28" s="69">
        <v>41811</v>
      </c>
      <c r="I28" s="69">
        <v>41812</v>
      </c>
      <c r="J28" s="68">
        <v>42175</v>
      </c>
      <c r="K28" s="70">
        <v>42176</v>
      </c>
    </row>
    <row r="29" spans="2:11" x14ac:dyDescent="0.25">
      <c r="B29" s="67">
        <v>40719</v>
      </c>
      <c r="C29" s="68">
        <v>40720</v>
      </c>
      <c r="D29" s="69">
        <v>41083</v>
      </c>
      <c r="E29" s="69">
        <v>41084</v>
      </c>
      <c r="F29" s="68">
        <v>41454</v>
      </c>
      <c r="G29" s="68">
        <v>41455</v>
      </c>
      <c r="H29" s="69">
        <v>41818</v>
      </c>
      <c r="I29" s="69">
        <v>41819</v>
      </c>
      <c r="J29" s="68">
        <v>42182</v>
      </c>
      <c r="K29" s="70">
        <v>42183</v>
      </c>
    </row>
    <row r="30" spans="2:11" x14ac:dyDescent="0.25">
      <c r="B30" s="67">
        <v>40726</v>
      </c>
      <c r="C30" s="68">
        <v>40727</v>
      </c>
      <c r="D30" s="69">
        <v>41090</v>
      </c>
      <c r="E30" s="69">
        <v>41091</v>
      </c>
      <c r="F30" s="68">
        <v>41461</v>
      </c>
      <c r="G30" s="68">
        <v>41462</v>
      </c>
      <c r="H30" s="69">
        <v>41825</v>
      </c>
      <c r="I30" s="69">
        <v>41826</v>
      </c>
      <c r="J30" s="68">
        <v>42189</v>
      </c>
      <c r="K30" s="70">
        <v>42190</v>
      </c>
    </row>
    <row r="31" spans="2:11" x14ac:dyDescent="0.25">
      <c r="B31" s="67">
        <v>40733</v>
      </c>
      <c r="C31" s="68">
        <v>40734</v>
      </c>
      <c r="D31" s="69">
        <v>41097</v>
      </c>
      <c r="E31" s="69">
        <v>41098</v>
      </c>
      <c r="F31" s="68">
        <v>41468</v>
      </c>
      <c r="G31" s="68">
        <v>41469</v>
      </c>
      <c r="H31" s="69">
        <v>41832</v>
      </c>
      <c r="I31" s="69">
        <v>41833</v>
      </c>
      <c r="J31" s="68">
        <v>42196</v>
      </c>
      <c r="K31" s="70">
        <v>42197</v>
      </c>
    </row>
    <row r="32" spans="2:11" x14ac:dyDescent="0.25">
      <c r="B32" s="67">
        <v>40740</v>
      </c>
      <c r="C32" s="68">
        <v>40741</v>
      </c>
      <c r="D32" s="69">
        <v>41104</v>
      </c>
      <c r="E32" s="69">
        <v>41105</v>
      </c>
      <c r="F32" s="68">
        <v>41475</v>
      </c>
      <c r="G32" s="68">
        <v>41476</v>
      </c>
      <c r="H32" s="69">
        <v>41839</v>
      </c>
      <c r="I32" s="69">
        <v>41840</v>
      </c>
      <c r="J32" s="68">
        <v>42203</v>
      </c>
      <c r="K32" s="70">
        <v>42204</v>
      </c>
    </row>
    <row r="33" spans="2:11" x14ac:dyDescent="0.25">
      <c r="B33" s="67">
        <v>40747</v>
      </c>
      <c r="C33" s="68">
        <v>40748</v>
      </c>
      <c r="D33" s="69">
        <v>41111</v>
      </c>
      <c r="E33" s="69">
        <v>41112</v>
      </c>
      <c r="F33" s="68">
        <v>41482</v>
      </c>
      <c r="G33" s="68">
        <v>41483</v>
      </c>
      <c r="H33" s="69">
        <v>41846</v>
      </c>
      <c r="I33" s="69">
        <v>41847</v>
      </c>
      <c r="J33" s="68">
        <v>42210</v>
      </c>
      <c r="K33" s="70">
        <v>42211</v>
      </c>
    </row>
    <row r="34" spans="2:11" x14ac:dyDescent="0.25">
      <c r="B34" s="67">
        <v>40754</v>
      </c>
      <c r="C34" s="68">
        <v>40755</v>
      </c>
      <c r="D34" s="69">
        <v>41118</v>
      </c>
      <c r="E34" s="69">
        <v>41119</v>
      </c>
      <c r="F34" s="68">
        <v>41489</v>
      </c>
      <c r="G34" s="68">
        <v>41490</v>
      </c>
      <c r="H34" s="69">
        <v>41853</v>
      </c>
      <c r="I34" s="69">
        <v>41854</v>
      </c>
      <c r="J34" s="68">
        <v>42217</v>
      </c>
      <c r="K34" s="70">
        <v>42218</v>
      </c>
    </row>
    <row r="35" spans="2:11" x14ac:dyDescent="0.25">
      <c r="B35" s="67">
        <v>40761</v>
      </c>
      <c r="C35" s="68">
        <v>40762</v>
      </c>
      <c r="D35" s="69">
        <v>41125</v>
      </c>
      <c r="E35" s="69">
        <v>41126</v>
      </c>
      <c r="F35" s="68">
        <v>41496</v>
      </c>
      <c r="G35" s="68">
        <v>41497</v>
      </c>
      <c r="H35" s="69">
        <v>41860</v>
      </c>
      <c r="I35" s="69">
        <v>41861</v>
      </c>
      <c r="J35" s="68">
        <v>42224</v>
      </c>
      <c r="K35" s="70">
        <v>42225</v>
      </c>
    </row>
    <row r="36" spans="2:11" x14ac:dyDescent="0.25">
      <c r="B36" s="67">
        <v>40768</v>
      </c>
      <c r="C36" s="68">
        <v>40769</v>
      </c>
      <c r="D36" s="69">
        <v>41132</v>
      </c>
      <c r="E36" s="69">
        <v>41133</v>
      </c>
      <c r="F36" s="68">
        <v>41503</v>
      </c>
      <c r="G36" s="68">
        <v>41504</v>
      </c>
      <c r="H36" s="69">
        <v>41867</v>
      </c>
      <c r="I36" s="69">
        <v>41868</v>
      </c>
      <c r="J36" s="68">
        <v>42231</v>
      </c>
      <c r="K36" s="70">
        <v>42232</v>
      </c>
    </row>
    <row r="37" spans="2:11" x14ac:dyDescent="0.25">
      <c r="B37" s="67">
        <v>40775</v>
      </c>
      <c r="C37" s="68">
        <v>40776</v>
      </c>
      <c r="D37" s="69">
        <v>41139</v>
      </c>
      <c r="E37" s="69">
        <v>41140</v>
      </c>
      <c r="F37" s="68">
        <v>41510</v>
      </c>
      <c r="G37" s="68">
        <v>41511</v>
      </c>
      <c r="H37" s="69">
        <v>41874</v>
      </c>
      <c r="I37" s="69">
        <v>41875</v>
      </c>
      <c r="J37" s="68">
        <v>42238</v>
      </c>
      <c r="K37" s="70">
        <v>42239</v>
      </c>
    </row>
    <row r="38" spans="2:11" x14ac:dyDescent="0.25">
      <c r="B38" s="67">
        <v>40782</v>
      </c>
      <c r="C38" s="68">
        <v>40783</v>
      </c>
      <c r="D38" s="69">
        <v>41146</v>
      </c>
      <c r="E38" s="69">
        <v>41147</v>
      </c>
      <c r="F38" s="68">
        <v>41517</v>
      </c>
      <c r="G38" s="68">
        <v>41518</v>
      </c>
      <c r="H38" s="69">
        <v>41881</v>
      </c>
      <c r="I38" s="69">
        <v>41882</v>
      </c>
      <c r="J38" s="68">
        <v>42245</v>
      </c>
      <c r="K38" s="70">
        <v>42246</v>
      </c>
    </row>
    <row r="39" spans="2:11" x14ac:dyDescent="0.25">
      <c r="B39" s="67">
        <v>40789</v>
      </c>
      <c r="C39" s="68">
        <v>40790</v>
      </c>
      <c r="D39" s="69">
        <v>41153</v>
      </c>
      <c r="E39" s="69">
        <v>41154</v>
      </c>
      <c r="F39" s="68">
        <v>41524</v>
      </c>
      <c r="G39" s="68">
        <v>41525</v>
      </c>
      <c r="H39" s="69">
        <v>41888</v>
      </c>
      <c r="I39" s="69">
        <v>41889</v>
      </c>
      <c r="J39" s="68">
        <v>42252</v>
      </c>
      <c r="K39" s="70">
        <v>42253</v>
      </c>
    </row>
    <row r="40" spans="2:11" x14ac:dyDescent="0.25">
      <c r="B40" s="67">
        <v>40796</v>
      </c>
      <c r="C40" s="68">
        <v>40797</v>
      </c>
      <c r="D40" s="69">
        <v>41160</v>
      </c>
      <c r="E40" s="69">
        <v>41161</v>
      </c>
      <c r="F40" s="68">
        <v>41531</v>
      </c>
      <c r="G40" s="68">
        <v>41532</v>
      </c>
      <c r="H40" s="69">
        <v>41895</v>
      </c>
      <c r="I40" s="69">
        <v>41896</v>
      </c>
      <c r="J40" s="68">
        <v>42259</v>
      </c>
      <c r="K40" s="70">
        <v>42260</v>
      </c>
    </row>
    <row r="41" spans="2:11" x14ac:dyDescent="0.25">
      <c r="B41" s="67">
        <v>40803</v>
      </c>
      <c r="C41" s="68">
        <v>40804</v>
      </c>
      <c r="D41" s="69">
        <v>41167</v>
      </c>
      <c r="E41" s="69">
        <v>41168</v>
      </c>
      <c r="F41" s="68">
        <v>41538</v>
      </c>
      <c r="G41" s="68">
        <v>41539</v>
      </c>
      <c r="H41" s="69">
        <v>41902</v>
      </c>
      <c r="I41" s="69">
        <v>41903</v>
      </c>
      <c r="J41" s="68">
        <v>42266</v>
      </c>
      <c r="K41" s="70">
        <v>42267</v>
      </c>
    </row>
    <row r="42" spans="2:11" x14ac:dyDescent="0.25">
      <c r="B42" s="67">
        <v>40810</v>
      </c>
      <c r="C42" s="68">
        <v>40811</v>
      </c>
      <c r="D42" s="69">
        <v>41174</v>
      </c>
      <c r="E42" s="69">
        <v>41175</v>
      </c>
      <c r="F42" s="68">
        <v>41545</v>
      </c>
      <c r="G42" s="68">
        <v>41546</v>
      </c>
      <c r="H42" s="69">
        <v>41909</v>
      </c>
      <c r="I42" s="69">
        <v>41910</v>
      </c>
      <c r="J42" s="68">
        <v>42273</v>
      </c>
      <c r="K42" s="70">
        <v>42274</v>
      </c>
    </row>
    <row r="43" spans="2:11" x14ac:dyDescent="0.25">
      <c r="B43" s="67">
        <v>40817</v>
      </c>
      <c r="C43" s="68">
        <v>40818</v>
      </c>
      <c r="D43" s="69">
        <v>41181</v>
      </c>
      <c r="E43" s="69">
        <v>41182</v>
      </c>
      <c r="F43" s="68">
        <v>41552</v>
      </c>
      <c r="G43" s="68">
        <v>41553</v>
      </c>
      <c r="H43" s="69">
        <v>41916</v>
      </c>
      <c r="I43" s="69">
        <v>41917</v>
      </c>
      <c r="J43" s="68">
        <v>42280</v>
      </c>
      <c r="K43" s="70">
        <v>42281</v>
      </c>
    </row>
    <row r="44" spans="2:11" x14ac:dyDescent="0.25">
      <c r="B44" s="67">
        <v>40824</v>
      </c>
      <c r="C44" s="68">
        <v>40825</v>
      </c>
      <c r="D44" s="69">
        <v>41188</v>
      </c>
      <c r="E44" s="69">
        <v>41189</v>
      </c>
      <c r="F44" s="68">
        <v>41559</v>
      </c>
      <c r="G44" s="68">
        <v>41560</v>
      </c>
      <c r="H44" s="69">
        <v>41923</v>
      </c>
      <c r="I44" s="69">
        <v>41924</v>
      </c>
      <c r="J44" s="68">
        <v>42287</v>
      </c>
      <c r="K44" s="70">
        <v>42288</v>
      </c>
    </row>
    <row r="45" spans="2:11" x14ac:dyDescent="0.25">
      <c r="B45" s="67">
        <v>40831</v>
      </c>
      <c r="C45" s="68">
        <v>40832</v>
      </c>
      <c r="D45" s="69">
        <v>41195</v>
      </c>
      <c r="E45" s="69">
        <v>41196</v>
      </c>
      <c r="F45" s="68">
        <v>41566</v>
      </c>
      <c r="G45" s="68">
        <v>41567</v>
      </c>
      <c r="H45" s="69">
        <v>41930</v>
      </c>
      <c r="I45" s="69">
        <v>41931</v>
      </c>
      <c r="J45" s="68">
        <v>42294</v>
      </c>
      <c r="K45" s="70">
        <v>42295</v>
      </c>
    </row>
    <row r="46" spans="2:11" x14ac:dyDescent="0.25">
      <c r="B46" s="67">
        <v>40838</v>
      </c>
      <c r="C46" s="68">
        <v>40839</v>
      </c>
      <c r="D46" s="69">
        <v>41202</v>
      </c>
      <c r="E46" s="69">
        <v>41203</v>
      </c>
      <c r="F46" s="68">
        <v>41573</v>
      </c>
      <c r="G46" s="68">
        <v>41574</v>
      </c>
      <c r="H46" s="69">
        <v>41937</v>
      </c>
      <c r="I46" s="69">
        <v>41938</v>
      </c>
      <c r="J46" s="68">
        <v>42301</v>
      </c>
      <c r="K46" s="70">
        <v>42302</v>
      </c>
    </row>
    <row r="47" spans="2:11" x14ac:dyDescent="0.25">
      <c r="B47" s="67">
        <v>40845</v>
      </c>
      <c r="C47" s="68">
        <v>40846</v>
      </c>
      <c r="D47" s="69">
        <v>41209</v>
      </c>
      <c r="E47" s="69">
        <v>41210</v>
      </c>
      <c r="F47" s="68">
        <v>41580</v>
      </c>
      <c r="G47" s="68">
        <v>41581</v>
      </c>
      <c r="H47" s="69">
        <v>41944</v>
      </c>
      <c r="I47" s="69">
        <v>41945</v>
      </c>
      <c r="J47" s="68">
        <v>42308</v>
      </c>
      <c r="K47" s="70">
        <v>42309</v>
      </c>
    </row>
    <row r="48" spans="2:11" x14ac:dyDescent="0.25">
      <c r="B48" s="67">
        <v>40852</v>
      </c>
      <c r="C48" s="68">
        <v>40853</v>
      </c>
      <c r="D48" s="69">
        <v>41216</v>
      </c>
      <c r="E48" s="69">
        <v>41217</v>
      </c>
      <c r="F48" s="68">
        <v>41587</v>
      </c>
      <c r="G48" s="68">
        <v>41588</v>
      </c>
      <c r="H48" s="69">
        <v>41951</v>
      </c>
      <c r="I48" s="69">
        <v>41952</v>
      </c>
      <c r="J48" s="68">
        <v>42315</v>
      </c>
      <c r="K48" s="70">
        <v>42316</v>
      </c>
    </row>
    <row r="49" spans="1:11" x14ac:dyDescent="0.25">
      <c r="A49" s="57"/>
      <c r="B49" s="67">
        <v>40859</v>
      </c>
      <c r="C49" s="68">
        <v>40860</v>
      </c>
      <c r="D49" s="69">
        <v>41223</v>
      </c>
      <c r="E49" s="69">
        <v>41224</v>
      </c>
      <c r="F49" s="68">
        <v>41594</v>
      </c>
      <c r="G49" s="68">
        <v>41595</v>
      </c>
      <c r="H49" s="69">
        <v>41958</v>
      </c>
      <c r="I49" s="69">
        <v>41959</v>
      </c>
      <c r="J49" s="68">
        <v>42322</v>
      </c>
      <c r="K49" s="70">
        <v>42323</v>
      </c>
    </row>
    <row r="50" spans="1:11" x14ac:dyDescent="0.25">
      <c r="A50" s="57"/>
      <c r="B50" s="67">
        <v>40866</v>
      </c>
      <c r="C50" s="68">
        <v>40867</v>
      </c>
      <c r="D50" s="69">
        <v>41230</v>
      </c>
      <c r="E50" s="69">
        <v>41231</v>
      </c>
      <c r="F50" s="68">
        <v>41601</v>
      </c>
      <c r="G50" s="68">
        <v>41602</v>
      </c>
      <c r="H50" s="69">
        <v>41965</v>
      </c>
      <c r="I50" s="69">
        <v>41966</v>
      </c>
      <c r="J50" s="68">
        <v>42329</v>
      </c>
      <c r="K50" s="70">
        <v>42330</v>
      </c>
    </row>
    <row r="51" spans="1:11" x14ac:dyDescent="0.25">
      <c r="A51" s="57"/>
      <c r="B51" s="67">
        <v>40873</v>
      </c>
      <c r="C51" s="68">
        <v>40874</v>
      </c>
      <c r="D51" s="69">
        <v>41237</v>
      </c>
      <c r="E51" s="69">
        <v>41238</v>
      </c>
      <c r="F51" s="68">
        <v>41608</v>
      </c>
      <c r="G51" s="68">
        <v>41609</v>
      </c>
      <c r="H51" s="69">
        <v>41972</v>
      </c>
      <c r="I51" s="69">
        <v>41973</v>
      </c>
      <c r="J51" s="68">
        <v>42336</v>
      </c>
      <c r="K51" s="70">
        <v>42337</v>
      </c>
    </row>
    <row r="52" spans="1:11" x14ac:dyDescent="0.25">
      <c r="A52" s="57"/>
      <c r="B52" s="67">
        <v>40880</v>
      </c>
      <c r="C52" s="68">
        <v>40881</v>
      </c>
      <c r="D52" s="69">
        <v>41244</v>
      </c>
      <c r="E52" s="69">
        <v>41245</v>
      </c>
      <c r="F52" s="68">
        <v>41615</v>
      </c>
      <c r="G52" s="68">
        <v>41616</v>
      </c>
      <c r="H52" s="69">
        <v>41979</v>
      </c>
      <c r="I52" s="69">
        <v>41980</v>
      </c>
      <c r="J52" s="68">
        <v>42343</v>
      </c>
      <c r="K52" s="70">
        <v>42344</v>
      </c>
    </row>
    <row r="53" spans="1:11" x14ac:dyDescent="0.25">
      <c r="A53" s="57"/>
      <c r="B53" s="67">
        <v>40887</v>
      </c>
      <c r="C53" s="68">
        <v>40888</v>
      </c>
      <c r="D53" s="69">
        <v>41251</v>
      </c>
      <c r="E53" s="69">
        <v>41252</v>
      </c>
      <c r="F53" s="68">
        <v>41622</v>
      </c>
      <c r="G53" s="68">
        <v>41623</v>
      </c>
      <c r="H53" s="69">
        <v>41986</v>
      </c>
      <c r="I53" s="69">
        <v>41987</v>
      </c>
      <c r="J53" s="68">
        <v>42350</v>
      </c>
      <c r="K53" s="70">
        <v>42351</v>
      </c>
    </row>
    <row r="54" spans="1:11" x14ac:dyDescent="0.25">
      <c r="A54" s="57"/>
      <c r="B54" s="67">
        <v>40894</v>
      </c>
      <c r="C54" s="68">
        <v>40895</v>
      </c>
      <c r="D54" s="69">
        <v>41258</v>
      </c>
      <c r="E54" s="69">
        <v>41259</v>
      </c>
      <c r="F54" s="68">
        <v>41629</v>
      </c>
      <c r="G54" s="68">
        <v>41630</v>
      </c>
      <c r="H54" s="69">
        <v>41993</v>
      </c>
      <c r="I54" s="69">
        <v>41994</v>
      </c>
      <c r="J54" s="68">
        <v>42357</v>
      </c>
      <c r="K54" s="70">
        <v>42358</v>
      </c>
    </row>
    <row r="55" spans="1:11" x14ac:dyDescent="0.25">
      <c r="A55" s="57"/>
      <c r="B55" s="67">
        <v>40901</v>
      </c>
      <c r="C55" s="68">
        <v>40902</v>
      </c>
      <c r="D55" s="69">
        <v>41265</v>
      </c>
      <c r="E55" s="69">
        <v>41266</v>
      </c>
      <c r="F55" s="68">
        <v>41636</v>
      </c>
      <c r="G55" s="68">
        <v>41637</v>
      </c>
      <c r="H55" s="69">
        <v>42000</v>
      </c>
      <c r="I55" s="69">
        <v>42001</v>
      </c>
      <c r="J55" s="68">
        <v>42364</v>
      </c>
      <c r="K55" s="70">
        <v>42365</v>
      </c>
    </row>
    <row r="56" spans="1:11" ht="15.75" thickBot="1" x14ac:dyDescent="0.3">
      <c r="A56" s="57"/>
      <c r="B56" s="71">
        <v>40908</v>
      </c>
      <c r="C56" s="72"/>
      <c r="D56" s="73">
        <v>41272</v>
      </c>
      <c r="E56" s="73">
        <v>41273</v>
      </c>
      <c r="F56" s="72"/>
      <c r="G56" s="72"/>
      <c r="H56" s="73"/>
      <c r="I56" s="73"/>
      <c r="J56" s="72"/>
      <c r="K56" s="74"/>
    </row>
    <row r="57" spans="1:11" ht="15.75" thickTop="1" x14ac:dyDescent="0.25">
      <c r="A57" s="75" t="s">
        <v>529</v>
      </c>
      <c r="B57" s="76">
        <v>40902</v>
      </c>
      <c r="C57" s="77">
        <v>40900</v>
      </c>
      <c r="D57" s="78">
        <v>41268</v>
      </c>
      <c r="E57" s="78">
        <v>40910</v>
      </c>
      <c r="F57" s="77">
        <v>41633</v>
      </c>
      <c r="G57" s="77">
        <v>41276</v>
      </c>
      <c r="H57" s="78">
        <v>41998</v>
      </c>
      <c r="I57" s="78">
        <v>41641</v>
      </c>
      <c r="J57" s="77">
        <v>42363</v>
      </c>
      <c r="K57" s="79">
        <v>42006</v>
      </c>
    </row>
    <row r="58" spans="1:11" x14ac:dyDescent="0.25">
      <c r="A58" s="75" t="s">
        <v>530</v>
      </c>
      <c r="B58" s="67">
        <v>40904</v>
      </c>
      <c r="C58" s="68">
        <v>40901</v>
      </c>
      <c r="D58" s="69">
        <v>41269</v>
      </c>
      <c r="E58" s="69">
        <v>40911</v>
      </c>
      <c r="F58" s="68">
        <v>41634</v>
      </c>
      <c r="G58" s="68">
        <v>41277</v>
      </c>
      <c r="H58" s="69">
        <v>41999</v>
      </c>
      <c r="I58" s="69">
        <v>41642</v>
      </c>
      <c r="J58" s="68">
        <v>42364</v>
      </c>
      <c r="K58" s="70">
        <v>42009</v>
      </c>
    </row>
    <row r="59" spans="1:11" x14ac:dyDescent="0.25">
      <c r="A59" s="75" t="s">
        <v>531</v>
      </c>
      <c r="B59" s="67">
        <v>40544</v>
      </c>
      <c r="C59" s="68">
        <v>40905</v>
      </c>
      <c r="D59" s="69">
        <v>40909</v>
      </c>
      <c r="E59" s="69">
        <v>40912</v>
      </c>
      <c r="F59" s="68">
        <v>41275</v>
      </c>
      <c r="G59" s="68">
        <v>41278</v>
      </c>
      <c r="H59" s="69">
        <v>41640</v>
      </c>
      <c r="I59" s="69">
        <v>41995</v>
      </c>
      <c r="J59" s="68">
        <v>42005</v>
      </c>
      <c r="K59" s="70">
        <v>42010</v>
      </c>
    </row>
    <row r="60" spans="1:11" x14ac:dyDescent="0.25">
      <c r="A60" s="75" t="s">
        <v>532</v>
      </c>
      <c r="B60" s="67">
        <v>40569</v>
      </c>
      <c r="C60" s="68">
        <v>40906</v>
      </c>
      <c r="D60" s="69">
        <v>41300</v>
      </c>
      <c r="E60" s="69">
        <v>40913</v>
      </c>
      <c r="F60" s="68">
        <v>41302</v>
      </c>
      <c r="G60" s="68">
        <v>41631</v>
      </c>
      <c r="H60" s="69">
        <v>41666</v>
      </c>
      <c r="I60" s="69">
        <v>41996</v>
      </c>
      <c r="J60" s="68">
        <v>42030</v>
      </c>
      <c r="K60" s="70">
        <v>42011</v>
      </c>
    </row>
    <row r="61" spans="1:11" x14ac:dyDescent="0.25">
      <c r="A61" s="75" t="s">
        <v>533</v>
      </c>
      <c r="B61" s="67">
        <v>40655</v>
      </c>
      <c r="C61" s="68">
        <v>40907</v>
      </c>
      <c r="D61" s="69">
        <v>41005</v>
      </c>
      <c r="E61" s="69">
        <v>40914</v>
      </c>
      <c r="F61" s="68">
        <v>41362</v>
      </c>
      <c r="G61" s="68">
        <v>41632</v>
      </c>
      <c r="H61" s="69">
        <v>41747</v>
      </c>
      <c r="I61" s="69">
        <v>41997</v>
      </c>
      <c r="J61" s="68">
        <v>42097</v>
      </c>
      <c r="K61" s="70">
        <v>42012</v>
      </c>
    </row>
    <row r="62" spans="1:11" x14ac:dyDescent="0.25">
      <c r="A62" s="75" t="s">
        <v>534</v>
      </c>
      <c r="B62" s="67">
        <v>40658</v>
      </c>
      <c r="C62" s="68"/>
      <c r="D62" s="69">
        <v>41008</v>
      </c>
      <c r="E62" s="69">
        <v>41267</v>
      </c>
      <c r="F62" s="68">
        <v>41365</v>
      </c>
      <c r="G62" s="68">
        <v>41635</v>
      </c>
      <c r="H62" s="69">
        <v>41750</v>
      </c>
      <c r="I62" s="69">
        <v>42002</v>
      </c>
      <c r="J62" s="68">
        <v>42100</v>
      </c>
      <c r="K62" s="70">
        <v>42013</v>
      </c>
    </row>
    <row r="63" spans="1:11" x14ac:dyDescent="0.25">
      <c r="A63" s="75" t="s">
        <v>535</v>
      </c>
      <c r="B63" s="67">
        <v>40659</v>
      </c>
      <c r="C63" s="68"/>
      <c r="D63" s="69">
        <v>41024</v>
      </c>
      <c r="E63" s="69">
        <v>41270</v>
      </c>
      <c r="F63" s="68">
        <v>41389</v>
      </c>
      <c r="G63" s="68">
        <v>41638</v>
      </c>
      <c r="H63" s="69">
        <v>41754</v>
      </c>
      <c r="I63" s="69">
        <v>42003</v>
      </c>
      <c r="J63" s="68">
        <v>42121</v>
      </c>
      <c r="K63" s="70">
        <v>42362</v>
      </c>
    </row>
    <row r="64" spans="1:11" x14ac:dyDescent="0.25">
      <c r="A64" s="75" t="s">
        <v>536</v>
      </c>
      <c r="B64" s="67">
        <v>40665</v>
      </c>
      <c r="C64" s="68"/>
      <c r="D64" s="69">
        <v>41036</v>
      </c>
      <c r="E64" s="69">
        <v>41271</v>
      </c>
      <c r="F64" s="68">
        <v>41435</v>
      </c>
      <c r="G64" s="68">
        <v>41639</v>
      </c>
      <c r="H64" s="69">
        <v>41918</v>
      </c>
      <c r="I64" s="69">
        <v>42004</v>
      </c>
      <c r="J64" s="68">
        <v>42282</v>
      </c>
      <c r="K64" s="70">
        <v>42365</v>
      </c>
    </row>
    <row r="65" spans="1:11" x14ac:dyDescent="0.25">
      <c r="A65" s="75" t="s">
        <v>537</v>
      </c>
      <c r="B65" s="67">
        <v>40707</v>
      </c>
      <c r="C65" s="68"/>
      <c r="D65" s="69">
        <v>41071</v>
      </c>
      <c r="E65" s="69">
        <v>41274</v>
      </c>
      <c r="F65" s="68">
        <v>41554</v>
      </c>
      <c r="G65" s="68"/>
      <c r="H65" s="69">
        <v>41799</v>
      </c>
      <c r="I65" s="69"/>
      <c r="J65" s="68">
        <v>42163</v>
      </c>
      <c r="K65" s="70">
        <v>42366</v>
      </c>
    </row>
    <row r="66" spans="1:11" x14ac:dyDescent="0.25">
      <c r="A66" s="57"/>
      <c r="B66" s="67"/>
      <c r="C66" s="68"/>
      <c r="D66" s="69"/>
      <c r="E66" s="69"/>
      <c r="F66" s="68"/>
      <c r="G66" s="68"/>
      <c r="H66" s="61"/>
      <c r="I66" s="61"/>
      <c r="J66" s="68"/>
      <c r="K66" s="70">
        <v>42367</v>
      </c>
    </row>
    <row r="67" spans="1:11" x14ac:dyDescent="0.25">
      <c r="A67" s="57"/>
      <c r="B67" s="67"/>
      <c r="C67" s="68"/>
      <c r="D67" s="69"/>
      <c r="E67" s="69"/>
      <c r="F67" s="68"/>
      <c r="G67" s="68"/>
      <c r="H67" s="61"/>
      <c r="I67" s="61"/>
      <c r="J67" s="68"/>
      <c r="K67" s="70">
        <v>42368</v>
      </c>
    </row>
    <row r="68" spans="1:11" x14ac:dyDescent="0.25">
      <c r="A68" s="57"/>
      <c r="B68" s="67"/>
      <c r="C68" s="68"/>
      <c r="D68" s="69"/>
      <c r="E68" s="69"/>
      <c r="F68" s="68"/>
      <c r="G68" s="68"/>
      <c r="H68" s="61"/>
      <c r="I68" s="61"/>
      <c r="J68" s="68"/>
      <c r="K68" s="70">
        <v>42369</v>
      </c>
    </row>
    <row r="69" spans="1:11" ht="15.75" thickBot="1" x14ac:dyDescent="0.3">
      <c r="A69" s="57"/>
      <c r="B69" s="80"/>
      <c r="C69" s="81" t="s">
        <v>538</v>
      </c>
      <c r="D69" s="82"/>
      <c r="E69" s="81" t="s">
        <v>538</v>
      </c>
      <c r="F69" s="83"/>
      <c r="G69" s="81" t="s">
        <v>538</v>
      </c>
      <c r="H69" s="84"/>
      <c r="I69" s="81" t="s">
        <v>538</v>
      </c>
      <c r="J69" s="83"/>
      <c r="K69" s="85" t="s">
        <v>538</v>
      </c>
    </row>
    <row r="71" spans="1:11" x14ac:dyDescent="0.25">
      <c r="A71" s="93" t="s">
        <v>551</v>
      </c>
      <c r="B71" s="93">
        <v>9</v>
      </c>
    </row>
    <row r="72" spans="1:11" x14ac:dyDescent="0.25">
      <c r="A72" s="93" t="s">
        <v>1362</v>
      </c>
      <c r="B72" s="260">
        <v>40841</v>
      </c>
    </row>
  </sheetData>
  <mergeCells count="6">
    <mergeCell ref="B1:K1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1"/>
  <sheetViews>
    <sheetView topLeftCell="A166" zoomScale="85" zoomScaleNormal="85" workbookViewId="0">
      <selection activeCell="D5" sqref="D5"/>
    </sheetView>
  </sheetViews>
  <sheetFormatPr defaultColWidth="9.140625" defaultRowHeight="15" x14ac:dyDescent="0.25"/>
  <cols>
    <col min="1" max="1" width="12" style="219" customWidth="1"/>
    <col min="2" max="2" width="43.85546875" style="213" customWidth="1"/>
    <col min="3" max="3" width="13.5703125" style="219" customWidth="1"/>
    <col min="4" max="4" width="33.85546875" style="214" customWidth="1"/>
    <col min="5" max="5" width="37.5703125" style="214" customWidth="1"/>
    <col min="6" max="6" width="14.42578125" style="212" bestFit="1" customWidth="1"/>
    <col min="7" max="12" width="13.7109375" style="212" customWidth="1"/>
    <col min="13" max="16384" width="9.140625" style="212"/>
  </cols>
  <sheetData>
    <row r="1" spans="1:12" s="208" customFormat="1" x14ac:dyDescent="0.25">
      <c r="A1" s="205" t="s">
        <v>503</v>
      </c>
      <c r="B1" s="205" t="s">
        <v>666</v>
      </c>
      <c r="C1" s="205" t="s">
        <v>473</v>
      </c>
      <c r="D1" s="205" t="s">
        <v>1280</v>
      </c>
      <c r="E1" s="205" t="s">
        <v>1281</v>
      </c>
      <c r="F1" s="206" t="s">
        <v>667</v>
      </c>
      <c r="G1" s="207" t="s">
        <v>668</v>
      </c>
      <c r="H1" s="207" t="s">
        <v>669</v>
      </c>
      <c r="I1" s="207" t="s">
        <v>670</v>
      </c>
      <c r="J1" s="207" t="s">
        <v>671</v>
      </c>
      <c r="K1" s="207" t="s">
        <v>672</v>
      </c>
      <c r="L1" s="207" t="s">
        <v>673</v>
      </c>
    </row>
    <row r="2" spans="1:12" x14ac:dyDescent="0.25">
      <c r="A2" s="218"/>
      <c r="B2" s="209"/>
      <c r="C2" s="218"/>
      <c r="D2" s="210"/>
      <c r="E2" s="210"/>
      <c r="F2" s="211"/>
      <c r="G2" s="211"/>
      <c r="H2" s="211"/>
      <c r="I2" s="211"/>
      <c r="J2" s="211"/>
      <c r="K2" s="211"/>
      <c r="L2" s="211"/>
    </row>
    <row r="3" spans="1:12" x14ac:dyDescent="0.25">
      <c r="A3" s="220">
        <v>1</v>
      </c>
      <c r="B3" s="215" t="s">
        <v>552</v>
      </c>
      <c r="C3" s="220"/>
      <c r="D3" s="216"/>
      <c r="E3" s="216" t="s">
        <v>623</v>
      </c>
      <c r="F3" s="211"/>
      <c r="G3" s="211"/>
      <c r="H3" s="211"/>
      <c r="I3" s="211"/>
      <c r="J3" s="211"/>
      <c r="K3" s="211"/>
      <c r="L3" s="211"/>
    </row>
    <row r="4" spans="1:12" x14ac:dyDescent="0.25">
      <c r="A4" s="220">
        <v>2</v>
      </c>
      <c r="B4" s="215" t="s">
        <v>553</v>
      </c>
      <c r="C4" s="220"/>
      <c r="D4" s="216" t="s">
        <v>663</v>
      </c>
      <c r="E4" s="216"/>
      <c r="F4" s="211"/>
      <c r="G4" s="211"/>
      <c r="H4" s="211"/>
      <c r="I4" s="211"/>
      <c r="J4" s="211"/>
      <c r="K4" s="211"/>
      <c r="L4" s="211"/>
    </row>
    <row r="5" spans="1:12" ht="60" x14ac:dyDescent="0.25">
      <c r="A5" s="220">
        <v>5</v>
      </c>
      <c r="B5" s="215" t="s">
        <v>554</v>
      </c>
      <c r="C5" s="220">
        <f>VLOOKUP(A5,Estimate!A:L,12,FALSE)</f>
        <v>2</v>
      </c>
      <c r="D5" s="216" t="s">
        <v>624</v>
      </c>
      <c r="E5" s="216" t="s">
        <v>625</v>
      </c>
      <c r="F5" s="221">
        <f>IFERROR(VLOOKUP(A5,Estimate!A:Q,17,FALSE),0)</f>
        <v>34725</v>
      </c>
      <c r="G5" s="222">
        <f>VLOOKUP($A5,'Budget &amp; Revenue'!$A:$V,12,FALSE)</f>
        <v>0.8</v>
      </c>
      <c r="H5" s="222">
        <f>VLOOKUP($A5,'Budget &amp; Revenue'!$A:$V,14,FALSE)</f>
        <v>0.8</v>
      </c>
      <c r="I5" s="222">
        <f>VLOOKUP($A5,'Budget &amp; Revenue'!$A:$V,16,FALSE)</f>
        <v>0.8</v>
      </c>
      <c r="J5" s="222">
        <f>VLOOKUP($A5,'Budget &amp; Revenue'!$A:$V,18,FALSE)</f>
        <v>0.8</v>
      </c>
      <c r="K5" s="222">
        <f>VLOOKUP($A5,'Budget &amp; Revenue'!$A:$V,20,FALSE)</f>
        <v>0.85</v>
      </c>
      <c r="L5" s="222">
        <f>VLOOKUP($A5,'Budget &amp; Revenue'!$A:$V,22,FALSE)</f>
        <v>0.85</v>
      </c>
    </row>
    <row r="6" spans="1:12" ht="45" x14ac:dyDescent="0.25">
      <c r="A6" s="220">
        <v>6</v>
      </c>
      <c r="B6" s="215" t="s">
        <v>30</v>
      </c>
      <c r="C6" s="220">
        <f>VLOOKUP(A6,Estimate!A:L,12,FALSE)</f>
        <v>71</v>
      </c>
      <c r="D6" s="216">
        <v>5</v>
      </c>
      <c r="E6" s="216">
        <v>4</v>
      </c>
      <c r="F6" s="221">
        <f>IFERROR(VLOOKUP(A6,Estimate!A:Q,17,FALSE),0)</f>
        <v>76266.831140000009</v>
      </c>
      <c r="G6" s="222">
        <f>VLOOKUP($A6,'Budget &amp; Revenue'!$A:$V,12,FALSE)</f>
        <v>0.1</v>
      </c>
      <c r="H6" s="222">
        <f>VLOOKUP($A6,'Budget &amp; Revenue'!$A:$V,14,FALSE)</f>
        <v>0.6</v>
      </c>
      <c r="I6" s="222">
        <f>VLOOKUP($A6,'Budget &amp; Revenue'!$A:$V,16,FALSE)</f>
        <v>0.7</v>
      </c>
      <c r="J6" s="222">
        <f>VLOOKUP($A6,'Budget &amp; Revenue'!$A:$V,18,FALSE)</f>
        <v>0.8</v>
      </c>
      <c r="K6" s="222">
        <f>VLOOKUP($A6,'Budget &amp; Revenue'!$A:$V,20,FALSE)</f>
        <v>0.85</v>
      </c>
      <c r="L6" s="222">
        <f>VLOOKUP($A6,'Budget &amp; Revenue'!$A:$V,22,FALSE)</f>
        <v>0.85</v>
      </c>
    </row>
    <row r="7" spans="1:12" x14ac:dyDescent="0.25">
      <c r="A7" s="220">
        <v>7</v>
      </c>
      <c r="B7" s="215" t="s">
        <v>34</v>
      </c>
      <c r="C7" s="220">
        <f>VLOOKUP(A7,Estimate!A:L,12,FALSE)</f>
        <v>9</v>
      </c>
      <c r="D7" s="216">
        <v>5</v>
      </c>
      <c r="E7" s="216">
        <v>9</v>
      </c>
      <c r="F7" s="221">
        <f>IFERROR(VLOOKUP(A7,Estimate!A:Q,17,FALSE),0)</f>
        <v>23680</v>
      </c>
      <c r="G7" s="222">
        <f>VLOOKUP($A7,'Budget &amp; Revenue'!$A:$V,12,FALSE)</f>
        <v>1</v>
      </c>
      <c r="H7" s="222">
        <f>VLOOKUP($A7,'Budget &amp; Revenue'!$A:$V,14,FALSE)</f>
        <v>1</v>
      </c>
      <c r="I7" s="222">
        <f>VLOOKUP($A7,'Budget &amp; Revenue'!$A:$V,16,FALSE)</f>
        <v>1</v>
      </c>
      <c r="J7" s="222">
        <f>VLOOKUP($A7,'Budget &amp; Revenue'!$A:$V,18,FALSE)</f>
        <v>1</v>
      </c>
      <c r="K7" s="222">
        <f>VLOOKUP($A7,'Budget &amp; Revenue'!$A:$V,20,FALSE)</f>
        <v>1</v>
      </c>
      <c r="L7" s="222">
        <f>VLOOKUP($A7,'Budget &amp; Revenue'!$A:$V,22,FALSE)</f>
        <v>1</v>
      </c>
    </row>
    <row r="8" spans="1:12" ht="45" x14ac:dyDescent="0.25">
      <c r="A8" s="220">
        <v>8</v>
      </c>
      <c r="B8" s="215" t="s">
        <v>39</v>
      </c>
      <c r="C8" s="220">
        <f>VLOOKUP(A8,Estimate!A:L,12,FALSE)</f>
        <v>1</v>
      </c>
      <c r="D8" s="216">
        <v>3</v>
      </c>
      <c r="E8" s="216">
        <v>5</v>
      </c>
      <c r="F8" s="221">
        <f>IFERROR(VLOOKUP(A8,Estimate!A:Q,17,FALSE),0)</f>
        <v>10400</v>
      </c>
      <c r="G8" s="222">
        <f>VLOOKUP($A8,'Budget &amp; Revenue'!$A:$V,12,FALSE)</f>
        <v>1</v>
      </c>
      <c r="H8" s="222">
        <f>VLOOKUP($A8,'Budget &amp; Revenue'!$A:$V,14,FALSE)</f>
        <v>1</v>
      </c>
      <c r="I8" s="222">
        <f>VLOOKUP($A8,'Budget &amp; Revenue'!$A:$V,16,FALSE)</f>
        <v>1</v>
      </c>
      <c r="J8" s="222">
        <f>VLOOKUP($A8,'Budget &amp; Revenue'!$A:$V,18,FALSE)</f>
        <v>1</v>
      </c>
      <c r="K8" s="222">
        <f>VLOOKUP($A8,'Budget &amp; Revenue'!$A:$V,20,FALSE)</f>
        <v>1</v>
      </c>
      <c r="L8" s="222">
        <f>VLOOKUP($A8,'Budget &amp; Revenue'!$A:$V,22,FALSE)</f>
        <v>1</v>
      </c>
    </row>
    <row r="9" spans="1:12" ht="45" x14ac:dyDescent="0.25">
      <c r="A9" s="220">
        <v>9</v>
      </c>
      <c r="B9" s="215" t="s">
        <v>42</v>
      </c>
      <c r="C9" s="220">
        <f>VLOOKUP(A9,Estimate!A:L,12,FALSE)</f>
        <v>2</v>
      </c>
      <c r="D9" s="216" t="s">
        <v>626</v>
      </c>
      <c r="E9" s="216">
        <v>18</v>
      </c>
      <c r="F9" s="221">
        <f>IFERROR(VLOOKUP(A9,Estimate!A:Q,17,FALSE),0)</f>
        <v>6800</v>
      </c>
      <c r="G9" s="222">
        <f>VLOOKUP($A9,'Budget &amp; Revenue'!$A:$V,12,FALSE)</f>
        <v>1</v>
      </c>
      <c r="H9" s="222">
        <f>VLOOKUP($A9,'Budget &amp; Revenue'!$A:$V,14,FALSE)</f>
        <v>1</v>
      </c>
      <c r="I9" s="222">
        <f>VLOOKUP($A9,'Budget &amp; Revenue'!$A:$V,16,FALSE)</f>
        <v>1</v>
      </c>
      <c r="J9" s="222">
        <f>VLOOKUP($A9,'Budget &amp; Revenue'!$A:$V,18,FALSE)</f>
        <v>1</v>
      </c>
      <c r="K9" s="222">
        <f>VLOOKUP($A9,'Budget &amp; Revenue'!$A:$V,20,FALSE)</f>
        <v>1</v>
      </c>
      <c r="L9" s="222">
        <f>VLOOKUP($A9,'Budget &amp; Revenue'!$A:$V,22,FALSE)</f>
        <v>1</v>
      </c>
    </row>
    <row r="10" spans="1:12" ht="30" x14ac:dyDescent="0.25">
      <c r="A10" s="220">
        <v>10</v>
      </c>
      <c r="B10" s="215" t="s">
        <v>46</v>
      </c>
      <c r="C10" s="220">
        <f>VLOOKUP(A10,Estimate!A:L,12,FALSE)</f>
        <v>6</v>
      </c>
      <c r="D10" s="216">
        <v>44</v>
      </c>
      <c r="E10" s="216">
        <v>4</v>
      </c>
      <c r="F10" s="221">
        <f>IFERROR(VLOOKUP(A10,Estimate!A:Q,17,FALSE),0)</f>
        <v>8880</v>
      </c>
      <c r="G10" s="222">
        <f>VLOOKUP($A10,'Budget &amp; Revenue'!$A:$V,12,FALSE)</f>
        <v>0</v>
      </c>
      <c r="H10" s="222">
        <f>VLOOKUP($A10,'Budget &amp; Revenue'!$A:$V,14,FALSE)</f>
        <v>0</v>
      </c>
      <c r="I10" s="222">
        <f>VLOOKUP($A10,'Budget &amp; Revenue'!$A:$V,16,FALSE)</f>
        <v>0</v>
      </c>
      <c r="J10" s="222">
        <f>VLOOKUP($A10,'Budget &amp; Revenue'!$A:$V,18,FALSE)</f>
        <v>0</v>
      </c>
      <c r="K10" s="222">
        <f>VLOOKUP($A10,'Budget &amp; Revenue'!$A:$V,20,FALSE)</f>
        <v>0</v>
      </c>
      <c r="L10" s="222">
        <f>VLOOKUP($A10,'Budget &amp; Revenue'!$A:$V,22,FALSE)</f>
        <v>0</v>
      </c>
    </row>
    <row r="11" spans="1:12" ht="60" x14ac:dyDescent="0.25">
      <c r="A11" s="220">
        <v>11</v>
      </c>
      <c r="B11" s="215" t="s">
        <v>1282</v>
      </c>
      <c r="C11" s="220">
        <f>VLOOKUP(A11,Estimate!A:L,12,FALSE)</f>
        <v>0</v>
      </c>
      <c r="D11" s="216">
        <v>5</v>
      </c>
      <c r="E11" s="216">
        <v>12</v>
      </c>
      <c r="F11" s="221">
        <f>IFERROR(VLOOKUP(A11,Estimate!A:Q,17,FALSE),0)</f>
        <v>2700</v>
      </c>
      <c r="G11" s="222">
        <f>VLOOKUP($A11,'Budget &amp; Revenue'!$A:$V,12,FALSE)</f>
        <v>0</v>
      </c>
      <c r="H11" s="222">
        <f>VLOOKUP($A11,'Budget &amp; Revenue'!$A:$V,14,FALSE)</f>
        <v>1</v>
      </c>
      <c r="I11" s="222">
        <f>VLOOKUP($A11,'Budget &amp; Revenue'!$A:$V,16,FALSE)</f>
        <v>1</v>
      </c>
      <c r="J11" s="222">
        <f>VLOOKUP($A11,'Budget &amp; Revenue'!$A:$V,18,FALSE)</f>
        <v>1</v>
      </c>
      <c r="K11" s="222">
        <f>VLOOKUP($A11,'Budget &amp; Revenue'!$A:$V,20,FALSE)</f>
        <v>1</v>
      </c>
      <c r="L11" s="222">
        <f>VLOOKUP($A11,'Budget &amp; Revenue'!$A:$V,22,FALSE)</f>
        <v>1</v>
      </c>
    </row>
    <row r="12" spans="1:12" x14ac:dyDescent="0.25">
      <c r="A12" s="220">
        <v>12</v>
      </c>
      <c r="B12" s="215" t="s">
        <v>55</v>
      </c>
      <c r="C12" s="220">
        <f>VLOOKUP(A12,Estimate!A:L,12,FALSE)</f>
        <v>0</v>
      </c>
      <c r="D12" s="216">
        <v>11</v>
      </c>
      <c r="E12" s="216"/>
      <c r="F12" s="221">
        <f>IFERROR(VLOOKUP(A12,Estimate!A:Q,17,FALSE),0)</f>
        <v>5926.666666666667</v>
      </c>
      <c r="G12" s="222">
        <f>VLOOKUP($A12,'Budget &amp; Revenue'!$A:$V,12,FALSE)</f>
        <v>0</v>
      </c>
      <c r="H12" s="222">
        <f>VLOOKUP($A12,'Budget &amp; Revenue'!$A:$V,14,FALSE)</f>
        <v>0.2857142857142857</v>
      </c>
      <c r="I12" s="222">
        <f>VLOOKUP($A12,'Budget &amp; Revenue'!$A:$V,16,FALSE)</f>
        <v>0.5714285714285714</v>
      </c>
      <c r="J12" s="222">
        <f>VLOOKUP($A12,'Budget &amp; Revenue'!$A:$V,18,FALSE)</f>
        <v>0.8928571428571429</v>
      </c>
      <c r="K12" s="222">
        <f>VLOOKUP($A12,'Budget &amp; Revenue'!$A:$V,20,FALSE)</f>
        <v>0.8928571428571429</v>
      </c>
      <c r="L12" s="222">
        <f>VLOOKUP($A12,'Budget &amp; Revenue'!$A:$V,22,FALSE)</f>
        <v>0.8928571428571429</v>
      </c>
    </row>
    <row r="13" spans="1:12" ht="30" x14ac:dyDescent="0.25">
      <c r="A13" s="220">
        <v>13</v>
      </c>
      <c r="B13" s="215" t="s">
        <v>58</v>
      </c>
      <c r="C13" s="220">
        <f>VLOOKUP(A13,Estimate!A:L,12,FALSE)</f>
        <v>0</v>
      </c>
      <c r="D13" s="216">
        <v>25</v>
      </c>
      <c r="E13" s="216">
        <v>24</v>
      </c>
      <c r="F13" s="221">
        <f>IFERROR(VLOOKUP(A13,Estimate!A:Q,17,FALSE),0)</f>
        <v>5926.666666666667</v>
      </c>
      <c r="G13" s="222">
        <f>VLOOKUP($A13,'Budget &amp; Revenue'!$A:$V,12,FALSE)</f>
        <v>0</v>
      </c>
      <c r="H13" s="222">
        <f>VLOOKUP($A13,'Budget &amp; Revenue'!$A:$V,14,FALSE)</f>
        <v>0.2857142857142857</v>
      </c>
      <c r="I13" s="222">
        <f>VLOOKUP($A13,'Budget &amp; Revenue'!$A:$V,16,FALSE)</f>
        <v>0.5714285714285714</v>
      </c>
      <c r="J13" s="222">
        <f>VLOOKUP($A13,'Budget &amp; Revenue'!$A:$V,18,FALSE)</f>
        <v>0.8928571428571429</v>
      </c>
      <c r="K13" s="222">
        <f>VLOOKUP($A13,'Budget &amp; Revenue'!$A:$V,20,FALSE)</f>
        <v>0.8928571428571429</v>
      </c>
      <c r="L13" s="222">
        <f>VLOOKUP($A13,'Budget &amp; Revenue'!$A:$V,22,FALSE)</f>
        <v>0.8928571428571429</v>
      </c>
    </row>
    <row r="14" spans="1:12" x14ac:dyDescent="0.25">
      <c r="A14" s="220">
        <v>14</v>
      </c>
      <c r="B14" s="215" t="s">
        <v>60</v>
      </c>
      <c r="C14" s="220">
        <f>VLOOKUP(A14,Estimate!A:L,12,FALSE)</f>
        <v>0</v>
      </c>
      <c r="D14" s="216">
        <v>23</v>
      </c>
      <c r="E14" s="216">
        <v>27</v>
      </c>
      <c r="F14" s="221">
        <f>IFERROR(VLOOKUP(A14,Estimate!A:Q,17,FALSE),0)</f>
        <v>5926.666666666667</v>
      </c>
      <c r="G14" s="222">
        <f>VLOOKUP($A14,'Budget &amp; Revenue'!$A:$V,12,FALSE)</f>
        <v>0</v>
      </c>
      <c r="H14" s="222">
        <f>VLOOKUP($A14,'Budget &amp; Revenue'!$A:$V,14,FALSE)</f>
        <v>0.2857142857142857</v>
      </c>
      <c r="I14" s="222">
        <f>VLOOKUP($A14,'Budget &amp; Revenue'!$A:$V,16,FALSE)</f>
        <v>0.5714285714285714</v>
      </c>
      <c r="J14" s="222">
        <f>VLOOKUP($A14,'Budget &amp; Revenue'!$A:$V,18,FALSE)</f>
        <v>0.8928571428571429</v>
      </c>
      <c r="K14" s="222">
        <f>VLOOKUP($A14,'Budget &amp; Revenue'!$A:$V,20,FALSE)</f>
        <v>0.8928571428571429</v>
      </c>
      <c r="L14" s="222">
        <f>VLOOKUP($A14,'Budget &amp; Revenue'!$A:$V,22,FALSE)</f>
        <v>0.8928571428571429</v>
      </c>
    </row>
    <row r="15" spans="1:12" ht="45" x14ac:dyDescent="0.25">
      <c r="A15" s="220">
        <v>15</v>
      </c>
      <c r="B15" s="215" t="s">
        <v>1283</v>
      </c>
      <c r="C15" s="220">
        <f>VLOOKUP(A15,Estimate!A:L,12,FALSE)</f>
        <v>0</v>
      </c>
      <c r="D15" s="216">
        <v>5</v>
      </c>
      <c r="E15" s="216">
        <v>26</v>
      </c>
      <c r="F15" s="221">
        <f>IFERROR(VLOOKUP(A15,Estimate!A:Q,17,FALSE),0)</f>
        <v>2580</v>
      </c>
      <c r="G15" s="222">
        <f>VLOOKUP($A15,'Budget &amp; Revenue'!$A:$V,12,FALSE)</f>
        <v>0</v>
      </c>
      <c r="H15" s="222">
        <f>VLOOKUP($A15,'Budget &amp; Revenue'!$A:$V,14,FALSE)</f>
        <v>1</v>
      </c>
      <c r="I15" s="222">
        <f>VLOOKUP($A15,'Budget &amp; Revenue'!$A:$V,16,FALSE)</f>
        <v>1</v>
      </c>
      <c r="J15" s="222">
        <f>VLOOKUP($A15,'Budget &amp; Revenue'!$A:$V,18,FALSE)</f>
        <v>1</v>
      </c>
      <c r="K15" s="222">
        <f>VLOOKUP($A15,'Budget &amp; Revenue'!$A:$V,20,FALSE)</f>
        <v>1</v>
      </c>
      <c r="L15" s="222">
        <f>VLOOKUP($A15,'Budget &amp; Revenue'!$A:$V,22,FALSE)</f>
        <v>1</v>
      </c>
    </row>
    <row r="16" spans="1:12" ht="45" x14ac:dyDescent="0.25">
      <c r="A16" s="220">
        <v>16</v>
      </c>
      <c r="B16" s="215" t="s">
        <v>65</v>
      </c>
      <c r="C16" s="220">
        <f>VLOOKUP(A16,Estimate!A:L,12,FALSE)</f>
        <v>0</v>
      </c>
      <c r="D16" s="216">
        <v>5</v>
      </c>
      <c r="E16" s="216">
        <v>24</v>
      </c>
      <c r="F16" s="221">
        <f>IFERROR(VLOOKUP(A16,Estimate!A:Q,17,FALSE),0)</f>
        <v>2580</v>
      </c>
      <c r="G16" s="222">
        <f>VLOOKUP($A16,'Budget &amp; Revenue'!$A:$V,12,FALSE)</f>
        <v>0</v>
      </c>
      <c r="H16" s="222">
        <f>VLOOKUP($A16,'Budget &amp; Revenue'!$A:$V,14,FALSE)</f>
        <v>1</v>
      </c>
      <c r="I16" s="222">
        <f>VLOOKUP($A16,'Budget &amp; Revenue'!$A:$V,16,FALSE)</f>
        <v>1</v>
      </c>
      <c r="J16" s="222">
        <f>VLOOKUP($A16,'Budget &amp; Revenue'!$A:$V,18,FALSE)</f>
        <v>1</v>
      </c>
      <c r="K16" s="222">
        <f>VLOOKUP($A16,'Budget &amp; Revenue'!$A:$V,20,FALSE)</f>
        <v>1</v>
      </c>
      <c r="L16" s="222">
        <f>VLOOKUP($A16,'Budget &amp; Revenue'!$A:$V,22,FALSE)</f>
        <v>1</v>
      </c>
    </row>
    <row r="17" spans="1:12" ht="30" x14ac:dyDescent="0.25">
      <c r="A17" s="220">
        <v>17</v>
      </c>
      <c r="B17" s="215" t="s">
        <v>67</v>
      </c>
      <c r="C17" s="220">
        <f>VLOOKUP(A17,Estimate!A:L,12,FALSE)</f>
        <v>0</v>
      </c>
      <c r="D17" s="216"/>
      <c r="E17" s="216"/>
      <c r="F17" s="221">
        <f>IFERROR(VLOOKUP(A17,Estimate!A:Q,17,FALSE),0)</f>
        <v>2328.333333333333</v>
      </c>
      <c r="G17" s="222">
        <f>VLOOKUP($A17,'Budget &amp; Revenue'!$A:$V,12,FALSE)</f>
        <v>0</v>
      </c>
      <c r="H17" s="222">
        <f>VLOOKUP($A17,'Budget &amp; Revenue'!$A:$V,14,FALSE)</f>
        <v>1</v>
      </c>
      <c r="I17" s="222">
        <f>VLOOKUP($A17,'Budget &amp; Revenue'!$A:$V,16,FALSE)</f>
        <v>1</v>
      </c>
      <c r="J17" s="222">
        <f>VLOOKUP($A17,'Budget &amp; Revenue'!$A:$V,18,FALSE)</f>
        <v>1</v>
      </c>
      <c r="K17" s="222">
        <f>VLOOKUP($A17,'Budget &amp; Revenue'!$A:$V,20,FALSE)</f>
        <v>1</v>
      </c>
      <c r="L17" s="222">
        <f>VLOOKUP($A17,'Budget &amp; Revenue'!$A:$V,22,FALSE)</f>
        <v>1</v>
      </c>
    </row>
    <row r="18" spans="1:12" ht="45" x14ac:dyDescent="0.25">
      <c r="A18" s="220">
        <v>18</v>
      </c>
      <c r="B18" s="215" t="s">
        <v>69</v>
      </c>
      <c r="C18" s="220">
        <f>VLOOKUP(A18,Estimate!A:L,12,FALSE)</f>
        <v>3</v>
      </c>
      <c r="D18" s="216" t="s">
        <v>627</v>
      </c>
      <c r="E18" s="216" t="s">
        <v>1284</v>
      </c>
      <c r="F18" s="221">
        <f>IFERROR(VLOOKUP(A18,Estimate!A:Q,17,FALSE),0)</f>
        <v>12317.333333333334</v>
      </c>
      <c r="G18" s="222">
        <f>VLOOKUP($A18,'Budget &amp; Revenue'!$A:$V,12,FALSE)</f>
        <v>0</v>
      </c>
      <c r="H18" s="222">
        <f>VLOOKUP($A18,'Budget &amp; Revenue'!$A:$V,14,FALSE)</f>
        <v>1</v>
      </c>
      <c r="I18" s="222">
        <f>VLOOKUP($A18,'Budget &amp; Revenue'!$A:$V,16,FALSE)</f>
        <v>1</v>
      </c>
      <c r="J18" s="222">
        <f>VLOOKUP($A18,'Budget &amp; Revenue'!$A:$V,18,FALSE)</f>
        <v>1</v>
      </c>
      <c r="K18" s="222">
        <f>VLOOKUP($A18,'Budget &amp; Revenue'!$A:$V,20,FALSE)</f>
        <v>1</v>
      </c>
      <c r="L18" s="222">
        <f>VLOOKUP($A18,'Budget &amp; Revenue'!$A:$V,22,FALSE)</f>
        <v>1</v>
      </c>
    </row>
    <row r="19" spans="1:12" ht="90" x14ac:dyDescent="0.25">
      <c r="A19" s="220">
        <v>19</v>
      </c>
      <c r="B19" s="215" t="s">
        <v>1285</v>
      </c>
      <c r="C19" s="220">
        <f>VLOOKUP(A19,Estimate!A:L,12,FALSE)</f>
        <v>7</v>
      </c>
      <c r="D19" s="217">
        <v>18152</v>
      </c>
      <c r="E19" s="217">
        <v>20151</v>
      </c>
      <c r="F19" s="221">
        <f>IFERROR(VLOOKUP(A19,Estimate!A:Q,17,FALSE),0)</f>
        <v>33689.751999999993</v>
      </c>
      <c r="G19" s="222" t="str">
        <f>VLOOKUP($A19,'Budget &amp; Revenue'!$A:$V,12,FALSE)</f>
        <v xml:space="preserve"> </v>
      </c>
      <c r="H19" s="222" t="str">
        <f>VLOOKUP($A19,'Budget &amp; Revenue'!$A:$V,14,FALSE)</f>
        <v xml:space="preserve"> </v>
      </c>
      <c r="I19" s="222" t="str">
        <f>VLOOKUP($A19,'Budget &amp; Revenue'!$A:$V,16,FALSE)</f>
        <v xml:space="preserve"> </v>
      </c>
      <c r="J19" s="222" t="str">
        <f>VLOOKUP($A19,'Budget &amp; Revenue'!$A:$V,18,FALSE)</f>
        <v xml:space="preserve"> </v>
      </c>
      <c r="K19" s="222" t="str">
        <f>VLOOKUP($A19,'Budget &amp; Revenue'!$A:$V,20,FALSE)</f>
        <v xml:space="preserve"> </v>
      </c>
      <c r="L19" s="222" t="str">
        <f>VLOOKUP($A19,'Budget &amp; Revenue'!$A:$V,22,FALSE)</f>
        <v xml:space="preserve"> </v>
      </c>
    </row>
    <row r="20" spans="1:12" ht="45" x14ac:dyDescent="0.25">
      <c r="A20" s="220">
        <v>20</v>
      </c>
      <c r="B20" s="215" t="s">
        <v>80</v>
      </c>
      <c r="C20" s="220">
        <f>VLOOKUP(A20,Estimate!A:L,12,FALSE)</f>
        <v>1</v>
      </c>
      <c r="D20" s="217">
        <v>19151</v>
      </c>
      <c r="E20" s="216">
        <v>21</v>
      </c>
      <c r="F20" s="221">
        <f>IFERROR(VLOOKUP(A20,Estimate!A:Q,17,FALSE),0)</f>
        <v>2514.8000000000002</v>
      </c>
      <c r="G20" s="222" t="str">
        <f>VLOOKUP($A20,'Budget &amp; Revenue'!$A:$V,12,FALSE)</f>
        <v xml:space="preserve"> </v>
      </c>
      <c r="H20" s="222" t="str">
        <f>VLOOKUP($A20,'Budget &amp; Revenue'!$A:$V,14,FALSE)</f>
        <v xml:space="preserve"> </v>
      </c>
      <c r="I20" s="222" t="str">
        <f>VLOOKUP($A20,'Budget &amp; Revenue'!$A:$V,16,FALSE)</f>
        <v xml:space="preserve"> </v>
      </c>
      <c r="J20" s="222" t="str">
        <f>VLOOKUP($A20,'Budget &amp; Revenue'!$A:$V,18,FALSE)</f>
        <v xml:space="preserve"> </v>
      </c>
      <c r="K20" s="222" t="str">
        <f>VLOOKUP($A20,'Budget &amp; Revenue'!$A:$V,20,FALSE)</f>
        <v xml:space="preserve"> </v>
      </c>
      <c r="L20" s="222" t="str">
        <f>VLOOKUP($A20,'Budget &amp; Revenue'!$A:$V,22,FALSE)</f>
        <v xml:space="preserve"> </v>
      </c>
    </row>
    <row r="21" spans="1:12" ht="75" x14ac:dyDescent="0.25">
      <c r="A21" s="220">
        <v>21</v>
      </c>
      <c r="B21" s="215" t="s">
        <v>84</v>
      </c>
      <c r="C21" s="220">
        <f>VLOOKUP(A21,Estimate!A:L,12,FALSE)</f>
        <v>2</v>
      </c>
      <c r="D21" s="216">
        <v>20</v>
      </c>
      <c r="E21" s="216">
        <v>22</v>
      </c>
      <c r="F21" s="221">
        <f>IFERROR(VLOOKUP(A21,Estimate!A:Q,17,FALSE),0)</f>
        <v>9338.1479999999992</v>
      </c>
      <c r="G21" s="222" t="str">
        <f>VLOOKUP($A21,'Budget &amp; Revenue'!$A:$V,12,FALSE)</f>
        <v xml:space="preserve"> </v>
      </c>
      <c r="H21" s="222" t="str">
        <f>VLOOKUP($A21,'Budget &amp; Revenue'!$A:$V,14,FALSE)</f>
        <v xml:space="preserve"> </v>
      </c>
      <c r="I21" s="222" t="str">
        <f>VLOOKUP($A21,'Budget &amp; Revenue'!$A:$V,16,FALSE)</f>
        <v xml:space="preserve"> </v>
      </c>
      <c r="J21" s="222" t="str">
        <f>VLOOKUP($A21,'Budget &amp; Revenue'!$A:$V,18,FALSE)</f>
        <v xml:space="preserve"> </v>
      </c>
      <c r="K21" s="222" t="str">
        <f>VLOOKUP($A21,'Budget &amp; Revenue'!$A:$V,20,FALSE)</f>
        <v xml:space="preserve"> </v>
      </c>
      <c r="L21" s="222" t="str">
        <f>VLOOKUP($A21,'Budget &amp; Revenue'!$A:$V,22,FALSE)</f>
        <v xml:space="preserve"> </v>
      </c>
    </row>
    <row r="22" spans="1:12" ht="75" x14ac:dyDescent="0.25">
      <c r="A22" s="220">
        <v>22</v>
      </c>
      <c r="B22" s="215" t="s">
        <v>557</v>
      </c>
      <c r="C22" s="220">
        <f>VLOOKUP(A22,Estimate!A:L,12,FALSE)</f>
        <v>7</v>
      </c>
      <c r="D22" s="216">
        <v>21</v>
      </c>
      <c r="E22" s="216">
        <v>45</v>
      </c>
      <c r="F22" s="221">
        <f>IFERROR(VLOOKUP(A22,Estimate!A:Q,17,FALSE),0)</f>
        <v>32988.338499999998</v>
      </c>
      <c r="G22" s="222" t="str">
        <f>VLOOKUP($A22,'Budget &amp; Revenue'!$A:$V,12,FALSE)</f>
        <v xml:space="preserve"> </v>
      </c>
      <c r="H22" s="222" t="str">
        <f>VLOOKUP($A22,'Budget &amp; Revenue'!$A:$V,14,FALSE)</f>
        <v xml:space="preserve"> </v>
      </c>
      <c r="I22" s="222" t="str">
        <f>VLOOKUP($A22,'Budget &amp; Revenue'!$A:$V,16,FALSE)</f>
        <v xml:space="preserve"> </v>
      </c>
      <c r="J22" s="222" t="str">
        <f>VLOOKUP($A22,'Budget &amp; Revenue'!$A:$V,18,FALSE)</f>
        <v xml:space="preserve"> </v>
      </c>
      <c r="K22" s="222" t="str">
        <f>VLOOKUP($A22,'Budget &amp; Revenue'!$A:$V,20,FALSE)</f>
        <v xml:space="preserve"> </v>
      </c>
      <c r="L22" s="222" t="str">
        <f>VLOOKUP($A22,'Budget &amp; Revenue'!$A:$V,22,FALSE)</f>
        <v xml:space="preserve"> </v>
      </c>
    </row>
    <row r="23" spans="1:12" ht="60" x14ac:dyDescent="0.25">
      <c r="A23" s="220">
        <v>23</v>
      </c>
      <c r="B23" s="215" t="s">
        <v>558</v>
      </c>
      <c r="C23" s="220">
        <f>VLOOKUP(A23,Estimate!A:L,12,FALSE)</f>
        <v>3</v>
      </c>
      <c r="D23" s="217">
        <v>24153</v>
      </c>
      <c r="E23" s="216">
        <v>14</v>
      </c>
      <c r="F23" s="221">
        <f>IFERROR(VLOOKUP(A23,Estimate!A:Q,17,FALSE),0)</f>
        <v>15618.01515151515</v>
      </c>
      <c r="G23" s="222">
        <f>VLOOKUP($A23,'Budget &amp; Revenue'!$A:$V,12,FALSE)</f>
        <v>0</v>
      </c>
      <c r="H23" s="222">
        <f>VLOOKUP($A23,'Budget &amp; Revenue'!$A:$V,14,FALSE)</f>
        <v>0</v>
      </c>
      <c r="I23" s="222">
        <f>VLOOKUP($A23,'Budget &amp; Revenue'!$A:$V,16,FALSE)</f>
        <v>1</v>
      </c>
      <c r="J23" s="222">
        <f>VLOOKUP($A23,'Budget &amp; Revenue'!$A:$V,18,FALSE)</f>
        <v>1</v>
      </c>
      <c r="K23" s="222">
        <f>VLOOKUP($A23,'Budget &amp; Revenue'!$A:$V,20,FALSE)</f>
        <v>1</v>
      </c>
      <c r="L23" s="222">
        <f>VLOOKUP($A23,'Budget &amp; Revenue'!$A:$V,22,FALSE)</f>
        <v>1</v>
      </c>
    </row>
    <row r="24" spans="1:12" ht="75" x14ac:dyDescent="0.25">
      <c r="A24" s="220">
        <v>24</v>
      </c>
      <c r="B24" s="215" t="s">
        <v>559</v>
      </c>
      <c r="C24" s="220">
        <f>VLOOKUP(A24,Estimate!A:L,12,FALSE)</f>
        <v>5</v>
      </c>
      <c r="D24" s="216" t="s">
        <v>628</v>
      </c>
      <c r="E24" s="217">
        <v>23153</v>
      </c>
      <c r="F24" s="221">
        <f>IFERROR(VLOOKUP(A24,Estimate!A:Q,17,FALSE),0)</f>
        <v>131510.40742500001</v>
      </c>
      <c r="G24" s="222" t="str">
        <f>VLOOKUP($A24,'Budget &amp; Revenue'!$A:$V,12,FALSE)</f>
        <v xml:space="preserve"> </v>
      </c>
      <c r="H24" s="222" t="str">
        <f>VLOOKUP($A24,'Budget &amp; Revenue'!$A:$V,14,FALSE)</f>
        <v xml:space="preserve"> </v>
      </c>
      <c r="I24" s="222" t="str">
        <f>VLOOKUP($A24,'Budget &amp; Revenue'!$A:$V,16,FALSE)</f>
        <v xml:space="preserve"> </v>
      </c>
      <c r="J24" s="222" t="str">
        <f>VLOOKUP($A24,'Budget &amp; Revenue'!$A:$V,18,FALSE)</f>
        <v xml:space="preserve"> </v>
      </c>
      <c r="K24" s="222" t="str">
        <f>VLOOKUP($A24,'Budget &amp; Revenue'!$A:$V,20,FALSE)</f>
        <v xml:space="preserve"> </v>
      </c>
      <c r="L24" s="222" t="str">
        <f>VLOOKUP($A24,'Budget &amp; Revenue'!$A:$V,22,FALSE)</f>
        <v xml:space="preserve"> </v>
      </c>
    </row>
    <row r="25" spans="1:12" ht="75" x14ac:dyDescent="0.25">
      <c r="A25" s="220">
        <v>25</v>
      </c>
      <c r="B25" s="215" t="s">
        <v>560</v>
      </c>
      <c r="C25" s="220">
        <f>VLOOKUP(A25,Estimate!A:L,12,FALSE)</f>
        <v>8</v>
      </c>
      <c r="D25" s="216">
        <v>26</v>
      </c>
      <c r="E25" s="216" t="s">
        <v>629</v>
      </c>
      <c r="F25" s="221">
        <f>IFERROR(VLOOKUP(A25,Estimate!A:Q,17,FALSE),0)</f>
        <v>211113.97960000002</v>
      </c>
      <c r="G25" s="222" t="str">
        <f>VLOOKUP($A25,'Budget &amp; Revenue'!$A:$V,12,FALSE)</f>
        <v xml:space="preserve"> </v>
      </c>
      <c r="H25" s="222" t="str">
        <f>VLOOKUP($A25,'Budget &amp; Revenue'!$A:$V,14,FALSE)</f>
        <v xml:space="preserve"> </v>
      </c>
      <c r="I25" s="222" t="str">
        <f>VLOOKUP($A25,'Budget &amp; Revenue'!$A:$V,16,FALSE)</f>
        <v xml:space="preserve"> </v>
      </c>
      <c r="J25" s="222" t="str">
        <f>VLOOKUP($A25,'Budget &amp; Revenue'!$A:$V,18,FALSE)</f>
        <v xml:space="preserve"> </v>
      </c>
      <c r="K25" s="222" t="str">
        <f>VLOOKUP($A25,'Budget &amp; Revenue'!$A:$V,20,FALSE)</f>
        <v xml:space="preserve"> </v>
      </c>
      <c r="L25" s="222" t="str">
        <f>VLOOKUP($A25,'Budget &amp; Revenue'!$A:$V,22,FALSE)</f>
        <v xml:space="preserve"> </v>
      </c>
    </row>
    <row r="26" spans="1:12" ht="90" x14ac:dyDescent="0.25">
      <c r="A26" s="220">
        <v>26</v>
      </c>
      <c r="B26" s="215" t="s">
        <v>1286</v>
      </c>
      <c r="C26" s="220">
        <f>VLOOKUP(A26,Estimate!A:L,12,FALSE)</f>
        <v>3</v>
      </c>
      <c r="D26" s="216" t="s">
        <v>630</v>
      </c>
      <c r="E26" s="216">
        <v>25</v>
      </c>
      <c r="F26" s="221">
        <f>IFERROR(VLOOKUP(A26,Estimate!A:Q,17,FALSE),0)</f>
        <v>48873.213787500012</v>
      </c>
      <c r="G26" s="222" t="str">
        <f>VLOOKUP($A26,'Budget &amp; Revenue'!$A:$V,12,FALSE)</f>
        <v xml:space="preserve"> </v>
      </c>
      <c r="H26" s="222" t="str">
        <f>VLOOKUP($A26,'Budget &amp; Revenue'!$A:$V,14,FALSE)</f>
        <v xml:space="preserve"> </v>
      </c>
      <c r="I26" s="222" t="str">
        <f>VLOOKUP($A26,'Budget &amp; Revenue'!$A:$V,16,FALSE)</f>
        <v xml:space="preserve"> </v>
      </c>
      <c r="J26" s="222" t="str">
        <f>VLOOKUP($A26,'Budget &amp; Revenue'!$A:$V,18,FALSE)</f>
        <v xml:space="preserve"> </v>
      </c>
      <c r="K26" s="222" t="str">
        <f>VLOOKUP($A26,'Budget &amp; Revenue'!$A:$V,20,FALSE)</f>
        <v xml:space="preserve"> </v>
      </c>
      <c r="L26" s="222" t="str">
        <f>VLOOKUP($A26,'Budget &amp; Revenue'!$A:$V,22,FALSE)</f>
        <v xml:space="preserve"> </v>
      </c>
    </row>
    <row r="27" spans="1:12" ht="60" x14ac:dyDescent="0.25">
      <c r="A27" s="220">
        <v>27</v>
      </c>
      <c r="B27" s="215" t="s">
        <v>1287</v>
      </c>
      <c r="C27" s="220">
        <f>VLOOKUP(A27,Estimate!A:L,12,FALSE)</f>
        <v>1</v>
      </c>
      <c r="D27" s="216">
        <v>14</v>
      </c>
      <c r="E27" s="216">
        <v>28</v>
      </c>
      <c r="F27" s="221">
        <f>IFERROR(VLOOKUP(A27,Estimate!A:Q,17,FALSE),0)</f>
        <v>754.6</v>
      </c>
      <c r="G27" s="222">
        <f>VLOOKUP($A27,'Budget &amp; Revenue'!$A:$V,12,FALSE)</f>
        <v>0</v>
      </c>
      <c r="H27" s="222">
        <f>VLOOKUP($A27,'Budget &amp; Revenue'!$A:$V,14,FALSE)</f>
        <v>0</v>
      </c>
      <c r="I27" s="222">
        <f>VLOOKUP($A27,'Budget &amp; Revenue'!$A:$V,16,FALSE)</f>
        <v>1</v>
      </c>
      <c r="J27" s="222">
        <f>VLOOKUP($A27,'Budget &amp; Revenue'!$A:$V,18,FALSE)</f>
        <v>1</v>
      </c>
      <c r="K27" s="222">
        <f>VLOOKUP($A27,'Budget &amp; Revenue'!$A:$V,20,FALSE)</f>
        <v>1</v>
      </c>
      <c r="L27" s="222">
        <f>VLOOKUP($A27,'Budget &amp; Revenue'!$A:$V,22,FALSE)</f>
        <v>1</v>
      </c>
    </row>
    <row r="28" spans="1:12" ht="75" x14ac:dyDescent="0.25">
      <c r="A28" s="220">
        <v>28</v>
      </c>
      <c r="B28" s="215" t="s">
        <v>1288</v>
      </c>
      <c r="C28" s="220">
        <f>VLOOKUP(A28,Estimate!A:L,12,FALSE)</f>
        <v>1</v>
      </c>
      <c r="D28" s="216">
        <v>27</v>
      </c>
      <c r="E28" s="216">
        <v>29</v>
      </c>
      <c r="F28" s="221">
        <f>IFERROR(VLOOKUP(A28,Estimate!A:Q,17,FALSE),0)</f>
        <v>1999.6900000000003</v>
      </c>
      <c r="G28" s="222">
        <f>VLOOKUP($A28,'Budget &amp; Revenue'!$A:$V,12,FALSE)</f>
        <v>0</v>
      </c>
      <c r="H28" s="222">
        <f>VLOOKUP($A28,'Budget &amp; Revenue'!$A:$V,14,FALSE)</f>
        <v>0</v>
      </c>
      <c r="I28" s="222">
        <f>VLOOKUP($A28,'Budget &amp; Revenue'!$A:$V,16,FALSE)</f>
        <v>1</v>
      </c>
      <c r="J28" s="222">
        <f>VLOOKUP($A28,'Budget &amp; Revenue'!$A:$V,18,FALSE)</f>
        <v>1</v>
      </c>
      <c r="K28" s="222">
        <f>VLOOKUP($A28,'Budget &amp; Revenue'!$A:$V,20,FALSE)</f>
        <v>1</v>
      </c>
      <c r="L28" s="222">
        <f>VLOOKUP($A28,'Budget &amp; Revenue'!$A:$V,22,FALSE)</f>
        <v>1</v>
      </c>
    </row>
    <row r="29" spans="1:12" ht="30" x14ac:dyDescent="0.25">
      <c r="A29" s="220">
        <v>29</v>
      </c>
      <c r="B29" s="215" t="s">
        <v>112</v>
      </c>
      <c r="C29" s="220">
        <f>VLOOKUP(A29,Estimate!A:L,12,FALSE)</f>
        <v>1</v>
      </c>
      <c r="D29" s="216">
        <v>28</v>
      </c>
      <c r="E29" s="216">
        <v>30</v>
      </c>
      <c r="F29" s="221">
        <f>IFERROR(VLOOKUP(A29,Estimate!A:Q,17,FALSE),0)</f>
        <v>199.43000000000004</v>
      </c>
      <c r="G29" s="222">
        <f>VLOOKUP($A29,'Budget &amp; Revenue'!$A:$V,12,FALSE)</f>
        <v>0</v>
      </c>
      <c r="H29" s="222">
        <f>VLOOKUP($A29,'Budget &amp; Revenue'!$A:$V,14,FALSE)</f>
        <v>0</v>
      </c>
      <c r="I29" s="222">
        <f>VLOOKUP($A29,'Budget &amp; Revenue'!$A:$V,16,FALSE)</f>
        <v>1</v>
      </c>
      <c r="J29" s="222">
        <f>VLOOKUP($A29,'Budget &amp; Revenue'!$A:$V,18,FALSE)</f>
        <v>1</v>
      </c>
      <c r="K29" s="222">
        <f>VLOOKUP($A29,'Budget &amp; Revenue'!$A:$V,20,FALSE)</f>
        <v>1</v>
      </c>
      <c r="L29" s="222">
        <f>VLOOKUP($A29,'Budget &amp; Revenue'!$A:$V,22,FALSE)</f>
        <v>1</v>
      </c>
    </row>
    <row r="30" spans="1:12" ht="75" x14ac:dyDescent="0.25">
      <c r="A30" s="220">
        <v>30</v>
      </c>
      <c r="B30" s="215" t="s">
        <v>564</v>
      </c>
      <c r="C30" s="220">
        <f>VLOOKUP(A30,Estimate!A:L,12,FALSE)</f>
        <v>1</v>
      </c>
      <c r="D30" s="216">
        <v>29</v>
      </c>
      <c r="E30" s="216">
        <v>31</v>
      </c>
      <c r="F30" s="221">
        <f>IFERROR(VLOOKUP(A30,Estimate!A:Q,17,FALSE),0)</f>
        <v>5198.4240000000009</v>
      </c>
      <c r="G30" s="222">
        <f>VLOOKUP($A30,'Budget &amp; Revenue'!$A:$V,12,FALSE)</f>
        <v>0</v>
      </c>
      <c r="H30" s="222">
        <f>VLOOKUP($A30,'Budget &amp; Revenue'!$A:$V,14,FALSE)</f>
        <v>0</v>
      </c>
      <c r="I30" s="222">
        <f>VLOOKUP($A30,'Budget &amp; Revenue'!$A:$V,16,FALSE)</f>
        <v>1</v>
      </c>
      <c r="J30" s="222">
        <f>VLOOKUP($A30,'Budget &amp; Revenue'!$A:$V,18,FALSE)</f>
        <v>1</v>
      </c>
      <c r="K30" s="222">
        <f>VLOOKUP($A30,'Budget &amp; Revenue'!$A:$V,20,FALSE)</f>
        <v>1</v>
      </c>
      <c r="L30" s="222">
        <f>VLOOKUP($A30,'Budget &amp; Revenue'!$A:$V,22,FALSE)</f>
        <v>1</v>
      </c>
    </row>
    <row r="31" spans="1:12" ht="75" x14ac:dyDescent="0.25">
      <c r="A31" s="220">
        <v>31</v>
      </c>
      <c r="B31" s="215" t="s">
        <v>565</v>
      </c>
      <c r="C31" s="220">
        <f>VLOOKUP(A31,Estimate!A:L,12,FALSE)</f>
        <v>1</v>
      </c>
      <c r="D31" s="216">
        <v>30</v>
      </c>
      <c r="E31" s="216">
        <v>32</v>
      </c>
      <c r="F31" s="221">
        <f>IFERROR(VLOOKUP(A31,Estimate!A:Q,17,FALSE),0)</f>
        <v>22720.698</v>
      </c>
      <c r="G31" s="222">
        <f>VLOOKUP($A31,'Budget &amp; Revenue'!$A:$V,12,FALSE)</f>
        <v>0</v>
      </c>
      <c r="H31" s="222">
        <f>VLOOKUP($A31,'Budget &amp; Revenue'!$A:$V,14,FALSE)</f>
        <v>0</v>
      </c>
      <c r="I31" s="222">
        <f>VLOOKUP($A31,'Budget &amp; Revenue'!$A:$V,16,FALSE)</f>
        <v>1</v>
      </c>
      <c r="J31" s="222">
        <f>VLOOKUP($A31,'Budget &amp; Revenue'!$A:$V,18,FALSE)</f>
        <v>1</v>
      </c>
      <c r="K31" s="222">
        <f>VLOOKUP($A31,'Budget &amp; Revenue'!$A:$V,20,FALSE)</f>
        <v>1</v>
      </c>
      <c r="L31" s="222">
        <f>VLOOKUP($A31,'Budget &amp; Revenue'!$A:$V,22,FALSE)</f>
        <v>1</v>
      </c>
    </row>
    <row r="32" spans="1:12" ht="75" x14ac:dyDescent="0.25">
      <c r="A32" s="220">
        <v>32</v>
      </c>
      <c r="B32" s="215" t="s">
        <v>1289</v>
      </c>
      <c r="C32" s="220">
        <f>VLOOKUP(A32,Estimate!A:L,12,FALSE)</f>
        <v>1</v>
      </c>
      <c r="D32" s="216">
        <v>31</v>
      </c>
      <c r="E32" s="216">
        <v>33</v>
      </c>
      <c r="F32" s="221">
        <f>IFERROR(VLOOKUP(A32,Estimate!A:Q,17,FALSE),0)</f>
        <v>13676.124</v>
      </c>
      <c r="G32" s="222">
        <f>VLOOKUP($A32,'Budget &amp; Revenue'!$A:$V,12,FALSE)</f>
        <v>0</v>
      </c>
      <c r="H32" s="222">
        <f>VLOOKUP($A32,'Budget &amp; Revenue'!$A:$V,14,FALSE)</f>
        <v>0</v>
      </c>
      <c r="I32" s="222">
        <f>VLOOKUP($A32,'Budget &amp; Revenue'!$A:$V,16,FALSE)</f>
        <v>1</v>
      </c>
      <c r="J32" s="222">
        <f>VLOOKUP($A32,'Budget &amp; Revenue'!$A:$V,18,FALSE)</f>
        <v>1</v>
      </c>
      <c r="K32" s="222">
        <f>VLOOKUP($A32,'Budget &amp; Revenue'!$A:$V,20,FALSE)</f>
        <v>1</v>
      </c>
      <c r="L32" s="222">
        <f>VLOOKUP($A32,'Budget &amp; Revenue'!$A:$V,22,FALSE)</f>
        <v>1</v>
      </c>
    </row>
    <row r="33" spans="1:12" ht="75" x14ac:dyDescent="0.25">
      <c r="A33" s="220">
        <v>33</v>
      </c>
      <c r="B33" s="215" t="s">
        <v>1290</v>
      </c>
      <c r="C33" s="220">
        <f>VLOOKUP(A33,Estimate!A:L,12,FALSE)</f>
        <v>2</v>
      </c>
      <c r="D33" s="216">
        <v>32</v>
      </c>
      <c r="E33" s="216" t="s">
        <v>631</v>
      </c>
      <c r="F33" s="221">
        <f>IFERROR(VLOOKUP(A33,Estimate!A:Q,17,FALSE),0)</f>
        <v>59791.347000000002</v>
      </c>
      <c r="G33" s="222">
        <f>VLOOKUP($A33,'Budget &amp; Revenue'!$A:$V,12,FALSE)</f>
        <v>0</v>
      </c>
      <c r="H33" s="222">
        <f>VLOOKUP($A33,'Budget &amp; Revenue'!$A:$V,14,FALSE)</f>
        <v>0</v>
      </c>
      <c r="I33" s="222">
        <f>VLOOKUP($A33,'Budget &amp; Revenue'!$A:$V,16,FALSE)</f>
        <v>0.49837284983728497</v>
      </c>
      <c r="J33" s="222">
        <f>VLOOKUP($A33,'Budget &amp; Revenue'!$A:$V,18,FALSE)</f>
        <v>0.49837284983728497</v>
      </c>
      <c r="K33" s="222">
        <f>VLOOKUP($A33,'Budget &amp; Revenue'!$A:$V,20,FALSE)</f>
        <v>0.86185827190011288</v>
      </c>
      <c r="L33" s="222">
        <f>VLOOKUP($A33,'Budget &amp; Revenue'!$A:$V,22,FALSE)</f>
        <v>0.86185827190011288</v>
      </c>
    </row>
    <row r="34" spans="1:12" ht="75" x14ac:dyDescent="0.25">
      <c r="A34" s="220">
        <v>34</v>
      </c>
      <c r="B34" s="215" t="s">
        <v>566</v>
      </c>
      <c r="C34" s="220">
        <f>VLOOKUP(A34,Estimate!A:L,12,FALSE)</f>
        <v>1</v>
      </c>
      <c r="D34" s="216" t="s">
        <v>632</v>
      </c>
      <c r="E34" s="216" t="s">
        <v>633</v>
      </c>
      <c r="F34" s="221">
        <f>IFERROR(VLOOKUP(A34,Estimate!A:Q,17,FALSE),0)</f>
        <v>34546.837500000001</v>
      </c>
      <c r="G34" s="222">
        <f>VLOOKUP($A34,'Budget &amp; Revenue'!$A:$V,12,FALSE)</f>
        <v>0</v>
      </c>
      <c r="H34" s="222">
        <f>VLOOKUP($A34,'Budget &amp; Revenue'!$A:$V,14,FALSE)</f>
        <v>0</v>
      </c>
      <c r="I34" s="222">
        <f>VLOOKUP($A34,'Budget &amp; Revenue'!$A:$V,16,FALSE)</f>
        <v>0</v>
      </c>
      <c r="J34" s="222">
        <f>VLOOKUP($A34,'Budget &amp; Revenue'!$A:$V,18,FALSE)</f>
        <v>0</v>
      </c>
      <c r="K34" s="222">
        <f>VLOOKUP($A34,'Budget &amp; Revenue'!$A:$V,20,FALSE)</f>
        <v>1</v>
      </c>
      <c r="L34" s="222">
        <f>VLOOKUP($A34,'Budget &amp; Revenue'!$A:$V,22,FALSE)</f>
        <v>1</v>
      </c>
    </row>
    <row r="35" spans="1:12" ht="60" x14ac:dyDescent="0.25">
      <c r="A35" s="220">
        <v>35</v>
      </c>
      <c r="B35" s="215" t="s">
        <v>567</v>
      </c>
      <c r="C35" s="220">
        <f>VLOOKUP(A35,Estimate!A:L,12,FALSE)</f>
        <v>1</v>
      </c>
      <c r="D35" s="216" t="s">
        <v>634</v>
      </c>
      <c r="E35" s="216" t="s">
        <v>635</v>
      </c>
      <c r="F35" s="221">
        <f>IFERROR(VLOOKUP(A35,Estimate!A:Q,17,FALSE),0)</f>
        <v>723.8</v>
      </c>
      <c r="G35" s="222">
        <f>VLOOKUP($A35,'Budget &amp; Revenue'!$A:$V,12,FALSE)</f>
        <v>0</v>
      </c>
      <c r="H35" s="222">
        <f>VLOOKUP($A35,'Budget &amp; Revenue'!$A:$V,14,FALSE)</f>
        <v>0</v>
      </c>
      <c r="I35" s="222">
        <f>VLOOKUP($A35,'Budget &amp; Revenue'!$A:$V,16,FALSE)</f>
        <v>0</v>
      </c>
      <c r="J35" s="222">
        <f>VLOOKUP($A35,'Budget &amp; Revenue'!$A:$V,18,FALSE)</f>
        <v>1</v>
      </c>
      <c r="K35" s="222">
        <f>VLOOKUP($A35,'Budget &amp; Revenue'!$A:$V,20,FALSE)</f>
        <v>1</v>
      </c>
      <c r="L35" s="222">
        <f>VLOOKUP($A35,'Budget &amp; Revenue'!$A:$V,22,FALSE)</f>
        <v>1</v>
      </c>
    </row>
    <row r="36" spans="1:12" ht="60" x14ac:dyDescent="0.25">
      <c r="A36" s="220">
        <v>36</v>
      </c>
      <c r="B36" s="215" t="s">
        <v>568</v>
      </c>
      <c r="C36" s="220">
        <f>VLOOKUP(A36,Estimate!A:L,12,FALSE)</f>
        <v>1</v>
      </c>
      <c r="D36" s="216" t="s">
        <v>636</v>
      </c>
      <c r="E36" s="216" t="s">
        <v>637</v>
      </c>
      <c r="F36" s="221">
        <f>IFERROR(VLOOKUP(A36,Estimate!A:Q,17,FALSE),0)</f>
        <v>1014.8</v>
      </c>
      <c r="G36" s="222">
        <f>VLOOKUP($A36,'Budget &amp; Revenue'!$A:$V,12,FALSE)</f>
        <v>0</v>
      </c>
      <c r="H36" s="222">
        <f>VLOOKUP($A36,'Budget &amp; Revenue'!$A:$V,14,FALSE)</f>
        <v>0</v>
      </c>
      <c r="I36" s="222">
        <f>VLOOKUP($A36,'Budget &amp; Revenue'!$A:$V,16,FALSE)</f>
        <v>0</v>
      </c>
      <c r="J36" s="222">
        <f>VLOOKUP($A36,'Budget &amp; Revenue'!$A:$V,18,FALSE)</f>
        <v>0</v>
      </c>
      <c r="K36" s="222">
        <f>VLOOKUP($A36,'Budget &amp; Revenue'!$A:$V,20,FALSE)</f>
        <v>0</v>
      </c>
      <c r="L36" s="222">
        <f>VLOOKUP($A36,'Budget &amp; Revenue'!$A:$V,22,FALSE)</f>
        <v>0</v>
      </c>
    </row>
    <row r="37" spans="1:12" ht="60" x14ac:dyDescent="0.25">
      <c r="A37" s="220">
        <v>37</v>
      </c>
      <c r="B37" s="215" t="s">
        <v>569</v>
      </c>
      <c r="C37" s="220">
        <f>VLOOKUP(A37,Estimate!A:L,12,FALSE)</f>
        <v>1</v>
      </c>
      <c r="D37" s="216" t="s">
        <v>635</v>
      </c>
      <c r="E37" s="216">
        <v>34</v>
      </c>
      <c r="F37" s="221">
        <f>IFERROR(VLOOKUP(A37,Estimate!A:Q,17,FALSE),0)</f>
        <v>1014.8</v>
      </c>
      <c r="G37" s="222">
        <f>VLOOKUP($A37,'Budget &amp; Revenue'!$A:$V,12,FALSE)</f>
        <v>0</v>
      </c>
      <c r="H37" s="222">
        <f>VLOOKUP($A37,'Budget &amp; Revenue'!$A:$V,14,FALSE)</f>
        <v>0</v>
      </c>
      <c r="I37" s="222">
        <f>VLOOKUP($A37,'Budget &amp; Revenue'!$A:$V,16,FALSE)</f>
        <v>0</v>
      </c>
      <c r="J37" s="222">
        <f>VLOOKUP($A37,'Budget &amp; Revenue'!$A:$V,18,FALSE)</f>
        <v>0</v>
      </c>
      <c r="K37" s="222">
        <f>VLOOKUP($A37,'Budget &amp; Revenue'!$A:$V,20,FALSE)</f>
        <v>0</v>
      </c>
      <c r="L37" s="222">
        <f>VLOOKUP($A37,'Budget &amp; Revenue'!$A:$V,22,FALSE)</f>
        <v>0</v>
      </c>
    </row>
    <row r="38" spans="1:12" ht="45" x14ac:dyDescent="0.25">
      <c r="A38" s="220">
        <v>38</v>
      </c>
      <c r="B38" s="215" t="s">
        <v>570</v>
      </c>
      <c r="C38" s="220">
        <f>VLOOKUP(A38,Estimate!A:L,12,FALSE)</f>
        <v>8</v>
      </c>
      <c r="D38" s="216">
        <v>34</v>
      </c>
      <c r="E38" s="216">
        <v>39</v>
      </c>
      <c r="F38" s="221">
        <f>IFERROR(VLOOKUP(A38,Estimate!A:Q,17,FALSE),0)</f>
        <v>21352.567500000001</v>
      </c>
      <c r="G38" s="222">
        <f>VLOOKUP($A38,'Budget &amp; Revenue'!$A:$V,12,FALSE)</f>
        <v>0</v>
      </c>
      <c r="H38" s="222">
        <f>VLOOKUP($A38,'Budget &amp; Revenue'!$A:$V,14,FALSE)</f>
        <v>0</v>
      </c>
      <c r="I38" s="222">
        <f>VLOOKUP($A38,'Budget &amp; Revenue'!$A:$V,16,FALSE)</f>
        <v>0</v>
      </c>
      <c r="J38" s="222">
        <f>VLOOKUP($A38,'Budget &amp; Revenue'!$A:$V,18,FALSE)</f>
        <v>0</v>
      </c>
      <c r="K38" s="222">
        <f>VLOOKUP($A38,'Budget &amp; Revenue'!$A:$V,20,FALSE)</f>
        <v>1</v>
      </c>
      <c r="L38" s="222">
        <f>VLOOKUP($A38,'Budget &amp; Revenue'!$A:$V,22,FALSE)</f>
        <v>1</v>
      </c>
    </row>
    <row r="39" spans="1:12" ht="45" x14ac:dyDescent="0.25">
      <c r="A39" s="220">
        <v>39</v>
      </c>
      <c r="B39" s="215" t="s">
        <v>571</v>
      </c>
      <c r="C39" s="220">
        <f>VLOOKUP(A39,Estimate!A:L,12,FALSE)</f>
        <v>4</v>
      </c>
      <c r="D39" s="216">
        <v>38</v>
      </c>
      <c r="E39" s="216">
        <v>40</v>
      </c>
      <c r="F39" s="221">
        <f>IFERROR(VLOOKUP(A39,Estimate!A:Q,17,FALSE),0)</f>
        <v>27731.050000000003</v>
      </c>
      <c r="G39" s="222">
        <f>VLOOKUP($A39,'Budget &amp; Revenue'!$A:$V,12,FALSE)</f>
        <v>0</v>
      </c>
      <c r="H39" s="222">
        <f>VLOOKUP($A39,'Budget &amp; Revenue'!$A:$V,14,FALSE)</f>
        <v>0</v>
      </c>
      <c r="I39" s="222">
        <f>VLOOKUP($A39,'Budget &amp; Revenue'!$A:$V,16,FALSE)</f>
        <v>0</v>
      </c>
      <c r="J39" s="222">
        <f>VLOOKUP($A39,'Budget &amp; Revenue'!$A:$V,18,FALSE)</f>
        <v>0</v>
      </c>
      <c r="K39" s="222">
        <f>VLOOKUP($A39,'Budget &amp; Revenue'!$A:$V,20,FALSE)</f>
        <v>0</v>
      </c>
      <c r="L39" s="222">
        <f>VLOOKUP($A39,'Budget &amp; Revenue'!$A:$V,22,FALSE)</f>
        <v>0</v>
      </c>
    </row>
    <row r="40" spans="1:12" ht="30" x14ac:dyDescent="0.25">
      <c r="A40" s="220">
        <v>40</v>
      </c>
      <c r="B40" s="215" t="s">
        <v>572</v>
      </c>
      <c r="C40" s="220">
        <f>VLOOKUP(A40,Estimate!A:L,12,FALSE)</f>
        <v>2</v>
      </c>
      <c r="D40" s="216">
        <v>39</v>
      </c>
      <c r="E40" s="216"/>
      <c r="F40" s="221">
        <f>IFERROR(VLOOKUP(A40,Estimate!A:Q,17,FALSE),0)</f>
        <v>10842.666666666668</v>
      </c>
      <c r="G40" s="222">
        <f>VLOOKUP($A40,'Budget &amp; Revenue'!$A:$V,12,FALSE)</f>
        <v>0</v>
      </c>
      <c r="H40" s="222">
        <f>VLOOKUP($A40,'Budget &amp; Revenue'!$A:$V,14,FALSE)</f>
        <v>0</v>
      </c>
      <c r="I40" s="222">
        <f>VLOOKUP($A40,'Budget &amp; Revenue'!$A:$V,16,FALSE)</f>
        <v>0</v>
      </c>
      <c r="J40" s="222">
        <f>VLOOKUP($A40,'Budget &amp; Revenue'!$A:$V,18,FALSE)</f>
        <v>0</v>
      </c>
      <c r="K40" s="222">
        <f>VLOOKUP($A40,'Budget &amp; Revenue'!$A:$V,20,FALSE)</f>
        <v>0</v>
      </c>
      <c r="L40" s="222">
        <f>VLOOKUP($A40,'Budget &amp; Revenue'!$A:$V,22,FALSE)</f>
        <v>0</v>
      </c>
    </row>
    <row r="41" spans="1:12" ht="45" x14ac:dyDescent="0.25">
      <c r="A41" s="220">
        <v>41</v>
      </c>
      <c r="B41" s="215" t="s">
        <v>150</v>
      </c>
      <c r="C41" s="220">
        <f>VLOOKUP(A41,Estimate!A:L,12,FALSE)</f>
        <v>0</v>
      </c>
      <c r="D41" s="216">
        <v>34</v>
      </c>
      <c r="E41" s="216">
        <v>42</v>
      </c>
      <c r="F41" s="221">
        <f>IFERROR(VLOOKUP(A41,Estimate!A:Q,17,FALSE),0)</f>
        <v>2000</v>
      </c>
      <c r="G41" s="222">
        <f>VLOOKUP($A41,'Budget &amp; Revenue'!$A:$V,12,FALSE)</f>
        <v>0</v>
      </c>
      <c r="H41" s="222">
        <f>VLOOKUP($A41,'Budget &amp; Revenue'!$A:$V,14,FALSE)</f>
        <v>0</v>
      </c>
      <c r="I41" s="222">
        <f>VLOOKUP($A41,'Budget &amp; Revenue'!$A:$V,16,FALSE)</f>
        <v>0</v>
      </c>
      <c r="J41" s="222">
        <f>VLOOKUP($A41,'Budget &amp; Revenue'!$A:$V,18,FALSE)</f>
        <v>1</v>
      </c>
      <c r="K41" s="222">
        <f>VLOOKUP($A41,'Budget &amp; Revenue'!$A:$V,20,FALSE)</f>
        <v>1</v>
      </c>
      <c r="L41" s="222">
        <f>VLOOKUP($A41,'Budget &amp; Revenue'!$A:$V,22,FALSE)</f>
        <v>1</v>
      </c>
    </row>
    <row r="42" spans="1:12" ht="30" x14ac:dyDescent="0.25">
      <c r="A42" s="220">
        <v>42</v>
      </c>
      <c r="B42" s="215" t="s">
        <v>153</v>
      </c>
      <c r="C42" s="220">
        <f>VLOOKUP(A42,Estimate!A:L,12,FALSE)</f>
        <v>1</v>
      </c>
      <c r="D42" s="216">
        <v>41</v>
      </c>
      <c r="E42" s="216">
        <v>43</v>
      </c>
      <c r="F42" s="221">
        <f>IFERROR(VLOOKUP(A42,Estimate!A:Q,17,FALSE),0)</f>
        <v>957.6</v>
      </c>
      <c r="G42" s="222">
        <f>VLOOKUP($A42,'Budget &amp; Revenue'!$A:$V,12,FALSE)</f>
        <v>0</v>
      </c>
      <c r="H42" s="222">
        <f>VLOOKUP($A42,'Budget &amp; Revenue'!$A:$V,14,FALSE)</f>
        <v>0</v>
      </c>
      <c r="I42" s="222">
        <f>VLOOKUP($A42,'Budget &amp; Revenue'!$A:$V,16,FALSE)</f>
        <v>0</v>
      </c>
      <c r="J42" s="222">
        <f>VLOOKUP($A42,'Budget &amp; Revenue'!$A:$V,18,FALSE)</f>
        <v>1</v>
      </c>
      <c r="K42" s="222">
        <f>VLOOKUP($A42,'Budget &amp; Revenue'!$A:$V,20,FALSE)</f>
        <v>1</v>
      </c>
      <c r="L42" s="222">
        <f>VLOOKUP($A42,'Budget &amp; Revenue'!$A:$V,22,FALSE)</f>
        <v>1</v>
      </c>
    </row>
    <row r="43" spans="1:12" x14ac:dyDescent="0.25">
      <c r="A43" s="220">
        <v>43</v>
      </c>
      <c r="B43" s="215" t="s">
        <v>156</v>
      </c>
      <c r="C43" s="220">
        <f>VLOOKUP(A43,Estimate!A:L,12,FALSE)</f>
        <v>1</v>
      </c>
      <c r="D43" s="216">
        <v>42</v>
      </c>
      <c r="E43" s="216">
        <v>44</v>
      </c>
      <c r="F43" s="221">
        <f>IFERROR(VLOOKUP(A43,Estimate!A:Q,17,FALSE),0)</f>
        <v>338.8</v>
      </c>
      <c r="G43" s="222">
        <f>VLOOKUP($A43,'Budget &amp; Revenue'!$A:$V,12,FALSE)</f>
        <v>0</v>
      </c>
      <c r="H43" s="222">
        <f>VLOOKUP($A43,'Budget &amp; Revenue'!$A:$V,14,FALSE)</f>
        <v>0</v>
      </c>
      <c r="I43" s="222">
        <f>VLOOKUP($A43,'Budget &amp; Revenue'!$A:$V,16,FALSE)</f>
        <v>0</v>
      </c>
      <c r="J43" s="222">
        <f>VLOOKUP($A43,'Budget &amp; Revenue'!$A:$V,18,FALSE)</f>
        <v>1</v>
      </c>
      <c r="K43" s="222">
        <f>VLOOKUP($A43,'Budget &amp; Revenue'!$A:$V,20,FALSE)</f>
        <v>1</v>
      </c>
      <c r="L43" s="222">
        <f>VLOOKUP($A43,'Budget &amp; Revenue'!$A:$V,22,FALSE)</f>
        <v>1</v>
      </c>
    </row>
    <row r="44" spans="1:12" ht="75" x14ac:dyDescent="0.25">
      <c r="A44" s="220">
        <v>44</v>
      </c>
      <c r="B44" s="215" t="s">
        <v>158</v>
      </c>
      <c r="C44" s="220">
        <f>VLOOKUP(A44,Estimate!A:L,12,FALSE)</f>
        <v>4</v>
      </c>
      <c r="D44" s="216">
        <v>43</v>
      </c>
      <c r="E44" s="216">
        <v>10</v>
      </c>
      <c r="F44" s="221">
        <f>IFERROR(VLOOKUP(A44,Estimate!A:Q,17,FALSE),0)</f>
        <v>28000</v>
      </c>
      <c r="G44" s="222">
        <f>VLOOKUP($A44,'Budget &amp; Revenue'!$A:$V,12,FALSE)</f>
        <v>0</v>
      </c>
      <c r="H44" s="222">
        <f>VLOOKUP($A44,'Budget &amp; Revenue'!$A:$V,14,FALSE)</f>
        <v>0</v>
      </c>
      <c r="I44" s="222">
        <f>VLOOKUP($A44,'Budget &amp; Revenue'!$A:$V,16,FALSE)</f>
        <v>0</v>
      </c>
      <c r="J44" s="222">
        <f>VLOOKUP($A44,'Budget &amp; Revenue'!$A:$V,18,FALSE)</f>
        <v>0</v>
      </c>
      <c r="K44" s="222">
        <f>VLOOKUP($A44,'Budget &amp; Revenue'!$A:$V,20,FALSE)</f>
        <v>0</v>
      </c>
      <c r="L44" s="222">
        <f>VLOOKUP($A44,'Budget &amp; Revenue'!$A:$V,22,FALSE)</f>
        <v>0</v>
      </c>
    </row>
    <row r="45" spans="1:12" ht="90" x14ac:dyDescent="0.25">
      <c r="A45" s="220">
        <v>45</v>
      </c>
      <c r="B45" s="215" t="s">
        <v>1291</v>
      </c>
      <c r="C45" s="220">
        <f>VLOOKUP(A45,Estimate!A:L,12,FALSE)</f>
        <v>1</v>
      </c>
      <c r="D45" s="216" t="s">
        <v>638</v>
      </c>
      <c r="E45" s="216">
        <v>46</v>
      </c>
      <c r="F45" s="221">
        <f>IFERROR(VLOOKUP(A45,Estimate!A:Q,17,FALSE),0)</f>
        <v>1297.3510000000001</v>
      </c>
      <c r="G45" s="222">
        <f>VLOOKUP($A45,'Budget &amp; Revenue'!$A:$V,12,FALSE)</f>
        <v>1</v>
      </c>
      <c r="H45" s="222">
        <f>VLOOKUP($A45,'Budget &amp; Revenue'!$A:$V,14,FALSE)</f>
        <v>1</v>
      </c>
      <c r="I45" s="222">
        <f>VLOOKUP($A45,'Budget &amp; Revenue'!$A:$V,16,FALSE)</f>
        <v>1</v>
      </c>
      <c r="J45" s="222">
        <f>VLOOKUP($A45,'Budget &amp; Revenue'!$A:$V,18,FALSE)</f>
        <v>1</v>
      </c>
      <c r="K45" s="222">
        <f>VLOOKUP($A45,'Budget &amp; Revenue'!$A:$V,20,FALSE)</f>
        <v>1</v>
      </c>
      <c r="L45" s="222">
        <f>VLOOKUP($A45,'Budget &amp; Revenue'!$A:$V,22,FALSE)</f>
        <v>1</v>
      </c>
    </row>
    <row r="46" spans="1:12" ht="45" x14ac:dyDescent="0.25">
      <c r="A46" s="220">
        <v>46</v>
      </c>
      <c r="B46" s="215" t="s">
        <v>173</v>
      </c>
      <c r="C46" s="220">
        <f>VLOOKUP(A46,Estimate!A:L,12,FALSE)</f>
        <v>1</v>
      </c>
      <c r="D46" s="216">
        <v>45</v>
      </c>
      <c r="E46" s="216">
        <v>47</v>
      </c>
      <c r="F46" s="221">
        <f>IFERROR(VLOOKUP(A46,Estimate!A:Q,17,FALSE),0)</f>
        <v>1257.8</v>
      </c>
      <c r="G46" s="222">
        <f>VLOOKUP($A46,'Budget &amp; Revenue'!$A:$V,12,FALSE)</f>
        <v>0</v>
      </c>
      <c r="H46" s="222">
        <f>VLOOKUP($A46,'Budget &amp; Revenue'!$A:$V,14,FALSE)</f>
        <v>1</v>
      </c>
      <c r="I46" s="222">
        <f>VLOOKUP($A46,'Budget &amp; Revenue'!$A:$V,16,FALSE)</f>
        <v>1</v>
      </c>
      <c r="J46" s="222">
        <f>VLOOKUP($A46,'Budget &amp; Revenue'!$A:$V,18,FALSE)</f>
        <v>1</v>
      </c>
      <c r="K46" s="222">
        <f>VLOOKUP($A46,'Budget &amp; Revenue'!$A:$V,20,FALSE)</f>
        <v>1</v>
      </c>
      <c r="L46" s="222">
        <f>VLOOKUP($A46,'Budget &amp; Revenue'!$A:$V,22,FALSE)</f>
        <v>1</v>
      </c>
    </row>
    <row r="47" spans="1:12" ht="75" x14ac:dyDescent="0.25">
      <c r="A47" s="220">
        <v>47</v>
      </c>
      <c r="B47" s="215" t="s">
        <v>1292</v>
      </c>
      <c r="C47" s="220">
        <f>VLOOKUP(A47,Estimate!A:L,12,FALSE)</f>
        <v>1</v>
      </c>
      <c r="D47" s="216">
        <v>46</v>
      </c>
      <c r="E47" s="216">
        <v>48</v>
      </c>
      <c r="F47" s="221">
        <f>IFERROR(VLOOKUP(A47,Estimate!A:Q,17,FALSE),0)</f>
        <v>1344.9309999999998</v>
      </c>
      <c r="G47" s="222">
        <f>VLOOKUP($A47,'Budget &amp; Revenue'!$A:$V,12,FALSE)</f>
        <v>1</v>
      </c>
      <c r="H47" s="222">
        <f>VLOOKUP($A47,'Budget &amp; Revenue'!$A:$V,14,FALSE)</f>
        <v>1</v>
      </c>
      <c r="I47" s="222">
        <f>VLOOKUP($A47,'Budget &amp; Revenue'!$A:$V,16,FALSE)</f>
        <v>1</v>
      </c>
      <c r="J47" s="222">
        <f>VLOOKUP($A47,'Budget &amp; Revenue'!$A:$V,18,FALSE)</f>
        <v>1</v>
      </c>
      <c r="K47" s="222">
        <f>VLOOKUP($A47,'Budget &amp; Revenue'!$A:$V,20,FALSE)</f>
        <v>1</v>
      </c>
      <c r="L47" s="222">
        <f>VLOOKUP($A47,'Budget &amp; Revenue'!$A:$V,22,FALSE)</f>
        <v>1</v>
      </c>
    </row>
    <row r="48" spans="1:12" ht="45" x14ac:dyDescent="0.25">
      <c r="A48" s="220">
        <v>48</v>
      </c>
      <c r="B48" s="215" t="s">
        <v>179</v>
      </c>
      <c r="C48" s="220">
        <f>VLOOKUP(A48,Estimate!A:L,12,FALSE)</f>
        <v>1</v>
      </c>
      <c r="D48" s="216">
        <v>47</v>
      </c>
      <c r="E48" s="216">
        <v>49</v>
      </c>
      <c r="F48" s="221">
        <f>IFERROR(VLOOKUP(A48,Estimate!A:Q,17,FALSE),0)</f>
        <v>2338.85</v>
      </c>
      <c r="G48" s="222">
        <f>VLOOKUP($A48,'Budget &amp; Revenue'!$A:$V,12,FALSE)</f>
        <v>0</v>
      </c>
      <c r="H48" s="222">
        <f>VLOOKUP($A48,'Budget &amp; Revenue'!$A:$V,14,FALSE)</f>
        <v>1</v>
      </c>
      <c r="I48" s="222">
        <f>VLOOKUP($A48,'Budget &amp; Revenue'!$A:$V,16,FALSE)</f>
        <v>1</v>
      </c>
      <c r="J48" s="222">
        <f>VLOOKUP($A48,'Budget &amp; Revenue'!$A:$V,18,FALSE)</f>
        <v>1</v>
      </c>
      <c r="K48" s="222">
        <f>VLOOKUP($A48,'Budget &amp; Revenue'!$A:$V,20,FALSE)</f>
        <v>1</v>
      </c>
      <c r="L48" s="222">
        <f>VLOOKUP($A48,'Budget &amp; Revenue'!$A:$V,22,FALSE)</f>
        <v>1</v>
      </c>
    </row>
    <row r="49" spans="1:12" ht="90" x14ac:dyDescent="0.25">
      <c r="A49" s="220">
        <v>49</v>
      </c>
      <c r="B49" s="215" t="s">
        <v>1293</v>
      </c>
      <c r="C49" s="220">
        <f>VLOOKUP(A49,Estimate!A:L,12,FALSE)</f>
        <v>4</v>
      </c>
      <c r="D49" s="216">
        <v>48</v>
      </c>
      <c r="E49" s="216">
        <v>50</v>
      </c>
      <c r="F49" s="221">
        <f>IFERROR(VLOOKUP(A49,Estimate!A:Q,17,FALSE),0)</f>
        <v>20898.888739999999</v>
      </c>
      <c r="G49" s="222">
        <f>VLOOKUP($A49,'Budget &amp; Revenue'!$A:$V,12,FALSE)</f>
        <v>0</v>
      </c>
      <c r="H49" s="222">
        <f>VLOOKUP($A49,'Budget &amp; Revenue'!$A:$V,14,FALSE)</f>
        <v>1</v>
      </c>
      <c r="I49" s="222">
        <f>VLOOKUP($A49,'Budget &amp; Revenue'!$A:$V,16,FALSE)</f>
        <v>1</v>
      </c>
      <c r="J49" s="222">
        <f>VLOOKUP($A49,'Budget &amp; Revenue'!$A:$V,18,FALSE)</f>
        <v>1</v>
      </c>
      <c r="K49" s="222">
        <f>VLOOKUP($A49,'Budget &amp; Revenue'!$A:$V,20,FALSE)</f>
        <v>1</v>
      </c>
      <c r="L49" s="222">
        <f>VLOOKUP($A49,'Budget &amp; Revenue'!$A:$V,22,FALSE)</f>
        <v>1</v>
      </c>
    </row>
    <row r="50" spans="1:12" ht="45" x14ac:dyDescent="0.25">
      <c r="A50" s="220">
        <v>50</v>
      </c>
      <c r="B50" s="215" t="s">
        <v>200</v>
      </c>
      <c r="C50" s="220">
        <f>VLOOKUP(A50,Estimate!A:L,12,FALSE)</f>
        <v>2</v>
      </c>
      <c r="D50" s="216">
        <v>49</v>
      </c>
      <c r="E50" s="216">
        <v>51</v>
      </c>
      <c r="F50" s="221">
        <f>IFERROR(VLOOKUP(A50,Estimate!A:Q,17,FALSE),0)</f>
        <v>64286.638186666249</v>
      </c>
      <c r="G50" s="222">
        <f>VLOOKUP($A50,'Budget &amp; Revenue'!$A:$V,12,FALSE)</f>
        <v>0</v>
      </c>
      <c r="H50" s="222">
        <f>VLOOKUP($A50,'Budget &amp; Revenue'!$A:$V,14,FALSE)</f>
        <v>1</v>
      </c>
      <c r="I50" s="222">
        <f>VLOOKUP($A50,'Budget &amp; Revenue'!$A:$V,16,FALSE)</f>
        <v>1</v>
      </c>
      <c r="J50" s="222">
        <f>VLOOKUP($A50,'Budget &amp; Revenue'!$A:$V,18,FALSE)</f>
        <v>1</v>
      </c>
      <c r="K50" s="222">
        <f>VLOOKUP($A50,'Budget &amp; Revenue'!$A:$V,20,FALSE)</f>
        <v>1</v>
      </c>
      <c r="L50" s="222">
        <f>VLOOKUP($A50,'Budget &amp; Revenue'!$A:$V,22,FALSE)</f>
        <v>1</v>
      </c>
    </row>
    <row r="51" spans="1:12" ht="60" x14ac:dyDescent="0.25">
      <c r="A51" s="220">
        <v>51</v>
      </c>
      <c r="B51" s="215" t="s">
        <v>202</v>
      </c>
      <c r="C51" s="220">
        <f>VLOOKUP(A51,Estimate!A:L,12,FALSE)</f>
        <v>1</v>
      </c>
      <c r="D51" s="216">
        <v>50</v>
      </c>
      <c r="E51" s="216" t="s">
        <v>639</v>
      </c>
      <c r="F51" s="221">
        <f>IFERROR(VLOOKUP(A51,Estimate!A:Q,17,FALSE),0)</f>
        <v>2161.4</v>
      </c>
      <c r="G51" s="222">
        <f>VLOOKUP($A51,'Budget &amp; Revenue'!$A:$V,12,FALSE)</f>
        <v>0</v>
      </c>
      <c r="H51" s="222">
        <f>VLOOKUP($A51,'Budget &amp; Revenue'!$A:$V,14,FALSE)</f>
        <v>1</v>
      </c>
      <c r="I51" s="222">
        <f>VLOOKUP($A51,'Budget &amp; Revenue'!$A:$V,16,FALSE)</f>
        <v>1</v>
      </c>
      <c r="J51" s="222">
        <f>VLOOKUP($A51,'Budget &amp; Revenue'!$A:$V,18,FALSE)</f>
        <v>1</v>
      </c>
      <c r="K51" s="222">
        <f>VLOOKUP($A51,'Budget &amp; Revenue'!$A:$V,20,FALSE)</f>
        <v>1</v>
      </c>
      <c r="L51" s="222">
        <f>VLOOKUP($A51,'Budget &amp; Revenue'!$A:$V,22,FALSE)</f>
        <v>1</v>
      </c>
    </row>
    <row r="52" spans="1:12" ht="45" x14ac:dyDescent="0.25">
      <c r="A52" s="220">
        <v>52</v>
      </c>
      <c r="B52" s="215" t="s">
        <v>205</v>
      </c>
      <c r="C52" s="220">
        <f>VLOOKUP(A52,Estimate!A:L,12,FALSE)</f>
        <v>1</v>
      </c>
      <c r="D52" s="216">
        <v>51</v>
      </c>
      <c r="E52" s="216">
        <v>53</v>
      </c>
      <c r="F52" s="221">
        <f>IFERROR(VLOOKUP(A52,Estimate!A:Q,17,FALSE),0)</f>
        <v>1661.4</v>
      </c>
      <c r="G52" s="222">
        <f>VLOOKUP($A52,'Budget &amp; Revenue'!$A:$V,12,FALSE)</f>
        <v>0</v>
      </c>
      <c r="H52" s="222">
        <f>VLOOKUP($A52,'Budget &amp; Revenue'!$A:$V,14,FALSE)</f>
        <v>1</v>
      </c>
      <c r="I52" s="222">
        <f>VLOOKUP($A52,'Budget &amp; Revenue'!$A:$V,16,FALSE)</f>
        <v>1</v>
      </c>
      <c r="J52" s="222">
        <f>VLOOKUP($A52,'Budget &amp; Revenue'!$A:$V,18,FALSE)</f>
        <v>1</v>
      </c>
      <c r="K52" s="222">
        <f>VLOOKUP($A52,'Budget &amp; Revenue'!$A:$V,20,FALSE)</f>
        <v>1</v>
      </c>
      <c r="L52" s="222">
        <f>VLOOKUP($A52,'Budget &amp; Revenue'!$A:$V,22,FALSE)</f>
        <v>1</v>
      </c>
    </row>
    <row r="53" spans="1:12" ht="60" x14ac:dyDescent="0.25">
      <c r="A53" s="220">
        <v>53</v>
      </c>
      <c r="B53" s="215" t="s">
        <v>207</v>
      </c>
      <c r="C53" s="220">
        <f>VLOOKUP(A53,Estimate!A:L,12,FALSE)</f>
        <v>1</v>
      </c>
      <c r="D53" s="216">
        <v>52</v>
      </c>
      <c r="E53" s="216">
        <v>68</v>
      </c>
      <c r="F53" s="221">
        <f>IFERROR(VLOOKUP(A53,Estimate!A:Q,17,FALSE),0)</f>
        <v>3372.6</v>
      </c>
      <c r="G53" s="222">
        <f>VLOOKUP($A53,'Budget &amp; Revenue'!$A:$V,12,FALSE)</f>
        <v>0</v>
      </c>
      <c r="H53" s="222">
        <f>VLOOKUP($A53,'Budget &amp; Revenue'!$A:$V,14,FALSE)</f>
        <v>0</v>
      </c>
      <c r="I53" s="222">
        <f>VLOOKUP($A53,'Budget &amp; Revenue'!$A:$V,16,FALSE)</f>
        <v>1</v>
      </c>
      <c r="J53" s="222">
        <f>VLOOKUP($A53,'Budget &amp; Revenue'!$A:$V,18,FALSE)</f>
        <v>1</v>
      </c>
      <c r="K53" s="222">
        <f>VLOOKUP($A53,'Budget &amp; Revenue'!$A:$V,20,FALSE)</f>
        <v>1</v>
      </c>
      <c r="L53" s="222">
        <f>VLOOKUP($A53,'Budget &amp; Revenue'!$A:$V,22,FALSE)</f>
        <v>1</v>
      </c>
    </row>
    <row r="54" spans="1:12" ht="75" x14ac:dyDescent="0.25">
      <c r="A54" s="220">
        <v>54</v>
      </c>
      <c r="B54" s="215" t="s">
        <v>576</v>
      </c>
      <c r="C54" s="220">
        <f>VLOOKUP(A54,Estimate!A:L,12,FALSE)</f>
        <v>1</v>
      </c>
      <c r="D54" s="216">
        <v>51</v>
      </c>
      <c r="E54" s="216">
        <v>55</v>
      </c>
      <c r="F54" s="221">
        <f>IFERROR(VLOOKUP(A54,Estimate!A:Q,17,FALSE),0)</f>
        <v>2118.8739999999998</v>
      </c>
      <c r="G54" s="222">
        <f>VLOOKUP($A54,'Budget &amp; Revenue'!$A:$V,12,FALSE)</f>
        <v>1</v>
      </c>
      <c r="H54" s="222">
        <f>VLOOKUP($A54,'Budget &amp; Revenue'!$A:$V,14,FALSE)</f>
        <v>1</v>
      </c>
      <c r="I54" s="222">
        <f>VLOOKUP($A54,'Budget &amp; Revenue'!$A:$V,16,FALSE)</f>
        <v>1</v>
      </c>
      <c r="J54" s="222">
        <f>VLOOKUP($A54,'Budget &amp; Revenue'!$A:$V,18,FALSE)</f>
        <v>1</v>
      </c>
      <c r="K54" s="222">
        <f>VLOOKUP($A54,'Budget &amp; Revenue'!$A:$V,20,FALSE)</f>
        <v>1</v>
      </c>
      <c r="L54" s="222">
        <f>VLOOKUP($A54,'Budget &amp; Revenue'!$A:$V,22,FALSE)</f>
        <v>1</v>
      </c>
    </row>
    <row r="55" spans="1:12" ht="45" x14ac:dyDescent="0.25">
      <c r="A55" s="220">
        <v>55</v>
      </c>
      <c r="B55" s="215" t="s">
        <v>212</v>
      </c>
      <c r="C55" s="220">
        <f>VLOOKUP(A55,Estimate!A:L,12,FALSE)</f>
        <v>1</v>
      </c>
      <c r="D55" s="216">
        <v>54</v>
      </c>
      <c r="E55" s="216">
        <v>56</v>
      </c>
      <c r="F55" s="221">
        <f>IFERROR(VLOOKUP(A55,Estimate!A:Q,17,FALSE),0)</f>
        <v>2338.85</v>
      </c>
      <c r="G55" s="222">
        <f>VLOOKUP($A55,'Budget &amp; Revenue'!$A:$V,12,FALSE)</f>
        <v>0</v>
      </c>
      <c r="H55" s="222">
        <f>VLOOKUP($A55,'Budget &amp; Revenue'!$A:$V,14,FALSE)</f>
        <v>1</v>
      </c>
      <c r="I55" s="222">
        <f>VLOOKUP($A55,'Budget &amp; Revenue'!$A:$V,16,FALSE)</f>
        <v>1</v>
      </c>
      <c r="J55" s="222">
        <f>VLOOKUP($A55,'Budget &amp; Revenue'!$A:$V,18,FALSE)</f>
        <v>1</v>
      </c>
      <c r="K55" s="222">
        <f>VLOOKUP($A55,'Budget &amp; Revenue'!$A:$V,20,FALSE)</f>
        <v>1</v>
      </c>
      <c r="L55" s="222">
        <f>VLOOKUP($A55,'Budget &amp; Revenue'!$A:$V,22,FALSE)</f>
        <v>1</v>
      </c>
    </row>
    <row r="56" spans="1:12" ht="75" x14ac:dyDescent="0.25">
      <c r="A56" s="220">
        <v>56</v>
      </c>
      <c r="B56" s="215" t="s">
        <v>1294</v>
      </c>
      <c r="C56" s="220">
        <f>VLOOKUP(A56,Estimate!A:L,12,FALSE)</f>
        <v>1</v>
      </c>
      <c r="D56" s="216">
        <v>55</v>
      </c>
      <c r="E56" s="216">
        <v>57</v>
      </c>
      <c r="F56" s="221">
        <f>IFERROR(VLOOKUP(A56,Estimate!A:Q,17,FALSE),0)</f>
        <v>2078.3919999999998</v>
      </c>
      <c r="G56" s="222">
        <f>VLOOKUP($A56,'Budget &amp; Revenue'!$A:$V,12,FALSE)</f>
        <v>1</v>
      </c>
      <c r="H56" s="222">
        <f>VLOOKUP($A56,'Budget &amp; Revenue'!$A:$V,14,FALSE)</f>
        <v>1</v>
      </c>
      <c r="I56" s="222">
        <f>VLOOKUP($A56,'Budget &amp; Revenue'!$A:$V,16,FALSE)</f>
        <v>1</v>
      </c>
      <c r="J56" s="222">
        <f>VLOOKUP($A56,'Budget &amp; Revenue'!$A:$V,18,FALSE)</f>
        <v>1</v>
      </c>
      <c r="K56" s="222">
        <f>VLOOKUP($A56,'Budget &amp; Revenue'!$A:$V,20,FALSE)</f>
        <v>1</v>
      </c>
      <c r="L56" s="222">
        <f>VLOOKUP($A56,'Budget &amp; Revenue'!$A:$V,22,FALSE)</f>
        <v>1</v>
      </c>
    </row>
    <row r="57" spans="1:12" ht="45" x14ac:dyDescent="0.25">
      <c r="A57" s="220">
        <v>57</v>
      </c>
      <c r="B57" s="215" t="s">
        <v>179</v>
      </c>
      <c r="C57" s="220">
        <f>VLOOKUP(A57,Estimate!A:L,12,FALSE)</f>
        <v>1</v>
      </c>
      <c r="D57" s="216">
        <v>56</v>
      </c>
      <c r="E57" s="216">
        <v>58</v>
      </c>
      <c r="F57" s="221">
        <f>IFERROR(VLOOKUP(A57,Estimate!A:Q,17,FALSE),0)</f>
        <v>2338.85</v>
      </c>
      <c r="G57" s="222">
        <f>VLOOKUP($A57,'Budget &amp; Revenue'!$A:$V,12,FALSE)</f>
        <v>0</v>
      </c>
      <c r="H57" s="222">
        <f>VLOOKUP($A57,'Budget &amp; Revenue'!$A:$V,14,FALSE)</f>
        <v>0</v>
      </c>
      <c r="I57" s="222">
        <f>VLOOKUP($A57,'Budget &amp; Revenue'!$A:$V,16,FALSE)</f>
        <v>1</v>
      </c>
      <c r="J57" s="222">
        <f>VLOOKUP($A57,'Budget &amp; Revenue'!$A:$V,18,FALSE)</f>
        <v>1</v>
      </c>
      <c r="K57" s="222">
        <f>VLOOKUP($A57,'Budget &amp; Revenue'!$A:$V,20,FALSE)</f>
        <v>1</v>
      </c>
      <c r="L57" s="222">
        <f>VLOOKUP($A57,'Budget &amp; Revenue'!$A:$V,22,FALSE)</f>
        <v>1</v>
      </c>
    </row>
    <row r="58" spans="1:12" ht="75" x14ac:dyDescent="0.25">
      <c r="A58" s="220">
        <v>58</v>
      </c>
      <c r="B58" s="215" t="s">
        <v>1295</v>
      </c>
      <c r="C58" s="220">
        <f>VLOOKUP(A58,Estimate!A:L,12,FALSE)</f>
        <v>1</v>
      </c>
      <c r="D58" s="216">
        <v>57</v>
      </c>
      <c r="E58" s="216">
        <v>59</v>
      </c>
      <c r="F58" s="221">
        <f>IFERROR(VLOOKUP(A58,Estimate!A:Q,17,FALSE),0)</f>
        <v>1306.844623</v>
      </c>
      <c r="G58" s="222">
        <f>VLOOKUP($A58,'Budget &amp; Revenue'!$A:$V,12,FALSE)</f>
        <v>1</v>
      </c>
      <c r="H58" s="222">
        <f>VLOOKUP($A58,'Budget &amp; Revenue'!$A:$V,14,FALSE)</f>
        <v>1</v>
      </c>
      <c r="I58" s="222">
        <f>VLOOKUP($A58,'Budget &amp; Revenue'!$A:$V,16,FALSE)</f>
        <v>1</v>
      </c>
      <c r="J58" s="222">
        <f>VLOOKUP($A58,'Budget &amp; Revenue'!$A:$V,18,FALSE)</f>
        <v>1</v>
      </c>
      <c r="K58" s="222">
        <f>VLOOKUP($A58,'Budget &amp; Revenue'!$A:$V,20,FALSE)</f>
        <v>1</v>
      </c>
      <c r="L58" s="222">
        <f>VLOOKUP($A58,'Budget &amp; Revenue'!$A:$V,22,FALSE)</f>
        <v>1</v>
      </c>
    </row>
    <row r="59" spans="1:12" ht="45" x14ac:dyDescent="0.25">
      <c r="A59" s="220">
        <v>59</v>
      </c>
      <c r="B59" s="215" t="s">
        <v>221</v>
      </c>
      <c r="C59" s="220">
        <f>VLOOKUP(A59,Estimate!A:L,12,FALSE)</f>
        <v>1</v>
      </c>
      <c r="D59" s="216">
        <v>58</v>
      </c>
      <c r="E59" s="216">
        <v>60</v>
      </c>
      <c r="F59" s="221">
        <f>IFERROR(VLOOKUP(A59,Estimate!A:Q,17,FALSE),0)</f>
        <v>1257.8</v>
      </c>
      <c r="G59" s="222">
        <f>VLOOKUP($A59,'Budget &amp; Revenue'!$A:$V,12,FALSE)</f>
        <v>0</v>
      </c>
      <c r="H59" s="222">
        <f>VLOOKUP($A59,'Budget &amp; Revenue'!$A:$V,14,FALSE)</f>
        <v>1</v>
      </c>
      <c r="I59" s="222">
        <f>VLOOKUP($A59,'Budget &amp; Revenue'!$A:$V,16,FALSE)</f>
        <v>1</v>
      </c>
      <c r="J59" s="222">
        <f>VLOOKUP($A59,'Budget &amp; Revenue'!$A:$V,18,FALSE)</f>
        <v>1</v>
      </c>
      <c r="K59" s="222">
        <f>VLOOKUP($A59,'Budget &amp; Revenue'!$A:$V,20,FALSE)</f>
        <v>1</v>
      </c>
      <c r="L59" s="222">
        <f>VLOOKUP($A59,'Budget &amp; Revenue'!$A:$V,22,FALSE)</f>
        <v>1</v>
      </c>
    </row>
    <row r="60" spans="1:12" ht="75" x14ac:dyDescent="0.25">
      <c r="A60" s="220">
        <v>60</v>
      </c>
      <c r="B60" s="215" t="s">
        <v>579</v>
      </c>
      <c r="C60" s="220">
        <f>VLOOKUP(A60,Estimate!A:L,12,FALSE)</f>
        <v>2</v>
      </c>
      <c r="D60" s="216">
        <v>59</v>
      </c>
      <c r="E60" s="216">
        <v>61</v>
      </c>
      <c r="F60" s="221">
        <f>IFERROR(VLOOKUP(A60,Estimate!A:Q,17,FALSE),0)</f>
        <v>2147.6136978016934</v>
      </c>
      <c r="G60" s="222">
        <f>VLOOKUP($A60,'Budget &amp; Revenue'!$A:$V,12,FALSE)</f>
        <v>1</v>
      </c>
      <c r="H60" s="222">
        <f>VLOOKUP($A60,'Budget &amp; Revenue'!$A:$V,14,FALSE)</f>
        <v>1</v>
      </c>
      <c r="I60" s="222">
        <f>VLOOKUP($A60,'Budget &amp; Revenue'!$A:$V,16,FALSE)</f>
        <v>1</v>
      </c>
      <c r="J60" s="222">
        <f>VLOOKUP($A60,'Budget &amp; Revenue'!$A:$V,18,FALSE)</f>
        <v>1</v>
      </c>
      <c r="K60" s="222">
        <f>VLOOKUP($A60,'Budget &amp; Revenue'!$A:$V,20,FALSE)</f>
        <v>1</v>
      </c>
      <c r="L60" s="222">
        <f>VLOOKUP($A60,'Budget &amp; Revenue'!$A:$V,22,FALSE)</f>
        <v>1</v>
      </c>
    </row>
    <row r="61" spans="1:12" ht="45" x14ac:dyDescent="0.25">
      <c r="A61" s="220">
        <v>61</v>
      </c>
      <c r="B61" s="215" t="s">
        <v>226</v>
      </c>
      <c r="C61" s="220">
        <f>VLOOKUP(A61,Estimate!A:L,12,FALSE)</f>
        <v>1</v>
      </c>
      <c r="D61" s="216">
        <v>60</v>
      </c>
      <c r="E61" s="216">
        <v>62</v>
      </c>
      <c r="F61" s="221">
        <f>IFERROR(VLOOKUP(A61,Estimate!A:Q,17,FALSE),0)</f>
        <v>2147.9749999999999</v>
      </c>
      <c r="G61" s="222">
        <f>VLOOKUP($A61,'Budget &amp; Revenue'!$A:$V,12,FALSE)</f>
        <v>0</v>
      </c>
      <c r="H61" s="222">
        <f>VLOOKUP($A61,'Budget &amp; Revenue'!$A:$V,14,FALSE)</f>
        <v>1</v>
      </c>
      <c r="I61" s="222">
        <f>VLOOKUP($A61,'Budget &amp; Revenue'!$A:$V,16,FALSE)</f>
        <v>1</v>
      </c>
      <c r="J61" s="222">
        <f>VLOOKUP($A61,'Budget &amp; Revenue'!$A:$V,18,FALSE)</f>
        <v>1</v>
      </c>
      <c r="K61" s="222">
        <f>VLOOKUP($A61,'Budget &amp; Revenue'!$A:$V,20,FALSE)</f>
        <v>1</v>
      </c>
      <c r="L61" s="222">
        <f>VLOOKUP($A61,'Budget &amp; Revenue'!$A:$V,22,FALSE)</f>
        <v>1</v>
      </c>
    </row>
    <row r="62" spans="1:12" ht="75" x14ac:dyDescent="0.25">
      <c r="A62" s="220">
        <v>62</v>
      </c>
      <c r="B62" s="215" t="s">
        <v>580</v>
      </c>
      <c r="C62" s="220">
        <f>VLOOKUP(A62,Estimate!A:L,12,FALSE)</f>
        <v>2</v>
      </c>
      <c r="D62" s="216">
        <v>61</v>
      </c>
      <c r="E62" s="216">
        <v>63</v>
      </c>
      <c r="F62" s="221">
        <f>IFERROR(VLOOKUP(A62,Estimate!A:Q,17,FALSE),0)</f>
        <v>3398.3133546149611</v>
      </c>
      <c r="G62" s="222">
        <f>VLOOKUP($A62,'Budget &amp; Revenue'!$A:$V,12,FALSE)</f>
        <v>1</v>
      </c>
      <c r="H62" s="222">
        <f>VLOOKUP($A62,'Budget &amp; Revenue'!$A:$V,14,FALSE)</f>
        <v>1</v>
      </c>
      <c r="I62" s="222">
        <f>VLOOKUP($A62,'Budget &amp; Revenue'!$A:$V,16,FALSE)</f>
        <v>1</v>
      </c>
      <c r="J62" s="222">
        <f>VLOOKUP($A62,'Budget &amp; Revenue'!$A:$V,18,FALSE)</f>
        <v>1</v>
      </c>
      <c r="K62" s="222">
        <f>VLOOKUP($A62,'Budget &amp; Revenue'!$A:$V,20,FALSE)</f>
        <v>1</v>
      </c>
      <c r="L62" s="222">
        <f>VLOOKUP($A62,'Budget &amp; Revenue'!$A:$V,22,FALSE)</f>
        <v>1</v>
      </c>
    </row>
    <row r="63" spans="1:12" ht="45" x14ac:dyDescent="0.25">
      <c r="A63" s="220">
        <v>63</v>
      </c>
      <c r="B63" s="215" t="s">
        <v>231</v>
      </c>
      <c r="C63" s="220">
        <f>VLOOKUP(A63,Estimate!A:L,12,FALSE)</f>
        <v>1</v>
      </c>
      <c r="D63" s="216">
        <v>62</v>
      </c>
      <c r="E63" s="216">
        <v>64</v>
      </c>
      <c r="F63" s="221">
        <f>IFERROR(VLOOKUP(A63,Estimate!A:Q,17,FALSE),0)</f>
        <v>4019.8999999999996</v>
      </c>
      <c r="G63" s="222">
        <f>VLOOKUP($A63,'Budget &amp; Revenue'!$A:$V,12,FALSE)</f>
        <v>0</v>
      </c>
      <c r="H63" s="222">
        <f>VLOOKUP($A63,'Budget &amp; Revenue'!$A:$V,14,FALSE)</f>
        <v>0</v>
      </c>
      <c r="I63" s="222">
        <f>VLOOKUP($A63,'Budget &amp; Revenue'!$A:$V,16,FALSE)</f>
        <v>1</v>
      </c>
      <c r="J63" s="222">
        <f>VLOOKUP($A63,'Budget &amp; Revenue'!$A:$V,18,FALSE)</f>
        <v>1</v>
      </c>
      <c r="K63" s="222">
        <f>VLOOKUP($A63,'Budget &amp; Revenue'!$A:$V,20,FALSE)</f>
        <v>1</v>
      </c>
      <c r="L63" s="222">
        <f>VLOOKUP($A63,'Budget &amp; Revenue'!$A:$V,22,FALSE)</f>
        <v>1</v>
      </c>
    </row>
    <row r="64" spans="1:12" ht="75" x14ac:dyDescent="0.25">
      <c r="A64" s="220">
        <v>64</v>
      </c>
      <c r="B64" s="215" t="s">
        <v>1296</v>
      </c>
      <c r="C64" s="220">
        <f>VLOOKUP(A64,Estimate!A:L,12,FALSE)</f>
        <v>1</v>
      </c>
      <c r="D64" s="216">
        <v>63</v>
      </c>
      <c r="E64" s="216">
        <v>65</v>
      </c>
      <c r="F64" s="221">
        <f>IFERROR(VLOOKUP(A64,Estimate!A:Q,17,FALSE),0)</f>
        <v>1332.794623</v>
      </c>
      <c r="G64" s="222">
        <f>VLOOKUP($A64,'Budget &amp; Revenue'!$A:$V,12,FALSE)</f>
        <v>1</v>
      </c>
      <c r="H64" s="222">
        <f>VLOOKUP($A64,'Budget &amp; Revenue'!$A:$V,14,FALSE)</f>
        <v>1</v>
      </c>
      <c r="I64" s="222">
        <f>VLOOKUP($A64,'Budget &amp; Revenue'!$A:$V,16,FALSE)</f>
        <v>1</v>
      </c>
      <c r="J64" s="222">
        <f>VLOOKUP($A64,'Budget &amp; Revenue'!$A:$V,18,FALSE)</f>
        <v>1</v>
      </c>
      <c r="K64" s="222">
        <f>VLOOKUP($A64,'Budget &amp; Revenue'!$A:$V,20,FALSE)</f>
        <v>1</v>
      </c>
      <c r="L64" s="222">
        <f>VLOOKUP($A64,'Budget &amp; Revenue'!$A:$V,22,FALSE)</f>
        <v>1</v>
      </c>
    </row>
    <row r="65" spans="1:12" ht="45" x14ac:dyDescent="0.25">
      <c r="A65" s="220">
        <v>65</v>
      </c>
      <c r="B65" s="215" t="s">
        <v>236</v>
      </c>
      <c r="C65" s="220">
        <f>VLOOKUP(A65,Estimate!A:L,12,FALSE)</f>
        <v>1</v>
      </c>
      <c r="D65" s="216">
        <v>64</v>
      </c>
      <c r="E65" s="216">
        <v>66</v>
      </c>
      <c r="F65" s="221">
        <f>IFERROR(VLOOKUP(A65,Estimate!A:Q,17,FALSE),0)</f>
        <v>892.8</v>
      </c>
      <c r="G65" s="222">
        <f>VLOOKUP($A65,'Budget &amp; Revenue'!$A:$V,12,FALSE)</f>
        <v>0</v>
      </c>
      <c r="H65" s="222">
        <f>VLOOKUP($A65,'Budget &amp; Revenue'!$A:$V,14,FALSE)</f>
        <v>1</v>
      </c>
      <c r="I65" s="222">
        <f>VLOOKUP($A65,'Budget &amp; Revenue'!$A:$V,16,FALSE)</f>
        <v>1</v>
      </c>
      <c r="J65" s="222">
        <f>VLOOKUP($A65,'Budget &amp; Revenue'!$A:$V,18,FALSE)</f>
        <v>1</v>
      </c>
      <c r="K65" s="222">
        <f>VLOOKUP($A65,'Budget &amp; Revenue'!$A:$V,20,FALSE)</f>
        <v>1</v>
      </c>
      <c r="L65" s="222">
        <f>VLOOKUP($A65,'Budget &amp; Revenue'!$A:$V,22,FALSE)</f>
        <v>1</v>
      </c>
    </row>
    <row r="66" spans="1:12" ht="75" x14ac:dyDescent="0.25">
      <c r="A66" s="220">
        <v>66</v>
      </c>
      <c r="B66" s="215" t="s">
        <v>582</v>
      </c>
      <c r="C66" s="220">
        <f>VLOOKUP(A66,Estimate!A:L,12,FALSE)</f>
        <v>2</v>
      </c>
      <c r="D66" s="216">
        <v>65</v>
      </c>
      <c r="E66" s="216">
        <v>67</v>
      </c>
      <c r="F66" s="221">
        <f>IFERROR(VLOOKUP(A66,Estimate!A:Q,17,FALSE),0)</f>
        <v>1980.7849926016931</v>
      </c>
      <c r="G66" s="222">
        <f>VLOOKUP($A66,'Budget &amp; Revenue'!$A:$V,12,FALSE)</f>
        <v>1</v>
      </c>
      <c r="H66" s="222">
        <f>VLOOKUP($A66,'Budget &amp; Revenue'!$A:$V,14,FALSE)</f>
        <v>1</v>
      </c>
      <c r="I66" s="222">
        <f>VLOOKUP($A66,'Budget &amp; Revenue'!$A:$V,16,FALSE)</f>
        <v>1</v>
      </c>
      <c r="J66" s="222">
        <f>VLOOKUP($A66,'Budget &amp; Revenue'!$A:$V,18,FALSE)</f>
        <v>1</v>
      </c>
      <c r="K66" s="222">
        <f>VLOOKUP($A66,'Budget &amp; Revenue'!$A:$V,20,FALSE)</f>
        <v>1</v>
      </c>
      <c r="L66" s="222">
        <f>VLOOKUP($A66,'Budget &amp; Revenue'!$A:$V,22,FALSE)</f>
        <v>1</v>
      </c>
    </row>
    <row r="67" spans="1:12" ht="45" x14ac:dyDescent="0.25">
      <c r="A67" s="220">
        <v>67</v>
      </c>
      <c r="B67" s="215" t="s">
        <v>251</v>
      </c>
      <c r="C67" s="220">
        <f>VLOOKUP(A67,Estimate!A:L,12,FALSE)</f>
        <v>1</v>
      </c>
      <c r="D67" s="216">
        <v>66</v>
      </c>
      <c r="E67" s="216" t="s">
        <v>640</v>
      </c>
      <c r="F67" s="221">
        <f>IFERROR(VLOOKUP(A67,Estimate!A:Q,17,FALSE),0)</f>
        <v>947.8</v>
      </c>
      <c r="G67" s="222">
        <f>VLOOKUP($A67,'Budget &amp; Revenue'!$A:$V,12,FALSE)</f>
        <v>0</v>
      </c>
      <c r="H67" s="222">
        <f>VLOOKUP($A67,'Budget &amp; Revenue'!$A:$V,14,FALSE)</f>
        <v>1</v>
      </c>
      <c r="I67" s="222">
        <f>VLOOKUP($A67,'Budget &amp; Revenue'!$A:$V,16,FALSE)</f>
        <v>1</v>
      </c>
      <c r="J67" s="222">
        <f>VLOOKUP($A67,'Budget &amp; Revenue'!$A:$V,18,FALSE)</f>
        <v>1</v>
      </c>
      <c r="K67" s="222">
        <f>VLOOKUP($A67,'Budget &amp; Revenue'!$A:$V,20,FALSE)</f>
        <v>1</v>
      </c>
      <c r="L67" s="222">
        <f>VLOOKUP($A67,'Budget &amp; Revenue'!$A:$V,22,FALSE)</f>
        <v>1</v>
      </c>
    </row>
    <row r="68" spans="1:12" ht="45" x14ac:dyDescent="0.25">
      <c r="A68" s="220">
        <v>68</v>
      </c>
      <c r="B68" s="215" t="s">
        <v>253</v>
      </c>
      <c r="C68" s="220">
        <f>VLOOKUP(A68,Estimate!A:L,12,FALSE)</f>
        <v>1</v>
      </c>
      <c r="D68" s="216" t="s">
        <v>664</v>
      </c>
      <c r="E68" s="216">
        <v>69</v>
      </c>
      <c r="F68" s="221">
        <f>IFERROR(VLOOKUP(A68,Estimate!A:Q,17,FALSE),0)</f>
        <v>1658.0838323353291</v>
      </c>
      <c r="G68" s="222">
        <f>VLOOKUP($A68,'Budget &amp; Revenue'!$A:$V,12,FALSE)</f>
        <v>0</v>
      </c>
      <c r="H68" s="222">
        <f>VLOOKUP($A68,'Budget &amp; Revenue'!$A:$V,14,FALSE)</f>
        <v>1</v>
      </c>
      <c r="I68" s="222">
        <f>VLOOKUP($A68,'Budget &amp; Revenue'!$A:$V,16,FALSE)</f>
        <v>1</v>
      </c>
      <c r="J68" s="222">
        <f>VLOOKUP($A68,'Budget &amp; Revenue'!$A:$V,18,FALSE)</f>
        <v>1</v>
      </c>
      <c r="K68" s="222">
        <f>VLOOKUP($A68,'Budget &amp; Revenue'!$A:$V,20,FALSE)</f>
        <v>1</v>
      </c>
      <c r="L68" s="222">
        <f>VLOOKUP($A68,'Budget &amp; Revenue'!$A:$V,22,FALSE)</f>
        <v>1</v>
      </c>
    </row>
    <row r="69" spans="1:12" ht="60" x14ac:dyDescent="0.25">
      <c r="A69" s="220">
        <v>69</v>
      </c>
      <c r="B69" s="215" t="s">
        <v>255</v>
      </c>
      <c r="C69" s="220">
        <f>VLOOKUP(A69,Estimate!A:L,12,FALSE)</f>
        <v>1</v>
      </c>
      <c r="D69" s="216">
        <v>68</v>
      </c>
      <c r="E69" s="216">
        <v>70</v>
      </c>
      <c r="F69" s="221">
        <f>IFERROR(VLOOKUP(A69,Estimate!A:Q,17,FALSE),0)</f>
        <v>2322.6</v>
      </c>
      <c r="G69" s="222">
        <f>VLOOKUP($A69,'Budget &amp; Revenue'!$A:$V,12,FALSE)</f>
        <v>0</v>
      </c>
      <c r="H69" s="222">
        <f>VLOOKUP($A69,'Budget &amp; Revenue'!$A:$V,14,FALSE)</f>
        <v>0</v>
      </c>
      <c r="I69" s="222">
        <f>VLOOKUP($A69,'Budget &amp; Revenue'!$A:$V,16,FALSE)</f>
        <v>0</v>
      </c>
      <c r="J69" s="222">
        <f>VLOOKUP($A69,'Budget &amp; Revenue'!$A:$V,18,FALSE)</f>
        <v>0</v>
      </c>
      <c r="K69" s="222">
        <f>VLOOKUP($A69,'Budget &amp; Revenue'!$A:$V,20,FALSE)</f>
        <v>0</v>
      </c>
      <c r="L69" s="222">
        <f>VLOOKUP($A69,'Budget &amp; Revenue'!$A:$V,22,FALSE)</f>
        <v>0</v>
      </c>
    </row>
    <row r="70" spans="1:12" ht="30" x14ac:dyDescent="0.25">
      <c r="A70" s="220">
        <v>70</v>
      </c>
      <c r="B70" s="215" t="s">
        <v>257</v>
      </c>
      <c r="C70" s="220">
        <f>VLOOKUP(A70,Estimate!A:L,12,FALSE)</f>
        <v>1</v>
      </c>
      <c r="D70" s="216">
        <v>69</v>
      </c>
      <c r="E70" s="216">
        <v>4</v>
      </c>
      <c r="F70" s="221">
        <f>IFERROR(VLOOKUP(A70,Estimate!A:Q,17,FALSE),0)</f>
        <v>4666.8500000000004</v>
      </c>
      <c r="G70" s="222">
        <f>VLOOKUP($A70,'Budget &amp; Revenue'!$A:$V,12,FALSE)</f>
        <v>0</v>
      </c>
      <c r="H70" s="222">
        <f>VLOOKUP($A70,'Budget &amp; Revenue'!$A:$V,14,FALSE)</f>
        <v>0</v>
      </c>
      <c r="I70" s="222">
        <f>VLOOKUP($A70,'Budget &amp; Revenue'!$A:$V,16,FALSE)</f>
        <v>0</v>
      </c>
      <c r="J70" s="222">
        <f>VLOOKUP($A70,'Budget &amp; Revenue'!$A:$V,18,FALSE)</f>
        <v>0</v>
      </c>
      <c r="K70" s="222">
        <f>VLOOKUP($A70,'Budget &amp; Revenue'!$A:$V,20,FALSE)</f>
        <v>0</v>
      </c>
      <c r="L70" s="222">
        <f>VLOOKUP($A70,'Budget &amp; Revenue'!$A:$V,22,FALSE)</f>
        <v>0</v>
      </c>
    </row>
    <row r="71" spans="1:12" ht="75" x14ac:dyDescent="0.25">
      <c r="A71" s="220">
        <v>71</v>
      </c>
      <c r="B71" s="215" t="s">
        <v>620</v>
      </c>
      <c r="C71" s="220">
        <f>VLOOKUP(A71,Estimate!A:L,12,FALSE)</f>
        <v>13</v>
      </c>
      <c r="D71" s="216">
        <v>5</v>
      </c>
      <c r="E71" s="216">
        <v>72</v>
      </c>
      <c r="F71" s="221">
        <f>IFERROR(VLOOKUP(A71,Estimate!A:Q,17,FALSE),0)</f>
        <v>28325.046910652924</v>
      </c>
      <c r="G71" s="222">
        <f>VLOOKUP($A71,'Budget &amp; Revenue'!$A:$V,12,FALSE)</f>
        <v>0</v>
      </c>
      <c r="H71" s="222">
        <f>VLOOKUP($A71,'Budget &amp; Revenue'!$A:$V,14,FALSE)</f>
        <v>0.8</v>
      </c>
      <c r="I71" s="222">
        <f>VLOOKUP($A71,'Budget &amp; Revenue'!$A:$V,16,FALSE)</f>
        <v>0.8</v>
      </c>
      <c r="J71" s="222">
        <f>VLOOKUP($A71,'Budget &amp; Revenue'!$A:$V,18,FALSE)</f>
        <v>0.8</v>
      </c>
      <c r="K71" s="222">
        <f>VLOOKUP($A71,'Budget &amp; Revenue'!$A:$V,20,FALSE)</f>
        <v>1</v>
      </c>
      <c r="L71" s="222">
        <f>VLOOKUP($A71,'Budget &amp; Revenue'!$A:$V,22,FALSE)</f>
        <v>1</v>
      </c>
    </row>
    <row r="72" spans="1:12" x14ac:dyDescent="0.25">
      <c r="A72" s="220">
        <v>72</v>
      </c>
      <c r="B72" s="215" t="s">
        <v>34</v>
      </c>
      <c r="C72" s="220">
        <f>VLOOKUP(A72,Estimate!A:L,12,FALSE)</f>
        <v>4</v>
      </c>
      <c r="D72" s="216" t="s">
        <v>641</v>
      </c>
      <c r="E72" s="216">
        <v>74</v>
      </c>
      <c r="F72" s="221">
        <f>IFERROR(VLOOKUP(A72,Estimate!A:Q,17,FALSE),0)</f>
        <v>5180</v>
      </c>
      <c r="G72" s="222">
        <f>VLOOKUP($A72,'Budget &amp; Revenue'!$A:$V,12,FALSE)</f>
        <v>0</v>
      </c>
      <c r="H72" s="222">
        <f>VLOOKUP($A72,'Budget &amp; Revenue'!$A:$V,14,FALSE)</f>
        <v>1</v>
      </c>
      <c r="I72" s="222">
        <f>VLOOKUP($A72,'Budget &amp; Revenue'!$A:$V,16,FALSE)</f>
        <v>1</v>
      </c>
      <c r="J72" s="222">
        <f>VLOOKUP($A72,'Budget &amp; Revenue'!$A:$V,18,FALSE)</f>
        <v>1</v>
      </c>
      <c r="K72" s="222">
        <f>VLOOKUP($A72,'Budget &amp; Revenue'!$A:$V,20,FALSE)</f>
        <v>1</v>
      </c>
      <c r="L72" s="222">
        <f>VLOOKUP($A72,'Budget &amp; Revenue'!$A:$V,22,FALSE)</f>
        <v>1</v>
      </c>
    </row>
    <row r="73" spans="1:12" ht="45" x14ac:dyDescent="0.25">
      <c r="A73" s="220">
        <v>73</v>
      </c>
      <c r="B73" s="215" t="s">
        <v>39</v>
      </c>
      <c r="C73" s="220">
        <f>VLOOKUP(A73,Estimate!A:L,12,FALSE)</f>
        <v>1</v>
      </c>
      <c r="D73" s="216" t="s">
        <v>642</v>
      </c>
      <c r="E73" s="216">
        <v>72</v>
      </c>
      <c r="F73" s="221">
        <f>IFERROR(VLOOKUP(A73,Estimate!A:Q,17,FALSE),0)</f>
        <v>2800</v>
      </c>
      <c r="G73" s="222">
        <f>VLOOKUP($A73,'Budget &amp; Revenue'!$A:$V,12,FALSE)</f>
        <v>0</v>
      </c>
      <c r="H73" s="222">
        <f>VLOOKUP($A73,'Budget &amp; Revenue'!$A:$V,14,FALSE)</f>
        <v>1</v>
      </c>
      <c r="I73" s="222">
        <f>VLOOKUP($A73,'Budget &amp; Revenue'!$A:$V,16,FALSE)</f>
        <v>1</v>
      </c>
      <c r="J73" s="222">
        <f>VLOOKUP($A73,'Budget &amp; Revenue'!$A:$V,18,FALSE)</f>
        <v>1</v>
      </c>
      <c r="K73" s="222">
        <f>VLOOKUP($A73,'Budget &amp; Revenue'!$A:$V,20,FALSE)</f>
        <v>1</v>
      </c>
      <c r="L73" s="222">
        <f>VLOOKUP($A73,'Budget &amp; Revenue'!$A:$V,22,FALSE)</f>
        <v>1</v>
      </c>
    </row>
    <row r="74" spans="1:12" ht="45" x14ac:dyDescent="0.25">
      <c r="A74" s="220">
        <v>74</v>
      </c>
      <c r="B74" s="215" t="s">
        <v>42</v>
      </c>
      <c r="C74" s="220">
        <f>VLOOKUP(A74,Estimate!A:L,12,FALSE)</f>
        <v>1</v>
      </c>
      <c r="D74" s="216" t="s">
        <v>643</v>
      </c>
      <c r="E74" s="216">
        <v>81</v>
      </c>
      <c r="F74" s="221">
        <f>IFERROR(VLOOKUP(A74,Estimate!A:Q,17,FALSE),0)</f>
        <v>3200</v>
      </c>
      <c r="G74" s="222">
        <f>VLOOKUP($A74,'Budget &amp; Revenue'!$A:$V,12,FALSE)</f>
        <v>0</v>
      </c>
      <c r="H74" s="222">
        <f>VLOOKUP($A74,'Budget &amp; Revenue'!$A:$V,14,FALSE)</f>
        <v>1</v>
      </c>
      <c r="I74" s="222">
        <f>VLOOKUP($A74,'Budget &amp; Revenue'!$A:$V,16,FALSE)</f>
        <v>1</v>
      </c>
      <c r="J74" s="222">
        <f>VLOOKUP($A74,'Budget &amp; Revenue'!$A:$V,18,FALSE)</f>
        <v>1</v>
      </c>
      <c r="K74" s="222">
        <f>VLOOKUP($A74,'Budget &amp; Revenue'!$A:$V,20,FALSE)</f>
        <v>1</v>
      </c>
      <c r="L74" s="222">
        <f>VLOOKUP($A74,'Budget &amp; Revenue'!$A:$V,22,FALSE)</f>
        <v>1</v>
      </c>
    </row>
    <row r="75" spans="1:12" ht="30" x14ac:dyDescent="0.25">
      <c r="A75" s="220">
        <v>75</v>
      </c>
      <c r="B75" s="215" t="s">
        <v>46</v>
      </c>
      <c r="C75" s="220">
        <f>VLOOKUP(A75,Estimate!A:L,12,FALSE)</f>
        <v>2</v>
      </c>
      <c r="D75" s="217">
        <v>3108</v>
      </c>
      <c r="E75" s="216">
        <v>4</v>
      </c>
      <c r="F75" s="221">
        <f>IFERROR(VLOOKUP(A75,Estimate!A:Q,17,FALSE),0)</f>
        <v>5920</v>
      </c>
      <c r="G75" s="222">
        <f>VLOOKUP($A75,'Budget &amp; Revenue'!$A:$V,12,FALSE)</f>
        <v>0</v>
      </c>
      <c r="H75" s="222">
        <f>VLOOKUP($A75,'Budget &amp; Revenue'!$A:$V,14,FALSE)</f>
        <v>0</v>
      </c>
      <c r="I75" s="222">
        <f>VLOOKUP($A75,'Budget &amp; Revenue'!$A:$V,16,FALSE)</f>
        <v>0</v>
      </c>
      <c r="J75" s="222">
        <f>VLOOKUP($A75,'Budget &amp; Revenue'!$A:$V,18,FALSE)</f>
        <v>0</v>
      </c>
      <c r="K75" s="222">
        <f>VLOOKUP($A75,'Budget &amp; Revenue'!$A:$V,20,FALSE)</f>
        <v>0</v>
      </c>
      <c r="L75" s="222">
        <f>VLOOKUP($A75,'Budget &amp; Revenue'!$A:$V,22,FALSE)</f>
        <v>0</v>
      </c>
    </row>
    <row r="76" spans="1:12" ht="45" x14ac:dyDescent="0.25">
      <c r="A76" s="220">
        <v>76</v>
      </c>
      <c r="B76" s="215" t="s">
        <v>585</v>
      </c>
      <c r="C76" s="220">
        <f>VLOOKUP(A76,Estimate!A:L,12,FALSE)</f>
        <v>0</v>
      </c>
      <c r="D76" s="216" t="s">
        <v>644</v>
      </c>
      <c r="E76" s="216">
        <v>90</v>
      </c>
      <c r="F76" s="221">
        <f>IFERROR(VLOOKUP(A76,Estimate!A:Q,17,FALSE),0)</f>
        <v>846.66666666666663</v>
      </c>
      <c r="G76" s="222">
        <f>VLOOKUP($A76,'Budget &amp; Revenue'!$A:$V,12,FALSE)</f>
        <v>0</v>
      </c>
      <c r="H76" s="222">
        <f>VLOOKUP($A76,'Budget &amp; Revenue'!$A:$V,14,FALSE)</f>
        <v>1</v>
      </c>
      <c r="I76" s="222">
        <f>VLOOKUP($A76,'Budget &amp; Revenue'!$A:$V,16,FALSE)</f>
        <v>1</v>
      </c>
      <c r="J76" s="222">
        <f>VLOOKUP($A76,'Budget &amp; Revenue'!$A:$V,18,FALSE)</f>
        <v>1</v>
      </c>
      <c r="K76" s="222">
        <f>VLOOKUP($A76,'Budget &amp; Revenue'!$A:$V,20,FALSE)</f>
        <v>1</v>
      </c>
      <c r="L76" s="222">
        <f>VLOOKUP($A76,'Budget &amp; Revenue'!$A:$V,22,FALSE)</f>
        <v>1</v>
      </c>
    </row>
    <row r="77" spans="1:12" ht="30" x14ac:dyDescent="0.25">
      <c r="A77" s="220">
        <v>77</v>
      </c>
      <c r="B77" s="215" t="s">
        <v>275</v>
      </c>
      <c r="C77" s="220">
        <f>VLOOKUP(A77,Estimate!A:L,12,FALSE)</f>
        <v>0</v>
      </c>
      <c r="D77" s="216">
        <v>92</v>
      </c>
      <c r="E77" s="216">
        <v>88</v>
      </c>
      <c r="F77" s="221">
        <f>IFERROR(VLOOKUP(A77,Estimate!A:Q,17,FALSE),0)</f>
        <v>846.66666666666663</v>
      </c>
      <c r="G77" s="222">
        <f>VLOOKUP($A77,'Budget &amp; Revenue'!$A:$V,12,FALSE)</f>
        <v>0</v>
      </c>
      <c r="H77" s="222">
        <f>VLOOKUP($A77,'Budget &amp; Revenue'!$A:$V,14,FALSE)</f>
        <v>1</v>
      </c>
      <c r="I77" s="222">
        <f>VLOOKUP($A77,'Budget &amp; Revenue'!$A:$V,16,FALSE)</f>
        <v>1</v>
      </c>
      <c r="J77" s="222">
        <f>VLOOKUP($A77,'Budget &amp; Revenue'!$A:$V,18,FALSE)</f>
        <v>1</v>
      </c>
      <c r="K77" s="222">
        <f>VLOOKUP($A77,'Budget &amp; Revenue'!$A:$V,20,FALSE)</f>
        <v>1</v>
      </c>
      <c r="L77" s="222">
        <f>VLOOKUP($A77,'Budget &amp; Revenue'!$A:$V,22,FALSE)</f>
        <v>1</v>
      </c>
    </row>
    <row r="78" spans="1:12" x14ac:dyDescent="0.25">
      <c r="A78" s="220">
        <v>78</v>
      </c>
      <c r="B78" s="215" t="s">
        <v>60</v>
      </c>
      <c r="C78" s="220">
        <f>VLOOKUP(A78,Estimate!A:L,12,FALSE)</f>
        <v>0</v>
      </c>
      <c r="D78" s="216" t="s">
        <v>645</v>
      </c>
      <c r="E78" s="216">
        <v>95</v>
      </c>
      <c r="F78" s="221">
        <f>IFERROR(VLOOKUP(A78,Estimate!A:Q,17,FALSE),0)</f>
        <v>423.33333333333331</v>
      </c>
      <c r="G78" s="222">
        <f>VLOOKUP($A78,'Budget &amp; Revenue'!$A:$V,12,FALSE)</f>
        <v>0</v>
      </c>
      <c r="H78" s="222">
        <f>VLOOKUP($A78,'Budget &amp; Revenue'!$A:$V,14,FALSE)</f>
        <v>0</v>
      </c>
      <c r="I78" s="222">
        <f>VLOOKUP($A78,'Budget &amp; Revenue'!$A:$V,16,FALSE)</f>
        <v>0</v>
      </c>
      <c r="J78" s="222">
        <f>VLOOKUP($A78,'Budget &amp; Revenue'!$A:$V,18,FALSE)</f>
        <v>1</v>
      </c>
      <c r="K78" s="222">
        <f>VLOOKUP($A78,'Budget &amp; Revenue'!$A:$V,20,FALSE)</f>
        <v>1</v>
      </c>
      <c r="L78" s="222">
        <f>VLOOKUP($A78,'Budget &amp; Revenue'!$A:$V,22,FALSE)</f>
        <v>1</v>
      </c>
    </row>
    <row r="79" spans="1:12" ht="45" x14ac:dyDescent="0.25">
      <c r="A79" s="220">
        <v>79</v>
      </c>
      <c r="B79" s="215" t="s">
        <v>278</v>
      </c>
      <c r="C79" s="220">
        <f>VLOOKUP(A79,Estimate!A:L,12,FALSE)</f>
        <v>0</v>
      </c>
      <c r="D79" s="216">
        <v>5</v>
      </c>
      <c r="E79" s="216">
        <v>90</v>
      </c>
      <c r="F79" s="221">
        <f>IFERROR(VLOOKUP(A79,Estimate!A:Q,17,FALSE),0)</f>
        <v>1290</v>
      </c>
      <c r="G79" s="222">
        <f>VLOOKUP($A79,'Budget &amp; Revenue'!$A:$V,12,FALSE)</f>
        <v>0</v>
      </c>
      <c r="H79" s="222">
        <f>VLOOKUP($A79,'Budget &amp; Revenue'!$A:$V,14,FALSE)</f>
        <v>1</v>
      </c>
      <c r="I79" s="222">
        <f>VLOOKUP($A79,'Budget &amp; Revenue'!$A:$V,16,FALSE)</f>
        <v>1</v>
      </c>
      <c r="J79" s="222">
        <f>VLOOKUP($A79,'Budget &amp; Revenue'!$A:$V,18,FALSE)</f>
        <v>1</v>
      </c>
      <c r="K79" s="222">
        <f>VLOOKUP($A79,'Budget &amp; Revenue'!$A:$V,20,FALSE)</f>
        <v>1</v>
      </c>
      <c r="L79" s="222">
        <f>VLOOKUP($A79,'Budget &amp; Revenue'!$A:$V,22,FALSE)</f>
        <v>1</v>
      </c>
    </row>
    <row r="80" spans="1:12" ht="45" x14ac:dyDescent="0.25">
      <c r="A80" s="220">
        <v>80</v>
      </c>
      <c r="B80" s="215" t="s">
        <v>280</v>
      </c>
      <c r="C80" s="220">
        <f>VLOOKUP(A80,Estimate!A:L,12,FALSE)</f>
        <v>0</v>
      </c>
      <c r="D80" s="216">
        <v>5</v>
      </c>
      <c r="E80" s="216">
        <v>88</v>
      </c>
      <c r="F80" s="221">
        <f>IFERROR(VLOOKUP(A80,Estimate!A:Q,17,FALSE),0)</f>
        <v>1290</v>
      </c>
      <c r="G80" s="222">
        <f>VLOOKUP($A80,'Budget &amp; Revenue'!$A:$V,12,FALSE)</f>
        <v>0</v>
      </c>
      <c r="H80" s="222">
        <f>VLOOKUP($A80,'Budget &amp; Revenue'!$A:$V,14,FALSE)</f>
        <v>1</v>
      </c>
      <c r="I80" s="222">
        <f>VLOOKUP($A80,'Budget &amp; Revenue'!$A:$V,16,FALSE)</f>
        <v>1</v>
      </c>
      <c r="J80" s="222">
        <f>VLOOKUP($A80,'Budget &amp; Revenue'!$A:$V,18,FALSE)</f>
        <v>1</v>
      </c>
      <c r="K80" s="222">
        <f>VLOOKUP($A80,'Budget &amp; Revenue'!$A:$V,20,FALSE)</f>
        <v>1</v>
      </c>
      <c r="L80" s="222">
        <f>VLOOKUP($A80,'Budget &amp; Revenue'!$A:$V,22,FALSE)</f>
        <v>1</v>
      </c>
    </row>
    <row r="81" spans="1:12" ht="45" x14ac:dyDescent="0.25">
      <c r="A81" s="220">
        <v>81</v>
      </c>
      <c r="B81" s="215" t="s">
        <v>282</v>
      </c>
      <c r="C81" s="220">
        <f>VLOOKUP(A81,Estimate!A:L,12,FALSE)</f>
        <v>2</v>
      </c>
      <c r="D81" s="216">
        <v>74</v>
      </c>
      <c r="E81" s="216">
        <v>82</v>
      </c>
      <c r="F81" s="221">
        <f>IFERROR(VLOOKUP(A81,Estimate!A:Q,17,FALSE),0)</f>
        <v>5321.3963963963961</v>
      </c>
      <c r="G81" s="222">
        <f>VLOOKUP($A81,'Budget &amp; Revenue'!$A:$V,12,FALSE)</f>
        <v>0</v>
      </c>
      <c r="H81" s="222">
        <f>VLOOKUP($A81,'Budget &amp; Revenue'!$A:$V,14,FALSE)</f>
        <v>1</v>
      </c>
      <c r="I81" s="222">
        <f>VLOOKUP($A81,'Budget &amp; Revenue'!$A:$V,16,FALSE)</f>
        <v>1</v>
      </c>
      <c r="J81" s="222">
        <f>VLOOKUP($A81,'Budget &amp; Revenue'!$A:$V,18,FALSE)</f>
        <v>1</v>
      </c>
      <c r="K81" s="222">
        <f>VLOOKUP($A81,'Budget &amp; Revenue'!$A:$V,20,FALSE)</f>
        <v>1</v>
      </c>
      <c r="L81" s="222">
        <f>VLOOKUP($A81,'Budget &amp; Revenue'!$A:$V,22,FALSE)</f>
        <v>1</v>
      </c>
    </row>
    <row r="82" spans="1:12" ht="60" x14ac:dyDescent="0.25">
      <c r="A82" s="220">
        <v>82</v>
      </c>
      <c r="B82" s="215" t="s">
        <v>604</v>
      </c>
      <c r="C82" s="220">
        <f>VLOOKUP(A82,Estimate!A:L,12,FALSE)</f>
        <v>2</v>
      </c>
      <c r="D82" s="216">
        <v>81</v>
      </c>
      <c r="E82" s="216">
        <v>83</v>
      </c>
      <c r="F82" s="221">
        <f>IFERROR(VLOOKUP(A82,Estimate!A:Q,17,FALSE),0)</f>
        <v>4967.1131058393285</v>
      </c>
      <c r="G82" s="222">
        <f>VLOOKUP($A82,'Budget &amp; Revenue'!$A:$V,12,FALSE)</f>
        <v>0</v>
      </c>
      <c r="H82" s="222">
        <f>VLOOKUP($A82,'Budget &amp; Revenue'!$A:$V,14,FALSE)</f>
        <v>1</v>
      </c>
      <c r="I82" s="222">
        <f>VLOOKUP($A82,'Budget &amp; Revenue'!$A:$V,16,FALSE)</f>
        <v>1</v>
      </c>
      <c r="J82" s="222">
        <f>VLOOKUP($A82,'Budget &amp; Revenue'!$A:$V,18,FALSE)</f>
        <v>1</v>
      </c>
      <c r="K82" s="222">
        <f>VLOOKUP($A82,'Budget &amp; Revenue'!$A:$V,20,FALSE)</f>
        <v>1</v>
      </c>
      <c r="L82" s="222">
        <f>VLOOKUP($A82,'Budget &amp; Revenue'!$A:$V,22,FALSE)</f>
        <v>1</v>
      </c>
    </row>
    <row r="83" spans="1:12" ht="45" x14ac:dyDescent="0.25">
      <c r="A83" s="220">
        <v>83</v>
      </c>
      <c r="B83" s="215" t="s">
        <v>80</v>
      </c>
      <c r="C83" s="220">
        <f>VLOOKUP(A83,Estimate!A:L,12,FALSE)</f>
        <v>1</v>
      </c>
      <c r="D83" s="216">
        <v>82</v>
      </c>
      <c r="E83" s="216" t="s">
        <v>646</v>
      </c>
      <c r="F83" s="221">
        <f>IFERROR(VLOOKUP(A83,Estimate!A:Q,17,FALSE),0)</f>
        <v>3143.5</v>
      </c>
      <c r="G83" s="222">
        <f>VLOOKUP($A83,'Budget &amp; Revenue'!$A:$V,12,FALSE)</f>
        <v>0</v>
      </c>
      <c r="H83" s="222">
        <f>VLOOKUP($A83,'Budget &amp; Revenue'!$A:$V,14,FALSE)</f>
        <v>1</v>
      </c>
      <c r="I83" s="222">
        <f>VLOOKUP($A83,'Budget &amp; Revenue'!$A:$V,16,FALSE)</f>
        <v>0</v>
      </c>
      <c r="J83" s="222">
        <f>VLOOKUP($A83,'Budget &amp; Revenue'!$A:$V,18,FALSE)</f>
        <v>0</v>
      </c>
      <c r="K83" s="222">
        <f>VLOOKUP($A83,'Budget &amp; Revenue'!$A:$V,20,FALSE)</f>
        <v>0</v>
      </c>
      <c r="L83" s="222">
        <f>VLOOKUP($A83,'Budget &amp; Revenue'!$A:$V,22,FALSE)</f>
        <v>0</v>
      </c>
    </row>
    <row r="84" spans="1:12" ht="90" x14ac:dyDescent="0.25">
      <c r="A84" s="220">
        <v>84</v>
      </c>
      <c r="B84" s="215" t="s">
        <v>587</v>
      </c>
      <c r="C84" s="220">
        <f>VLOOKUP(A84,Estimate!A:L,12,FALSE)</f>
        <v>1</v>
      </c>
      <c r="D84" s="216" t="s">
        <v>647</v>
      </c>
      <c r="E84" s="216">
        <v>85</v>
      </c>
      <c r="F84" s="221">
        <f>IFERROR(VLOOKUP(A84,Estimate!A:Q,17,FALSE),0)</f>
        <v>1843.905</v>
      </c>
      <c r="G84" s="222">
        <f>VLOOKUP($A84,'Budget &amp; Revenue'!$A:$V,12,FALSE)</f>
        <v>0</v>
      </c>
      <c r="H84" s="222">
        <f>VLOOKUP($A84,'Budget &amp; Revenue'!$A:$V,14,FALSE)</f>
        <v>1</v>
      </c>
      <c r="I84" s="222">
        <f>VLOOKUP($A84,'Budget &amp; Revenue'!$A:$V,16,FALSE)</f>
        <v>1</v>
      </c>
      <c r="J84" s="222">
        <f>VLOOKUP($A84,'Budget &amp; Revenue'!$A:$V,18,FALSE)</f>
        <v>1</v>
      </c>
      <c r="K84" s="222">
        <f>VLOOKUP($A84,'Budget &amp; Revenue'!$A:$V,20,FALSE)</f>
        <v>1</v>
      </c>
      <c r="L84" s="222">
        <f>VLOOKUP($A84,'Budget &amp; Revenue'!$A:$V,22,FALSE)</f>
        <v>1</v>
      </c>
    </row>
    <row r="85" spans="1:12" ht="90" x14ac:dyDescent="0.25">
      <c r="A85" s="220">
        <v>85</v>
      </c>
      <c r="B85" s="215" t="s">
        <v>1297</v>
      </c>
      <c r="C85" s="220">
        <f>VLOOKUP(A85,Estimate!A:L,12,FALSE)</f>
        <v>1</v>
      </c>
      <c r="D85" s="216">
        <v>84</v>
      </c>
      <c r="E85" s="216" t="s">
        <v>648</v>
      </c>
      <c r="F85" s="221">
        <f>IFERROR(VLOOKUP(A85,Estimate!A:Q,17,FALSE),0)</f>
        <v>1680.0023333333336</v>
      </c>
      <c r="G85" s="222">
        <f>VLOOKUP($A85,'Budget &amp; Revenue'!$A:$V,12,FALSE)</f>
        <v>0</v>
      </c>
      <c r="H85" s="222">
        <f>VLOOKUP($A85,'Budget &amp; Revenue'!$A:$V,14,FALSE)</f>
        <v>1</v>
      </c>
      <c r="I85" s="222">
        <f>VLOOKUP($A85,'Budget &amp; Revenue'!$A:$V,16,FALSE)</f>
        <v>1</v>
      </c>
      <c r="J85" s="222">
        <f>VLOOKUP($A85,'Budget &amp; Revenue'!$A:$V,18,FALSE)</f>
        <v>1</v>
      </c>
      <c r="K85" s="222">
        <f>VLOOKUP($A85,'Budget &amp; Revenue'!$A:$V,20,FALSE)</f>
        <v>1</v>
      </c>
      <c r="L85" s="222">
        <f>VLOOKUP($A85,'Budget &amp; Revenue'!$A:$V,22,FALSE)</f>
        <v>1</v>
      </c>
    </row>
    <row r="86" spans="1:12" ht="60" x14ac:dyDescent="0.25">
      <c r="A86" s="220">
        <v>86</v>
      </c>
      <c r="B86" s="215" t="s">
        <v>588</v>
      </c>
      <c r="C86" s="220">
        <f>VLOOKUP(A86,Estimate!A:L,12,FALSE)</f>
        <v>1</v>
      </c>
      <c r="D86" s="216">
        <v>91</v>
      </c>
      <c r="E86" s="216">
        <v>87</v>
      </c>
      <c r="F86" s="221">
        <f>IFERROR(VLOOKUP(A86,Estimate!A:Q,17,FALSE),0)</f>
        <v>925.43357575757568</v>
      </c>
      <c r="G86" s="222">
        <f>VLOOKUP($A86,'Budget &amp; Revenue'!$A:$V,12,FALSE)</f>
        <v>0</v>
      </c>
      <c r="H86" s="222">
        <f>VLOOKUP($A86,'Budget &amp; Revenue'!$A:$V,14,FALSE)</f>
        <v>0</v>
      </c>
      <c r="I86" s="222">
        <f>VLOOKUP($A86,'Budget &amp; Revenue'!$A:$V,16,FALSE)</f>
        <v>1</v>
      </c>
      <c r="J86" s="222">
        <f>VLOOKUP($A86,'Budget &amp; Revenue'!$A:$V,18,FALSE)</f>
        <v>1</v>
      </c>
      <c r="K86" s="222">
        <f>VLOOKUP($A86,'Budget &amp; Revenue'!$A:$V,20,FALSE)</f>
        <v>1</v>
      </c>
      <c r="L86" s="222">
        <f>VLOOKUP($A86,'Budget &amp; Revenue'!$A:$V,22,FALSE)</f>
        <v>1</v>
      </c>
    </row>
    <row r="87" spans="1:12" ht="60" x14ac:dyDescent="0.25">
      <c r="A87" s="220">
        <v>87</v>
      </c>
      <c r="B87" s="215" t="s">
        <v>617</v>
      </c>
      <c r="C87" s="220">
        <f>VLOOKUP(A87,Estimate!A:L,12,FALSE)</f>
        <v>1</v>
      </c>
      <c r="D87" s="216">
        <v>86</v>
      </c>
      <c r="E87" s="216">
        <v>78</v>
      </c>
      <c r="F87" s="221">
        <f>IFERROR(VLOOKUP(A87,Estimate!A:Q,17,FALSE),0)</f>
        <v>878.84424242424234</v>
      </c>
      <c r="G87" s="222">
        <f>VLOOKUP($A87,'Budget &amp; Revenue'!$A:$V,12,FALSE)</f>
        <v>0</v>
      </c>
      <c r="H87" s="222">
        <f>VLOOKUP($A87,'Budget &amp; Revenue'!$A:$V,14,FALSE)</f>
        <v>0</v>
      </c>
      <c r="I87" s="222">
        <f>VLOOKUP($A87,'Budget &amp; Revenue'!$A:$V,16,FALSE)</f>
        <v>1</v>
      </c>
      <c r="J87" s="222">
        <f>VLOOKUP($A87,'Budget &amp; Revenue'!$A:$V,18,FALSE)</f>
        <v>1</v>
      </c>
      <c r="K87" s="222">
        <f>VLOOKUP($A87,'Budget &amp; Revenue'!$A:$V,20,FALSE)</f>
        <v>1</v>
      </c>
      <c r="L87" s="222">
        <f>VLOOKUP($A87,'Budget &amp; Revenue'!$A:$V,22,FALSE)</f>
        <v>1</v>
      </c>
    </row>
    <row r="88" spans="1:12" ht="75" x14ac:dyDescent="0.25">
      <c r="A88" s="220">
        <v>88</v>
      </c>
      <c r="B88" s="215" t="s">
        <v>589</v>
      </c>
      <c r="C88" s="220">
        <f>VLOOKUP(A88,Estimate!A:L,12,FALSE)</f>
        <v>1</v>
      </c>
      <c r="D88" s="216" t="s">
        <v>649</v>
      </c>
      <c r="E88" s="216">
        <v>91</v>
      </c>
      <c r="F88" s="221">
        <f>IFERROR(VLOOKUP(A88,Estimate!A:Q,17,FALSE),0)</f>
        <v>7478.2426181619103</v>
      </c>
      <c r="G88" s="222">
        <f>VLOOKUP($A88,'Budget &amp; Revenue'!$A:$V,12,FALSE)</f>
        <v>0</v>
      </c>
      <c r="H88" s="222">
        <f>VLOOKUP($A88,'Budget &amp; Revenue'!$A:$V,14,FALSE)</f>
        <v>1</v>
      </c>
      <c r="I88" s="222">
        <f>VLOOKUP($A88,'Budget &amp; Revenue'!$A:$V,16,FALSE)</f>
        <v>1</v>
      </c>
      <c r="J88" s="222">
        <f>VLOOKUP($A88,'Budget &amp; Revenue'!$A:$V,18,FALSE)</f>
        <v>1</v>
      </c>
      <c r="K88" s="222">
        <f>VLOOKUP($A88,'Budget &amp; Revenue'!$A:$V,20,FALSE)</f>
        <v>1</v>
      </c>
      <c r="L88" s="222">
        <f>VLOOKUP($A88,'Budget &amp; Revenue'!$A:$V,22,FALSE)</f>
        <v>1</v>
      </c>
    </row>
    <row r="89" spans="1:12" ht="75" x14ac:dyDescent="0.25">
      <c r="A89" s="220">
        <v>89</v>
      </c>
      <c r="B89" s="215" t="s">
        <v>590</v>
      </c>
      <c r="C89" s="220">
        <f>VLOOKUP(A89,Estimate!A:L,12,FALSE)</f>
        <v>1</v>
      </c>
      <c r="D89" s="216">
        <v>93</v>
      </c>
      <c r="E89" s="216">
        <v>92</v>
      </c>
      <c r="F89" s="221">
        <f>IFERROR(VLOOKUP(A89,Estimate!A:Q,17,FALSE),0)</f>
        <v>11116.715502047493</v>
      </c>
      <c r="G89" s="222">
        <f>VLOOKUP($A89,'Budget &amp; Revenue'!$A:$V,12,FALSE)</f>
        <v>0</v>
      </c>
      <c r="H89" s="222">
        <f>VLOOKUP($A89,'Budget &amp; Revenue'!$A:$V,14,FALSE)</f>
        <v>1</v>
      </c>
      <c r="I89" s="222">
        <f>VLOOKUP($A89,'Budget &amp; Revenue'!$A:$V,16,FALSE)</f>
        <v>1</v>
      </c>
      <c r="J89" s="222">
        <f>VLOOKUP($A89,'Budget &amp; Revenue'!$A:$V,18,FALSE)</f>
        <v>1</v>
      </c>
      <c r="K89" s="222">
        <f>VLOOKUP($A89,'Budget &amp; Revenue'!$A:$V,20,FALSE)</f>
        <v>1</v>
      </c>
      <c r="L89" s="222">
        <f>VLOOKUP($A89,'Budget &amp; Revenue'!$A:$V,22,FALSE)</f>
        <v>1</v>
      </c>
    </row>
    <row r="90" spans="1:12" ht="75" x14ac:dyDescent="0.25">
      <c r="A90" s="220">
        <v>90</v>
      </c>
      <c r="B90" s="215" t="s">
        <v>591</v>
      </c>
      <c r="C90" s="220">
        <f>VLOOKUP(A90,Estimate!A:L,12,FALSE)</f>
        <v>1</v>
      </c>
      <c r="D90" s="216" t="s">
        <v>650</v>
      </c>
      <c r="E90" s="216">
        <v>93</v>
      </c>
      <c r="F90" s="221">
        <f>IFERROR(VLOOKUP(A90,Estimate!A:Q,17,FALSE),0)</f>
        <v>9160.1583662081684</v>
      </c>
      <c r="G90" s="222">
        <f>VLOOKUP($A90,'Budget &amp; Revenue'!$A:$V,12,FALSE)</f>
        <v>0</v>
      </c>
      <c r="H90" s="222">
        <f>VLOOKUP($A90,'Budget &amp; Revenue'!$A:$V,14,FALSE)</f>
        <v>1</v>
      </c>
      <c r="I90" s="222">
        <f>VLOOKUP($A90,'Budget &amp; Revenue'!$A:$V,16,FALSE)</f>
        <v>1</v>
      </c>
      <c r="J90" s="222">
        <f>VLOOKUP($A90,'Budget &amp; Revenue'!$A:$V,18,FALSE)</f>
        <v>1</v>
      </c>
      <c r="K90" s="222">
        <f>VLOOKUP($A90,'Budget &amp; Revenue'!$A:$V,20,FALSE)</f>
        <v>1</v>
      </c>
      <c r="L90" s="222">
        <f>VLOOKUP($A90,'Budget &amp; Revenue'!$A:$V,22,FALSE)</f>
        <v>1</v>
      </c>
    </row>
    <row r="91" spans="1:12" ht="75" x14ac:dyDescent="0.25">
      <c r="A91" s="220">
        <v>91</v>
      </c>
      <c r="B91" s="215" t="s">
        <v>592</v>
      </c>
      <c r="C91" s="220">
        <f>VLOOKUP(A91,Estimate!A:L,12,FALSE)</f>
        <v>1</v>
      </c>
      <c r="D91" s="216">
        <v>88</v>
      </c>
      <c r="E91" s="216" t="s">
        <v>651</v>
      </c>
      <c r="F91" s="221">
        <f>IFERROR(VLOOKUP(A91,Estimate!A:Q,17,FALSE),0)</f>
        <v>7050.914468552658</v>
      </c>
      <c r="G91" s="222">
        <f>VLOOKUP($A91,'Budget &amp; Revenue'!$A:$V,12,FALSE)</f>
        <v>0</v>
      </c>
      <c r="H91" s="222">
        <f>VLOOKUP($A91,'Budget &amp; Revenue'!$A:$V,14,FALSE)</f>
        <v>1</v>
      </c>
      <c r="I91" s="222">
        <f>VLOOKUP($A91,'Budget &amp; Revenue'!$A:$V,16,FALSE)</f>
        <v>1</v>
      </c>
      <c r="J91" s="222">
        <f>VLOOKUP($A91,'Budget &amp; Revenue'!$A:$V,18,FALSE)</f>
        <v>1</v>
      </c>
      <c r="K91" s="222">
        <f>VLOOKUP($A91,'Budget &amp; Revenue'!$A:$V,20,FALSE)</f>
        <v>1</v>
      </c>
      <c r="L91" s="222">
        <f>VLOOKUP($A91,'Budget &amp; Revenue'!$A:$V,22,FALSE)</f>
        <v>1</v>
      </c>
    </row>
    <row r="92" spans="1:12" ht="75" x14ac:dyDescent="0.25">
      <c r="A92" s="220">
        <v>92</v>
      </c>
      <c r="B92" s="215" t="s">
        <v>593</v>
      </c>
      <c r="C92" s="220">
        <f>VLOOKUP(A92,Estimate!A:L,12,FALSE)</f>
        <v>1</v>
      </c>
      <c r="D92" s="216">
        <v>89</v>
      </c>
      <c r="E92" s="216" t="s">
        <v>652</v>
      </c>
      <c r="F92" s="221">
        <f>IFERROR(VLOOKUP(A92,Estimate!A:Q,17,FALSE),0)</f>
        <v>10285.559202828987</v>
      </c>
      <c r="G92" s="222">
        <f>VLOOKUP($A92,'Budget &amp; Revenue'!$A:$V,12,FALSE)</f>
        <v>0</v>
      </c>
      <c r="H92" s="222">
        <f>VLOOKUP($A92,'Budget &amp; Revenue'!$A:$V,14,FALSE)</f>
        <v>1</v>
      </c>
      <c r="I92" s="222">
        <f>VLOOKUP($A92,'Budget &amp; Revenue'!$A:$V,16,FALSE)</f>
        <v>1</v>
      </c>
      <c r="J92" s="222">
        <f>VLOOKUP($A92,'Budget &amp; Revenue'!$A:$V,18,FALSE)</f>
        <v>1</v>
      </c>
      <c r="K92" s="222">
        <f>VLOOKUP($A92,'Budget &amp; Revenue'!$A:$V,20,FALSE)</f>
        <v>1</v>
      </c>
      <c r="L92" s="222">
        <f>VLOOKUP($A92,'Budget &amp; Revenue'!$A:$V,22,FALSE)</f>
        <v>1</v>
      </c>
    </row>
    <row r="93" spans="1:12" ht="75" x14ac:dyDescent="0.25">
      <c r="A93" s="220">
        <v>93</v>
      </c>
      <c r="B93" s="215" t="s">
        <v>594</v>
      </c>
      <c r="C93" s="220">
        <f>VLOOKUP(A93,Estimate!A:L,12,FALSE)</f>
        <v>1</v>
      </c>
      <c r="D93" s="216">
        <v>90</v>
      </c>
      <c r="E93" s="216">
        <v>89</v>
      </c>
      <c r="F93" s="221">
        <f>IFERROR(VLOOKUP(A93,Estimate!A:Q,17,FALSE),0)</f>
        <v>8447.7016043919793</v>
      </c>
      <c r="G93" s="222">
        <f>VLOOKUP($A93,'Budget &amp; Revenue'!$A:$V,12,FALSE)</f>
        <v>0</v>
      </c>
      <c r="H93" s="222">
        <f>VLOOKUP($A93,'Budget &amp; Revenue'!$A:$V,14,FALSE)</f>
        <v>1</v>
      </c>
      <c r="I93" s="222">
        <f>VLOOKUP($A93,'Budget &amp; Revenue'!$A:$V,16,FALSE)</f>
        <v>1</v>
      </c>
      <c r="J93" s="222">
        <f>VLOOKUP($A93,'Budget &amp; Revenue'!$A:$V,18,FALSE)</f>
        <v>1</v>
      </c>
      <c r="K93" s="222">
        <f>VLOOKUP($A93,'Budget &amp; Revenue'!$A:$V,20,FALSE)</f>
        <v>1</v>
      </c>
      <c r="L93" s="222">
        <f>VLOOKUP($A93,'Budget &amp; Revenue'!$A:$V,22,FALSE)</f>
        <v>1</v>
      </c>
    </row>
    <row r="94" spans="1:12" ht="60" x14ac:dyDescent="0.25">
      <c r="A94" s="220">
        <v>94</v>
      </c>
      <c r="B94" s="215" t="s">
        <v>595</v>
      </c>
      <c r="C94" s="220">
        <f>VLOOKUP(A94,Estimate!A:L,12,FALSE)</f>
        <v>2</v>
      </c>
      <c r="D94" s="216">
        <v>91</v>
      </c>
      <c r="E94" s="216" t="s">
        <v>653</v>
      </c>
      <c r="F94" s="221">
        <f>IFERROR(VLOOKUP(A94,Estimate!A:Q,17,FALSE),0)</f>
        <v>5610.0654544832396</v>
      </c>
      <c r="G94" s="222">
        <f>VLOOKUP($A94,'Budget &amp; Revenue'!$A:$V,12,FALSE)</f>
        <v>0</v>
      </c>
      <c r="H94" s="222">
        <f>VLOOKUP($A94,'Budget &amp; Revenue'!$A:$V,14,FALSE)</f>
        <v>0</v>
      </c>
      <c r="I94" s="222">
        <f>VLOOKUP($A94,'Budget &amp; Revenue'!$A:$V,16,FALSE)</f>
        <v>0</v>
      </c>
      <c r="J94" s="222">
        <f>VLOOKUP($A94,'Budget &amp; Revenue'!$A:$V,18,FALSE)</f>
        <v>0</v>
      </c>
      <c r="K94" s="222">
        <f>VLOOKUP($A94,'Budget &amp; Revenue'!$A:$V,20,FALSE)</f>
        <v>0</v>
      </c>
      <c r="L94" s="222">
        <f>VLOOKUP($A94,'Budget &amp; Revenue'!$A:$V,22,FALSE)</f>
        <v>0</v>
      </c>
    </row>
    <row r="95" spans="1:12" ht="75" x14ac:dyDescent="0.25">
      <c r="A95" s="220">
        <v>95</v>
      </c>
      <c r="B95" s="215" t="s">
        <v>597</v>
      </c>
      <c r="C95" s="220">
        <f>VLOOKUP(A95,Estimate!A:L,12,FALSE)</f>
        <v>1</v>
      </c>
      <c r="D95" s="216" t="s">
        <v>654</v>
      </c>
      <c r="E95" s="216" t="s">
        <v>655</v>
      </c>
      <c r="F95" s="221">
        <f>IFERROR(VLOOKUP(A95,Estimate!A:Q,17,FALSE),0)</f>
        <v>2355.4300000000003</v>
      </c>
      <c r="G95" s="222">
        <f>VLOOKUP($A95,'Budget &amp; Revenue'!$A:$V,12,FALSE)</f>
        <v>0</v>
      </c>
      <c r="H95" s="222">
        <f>VLOOKUP($A95,'Budget &amp; Revenue'!$A:$V,14,FALSE)</f>
        <v>0</v>
      </c>
      <c r="I95" s="222">
        <f>VLOOKUP($A95,'Budget &amp; Revenue'!$A:$V,16,FALSE)</f>
        <v>1</v>
      </c>
      <c r="J95" s="222">
        <f>VLOOKUP($A95,'Budget &amp; Revenue'!$A:$V,18,FALSE)</f>
        <v>1</v>
      </c>
      <c r="K95" s="222">
        <f>VLOOKUP($A95,'Budget &amp; Revenue'!$A:$V,20,FALSE)</f>
        <v>1</v>
      </c>
      <c r="L95" s="222">
        <f>VLOOKUP($A95,'Budget &amp; Revenue'!$A:$V,22,FALSE)</f>
        <v>1</v>
      </c>
    </row>
    <row r="96" spans="1:12" ht="75" x14ac:dyDescent="0.25">
      <c r="A96" s="220">
        <v>96</v>
      </c>
      <c r="B96" s="215" t="s">
        <v>618</v>
      </c>
      <c r="C96" s="220">
        <f>VLOOKUP(A96,Estimate!A:L,12,FALSE)</f>
        <v>1</v>
      </c>
      <c r="D96" s="216" t="s">
        <v>656</v>
      </c>
      <c r="E96" s="216">
        <v>97</v>
      </c>
      <c r="F96" s="221">
        <f>IFERROR(VLOOKUP(A96,Estimate!A:Q,17,FALSE),0)</f>
        <v>2236.8500000000004</v>
      </c>
      <c r="G96" s="222">
        <f>VLOOKUP($A96,'Budget &amp; Revenue'!$A:$V,12,FALSE)</f>
        <v>0</v>
      </c>
      <c r="H96" s="222">
        <f>VLOOKUP($A96,'Budget &amp; Revenue'!$A:$V,14,FALSE)</f>
        <v>0</v>
      </c>
      <c r="I96" s="222">
        <f>VLOOKUP($A96,'Budget &amp; Revenue'!$A:$V,16,FALSE)</f>
        <v>1</v>
      </c>
      <c r="J96" s="222">
        <f>VLOOKUP($A96,'Budget &amp; Revenue'!$A:$V,18,FALSE)</f>
        <v>1</v>
      </c>
      <c r="K96" s="222">
        <f>VLOOKUP($A96,'Budget &amp; Revenue'!$A:$V,20,FALSE)</f>
        <v>1</v>
      </c>
      <c r="L96" s="222">
        <f>VLOOKUP($A96,'Budget &amp; Revenue'!$A:$V,22,FALSE)</f>
        <v>1</v>
      </c>
    </row>
    <row r="97" spans="1:12" ht="75" x14ac:dyDescent="0.25">
      <c r="A97" s="220">
        <v>97</v>
      </c>
      <c r="B97" s="215" t="s">
        <v>596</v>
      </c>
      <c r="C97" s="220">
        <f>VLOOKUP(A97,Estimate!A:L,12,FALSE)</f>
        <v>2</v>
      </c>
      <c r="D97" s="216">
        <v>96</v>
      </c>
      <c r="E97" s="216">
        <v>106</v>
      </c>
      <c r="F97" s="221">
        <f>IFERROR(VLOOKUP(A97,Estimate!A:Q,17,FALSE),0)</f>
        <v>115460.54660546604</v>
      </c>
      <c r="G97" s="222">
        <f>VLOOKUP($A97,'Budget &amp; Revenue'!$A:$V,12,FALSE)</f>
        <v>0</v>
      </c>
      <c r="H97" s="222">
        <f>VLOOKUP($A97,'Budget &amp; Revenue'!$A:$V,14,FALSE)</f>
        <v>0</v>
      </c>
      <c r="I97" s="222">
        <f>VLOOKUP($A97,'Budget &amp; Revenue'!$A:$V,16,FALSE)</f>
        <v>0</v>
      </c>
      <c r="J97" s="222">
        <f>VLOOKUP($A97,'Budget &amp; Revenue'!$A:$V,18,FALSE)</f>
        <v>0</v>
      </c>
      <c r="K97" s="222">
        <f>VLOOKUP($A97,'Budget &amp; Revenue'!$A:$V,20,FALSE)</f>
        <v>1</v>
      </c>
      <c r="L97" s="222">
        <f>VLOOKUP($A97,'Budget &amp; Revenue'!$A:$V,22,FALSE)</f>
        <v>1</v>
      </c>
    </row>
    <row r="98" spans="1:12" ht="30" x14ac:dyDescent="0.25">
      <c r="A98" s="220">
        <v>98</v>
      </c>
      <c r="B98" s="215" t="s">
        <v>598</v>
      </c>
      <c r="C98" s="220">
        <f>VLOOKUP(A98,Estimate!A:L,12,FALSE)</f>
        <v>1</v>
      </c>
      <c r="D98" s="216">
        <v>92</v>
      </c>
      <c r="E98" s="217">
        <v>88102</v>
      </c>
      <c r="F98" s="221">
        <f>IFERROR(VLOOKUP(A98,Estimate!A:Q,17,FALSE),0)</f>
        <v>5701.195698924731</v>
      </c>
      <c r="G98" s="222">
        <f>VLOOKUP($A98,'Budget &amp; Revenue'!$A:$V,12,FALSE)</f>
        <v>0</v>
      </c>
      <c r="H98" s="222">
        <f>VLOOKUP($A98,'Budget &amp; Revenue'!$A:$V,14,FALSE)</f>
        <v>0</v>
      </c>
      <c r="I98" s="222">
        <f>VLOOKUP($A98,'Budget &amp; Revenue'!$A:$V,16,FALSE)</f>
        <v>0</v>
      </c>
      <c r="J98" s="222">
        <f>VLOOKUP($A98,'Budget &amp; Revenue'!$A:$V,18,FALSE)</f>
        <v>0</v>
      </c>
      <c r="K98" s="222">
        <f>VLOOKUP($A98,'Budget &amp; Revenue'!$A:$V,20,FALSE)</f>
        <v>1</v>
      </c>
      <c r="L98" s="222">
        <f>VLOOKUP($A98,'Budget &amp; Revenue'!$A:$V,22,FALSE)</f>
        <v>1</v>
      </c>
    </row>
    <row r="99" spans="1:12" ht="75" x14ac:dyDescent="0.25">
      <c r="A99" s="220">
        <v>99</v>
      </c>
      <c r="B99" s="215" t="s">
        <v>599</v>
      </c>
      <c r="C99" s="220">
        <f>VLOOKUP(A99,Estimate!A:L,12,FALSE)</f>
        <v>1</v>
      </c>
      <c r="D99" s="216">
        <v>83</v>
      </c>
      <c r="E99" s="216" t="s">
        <v>657</v>
      </c>
      <c r="F99" s="221">
        <f>IFERROR(VLOOKUP(A99,Estimate!A:Q,17,FALSE),0)</f>
        <v>2078.1624999999999</v>
      </c>
      <c r="G99" s="222">
        <f>VLOOKUP($A99,'Budget &amp; Revenue'!$A:$V,12,FALSE)</f>
        <v>0</v>
      </c>
      <c r="H99" s="222">
        <f>VLOOKUP($A99,'Budget &amp; Revenue'!$A:$V,14,FALSE)</f>
        <v>0</v>
      </c>
      <c r="I99" s="222">
        <f>VLOOKUP($A99,'Budget &amp; Revenue'!$A:$V,16,FALSE)</f>
        <v>0</v>
      </c>
      <c r="J99" s="222">
        <f>VLOOKUP($A99,'Budget &amp; Revenue'!$A:$V,18,FALSE)</f>
        <v>0</v>
      </c>
      <c r="K99" s="222">
        <f>VLOOKUP($A99,'Budget &amp; Revenue'!$A:$V,20,FALSE)</f>
        <v>1</v>
      </c>
      <c r="L99" s="222">
        <f>VLOOKUP($A99,'Budget &amp; Revenue'!$A:$V,22,FALSE)</f>
        <v>1</v>
      </c>
    </row>
    <row r="100" spans="1:12" ht="45" x14ac:dyDescent="0.25">
      <c r="A100" s="220">
        <v>100</v>
      </c>
      <c r="B100" s="215" t="s">
        <v>331</v>
      </c>
      <c r="C100" s="220">
        <f>VLOOKUP(A100,Estimate!A:L,12,FALSE)</f>
        <v>3</v>
      </c>
      <c r="D100" s="216" t="s">
        <v>658</v>
      </c>
      <c r="E100" s="216">
        <v>101</v>
      </c>
      <c r="F100" s="221">
        <f>IFERROR(VLOOKUP(A100,Estimate!A:Q,17,FALSE),0)</f>
        <v>3600</v>
      </c>
      <c r="G100" s="222">
        <f>VLOOKUP($A100,'Budget &amp; Revenue'!$A:$V,12,FALSE)</f>
        <v>0</v>
      </c>
      <c r="H100" s="222">
        <f>VLOOKUP($A100,'Budget &amp; Revenue'!$A:$V,14,FALSE)</f>
        <v>0</v>
      </c>
      <c r="I100" s="222">
        <f>VLOOKUP($A100,'Budget &amp; Revenue'!$A:$V,16,FALSE)</f>
        <v>1</v>
      </c>
      <c r="J100" s="222">
        <f>VLOOKUP($A100,'Budget &amp; Revenue'!$A:$V,18,FALSE)</f>
        <v>1</v>
      </c>
      <c r="K100" s="222">
        <f>VLOOKUP($A100,'Budget &amp; Revenue'!$A:$V,20,FALSE)</f>
        <v>1</v>
      </c>
      <c r="L100" s="222">
        <f>VLOOKUP($A100,'Budget &amp; Revenue'!$A:$V,22,FALSE)</f>
        <v>1</v>
      </c>
    </row>
    <row r="101" spans="1:12" x14ac:dyDescent="0.25">
      <c r="A101" s="220">
        <v>101</v>
      </c>
      <c r="B101" s="215" t="s">
        <v>333</v>
      </c>
      <c r="C101" s="220">
        <f>VLOOKUP(A101,Estimate!A:L,12,FALSE)</f>
        <v>1</v>
      </c>
      <c r="D101" s="217">
        <v>111100102</v>
      </c>
      <c r="E101" s="216">
        <v>103</v>
      </c>
      <c r="F101" s="221">
        <f>IFERROR(VLOOKUP(A101,Estimate!A:Q,17,FALSE),0)</f>
        <v>2452.8000000000002</v>
      </c>
      <c r="G101" s="222">
        <f>VLOOKUP($A101,'Budget &amp; Revenue'!$A:$V,12,FALSE)</f>
        <v>0</v>
      </c>
      <c r="H101" s="222">
        <f>VLOOKUP($A101,'Budget &amp; Revenue'!$A:$V,14,FALSE)</f>
        <v>0</v>
      </c>
      <c r="I101" s="222">
        <f>VLOOKUP($A101,'Budget &amp; Revenue'!$A:$V,16,FALSE)</f>
        <v>0</v>
      </c>
      <c r="J101" s="222">
        <f>VLOOKUP($A101,'Budget &amp; Revenue'!$A:$V,18,FALSE)</f>
        <v>0</v>
      </c>
      <c r="K101" s="222">
        <f>VLOOKUP($A101,'Budget &amp; Revenue'!$A:$V,20,FALSE)</f>
        <v>1</v>
      </c>
      <c r="L101" s="222">
        <f>VLOOKUP($A101,'Budget &amp; Revenue'!$A:$V,22,FALSE)</f>
        <v>1</v>
      </c>
    </row>
    <row r="102" spans="1:12" ht="60" x14ac:dyDescent="0.25">
      <c r="A102" s="220">
        <v>102</v>
      </c>
      <c r="B102" s="215" t="s">
        <v>1298</v>
      </c>
      <c r="C102" s="220">
        <f>VLOOKUP(A102,Estimate!A:L,12,FALSE)</f>
        <v>1</v>
      </c>
      <c r="D102" s="216">
        <v>98</v>
      </c>
      <c r="E102" s="217">
        <v>103101</v>
      </c>
      <c r="F102" s="221">
        <f>IFERROR(VLOOKUP(A102,Estimate!A:Q,17,FALSE),0)</f>
        <v>2690.8</v>
      </c>
      <c r="G102" s="222">
        <f>VLOOKUP($A102,'Budget &amp; Revenue'!$A:$V,12,FALSE)</f>
        <v>0</v>
      </c>
      <c r="H102" s="222">
        <f>VLOOKUP($A102,'Budget &amp; Revenue'!$A:$V,14,FALSE)</f>
        <v>0</v>
      </c>
      <c r="I102" s="222">
        <f>VLOOKUP($A102,'Budget &amp; Revenue'!$A:$V,16,FALSE)</f>
        <v>0</v>
      </c>
      <c r="J102" s="222">
        <f>VLOOKUP($A102,'Budget &amp; Revenue'!$A:$V,18,FALSE)</f>
        <v>0</v>
      </c>
      <c r="K102" s="222">
        <f>VLOOKUP($A102,'Budget &amp; Revenue'!$A:$V,20,FALSE)</f>
        <v>1</v>
      </c>
      <c r="L102" s="222">
        <f>VLOOKUP($A102,'Budget &amp; Revenue'!$A:$V,22,FALSE)</f>
        <v>1</v>
      </c>
    </row>
    <row r="103" spans="1:12" ht="45" x14ac:dyDescent="0.25">
      <c r="A103" s="220">
        <v>103</v>
      </c>
      <c r="B103" s="215" t="s">
        <v>570</v>
      </c>
      <c r="C103" s="220">
        <f>VLOOKUP(A103,Estimate!A:L,12,FALSE)</f>
        <v>1</v>
      </c>
      <c r="D103" s="217">
        <v>102101</v>
      </c>
      <c r="E103" s="216">
        <v>104</v>
      </c>
      <c r="F103" s="221">
        <f>IFERROR(VLOOKUP(A103,Estimate!A:Q,17,FALSE),0)</f>
        <v>767.25</v>
      </c>
      <c r="G103" s="222">
        <f>VLOOKUP($A103,'Budget &amp; Revenue'!$A:$V,12,FALSE)</f>
        <v>0</v>
      </c>
      <c r="H103" s="222">
        <f>VLOOKUP($A103,'Budget &amp; Revenue'!$A:$V,14,FALSE)</f>
        <v>0</v>
      </c>
      <c r="I103" s="222">
        <f>VLOOKUP($A103,'Budget &amp; Revenue'!$A:$V,16,FALSE)</f>
        <v>0</v>
      </c>
      <c r="J103" s="222">
        <f>VLOOKUP($A103,'Budget &amp; Revenue'!$A:$V,18,FALSE)</f>
        <v>0</v>
      </c>
      <c r="K103" s="222">
        <f>VLOOKUP($A103,'Budget &amp; Revenue'!$A:$V,20,FALSE)</f>
        <v>1</v>
      </c>
      <c r="L103" s="222">
        <f>VLOOKUP($A103,'Budget &amp; Revenue'!$A:$V,22,FALSE)</f>
        <v>1</v>
      </c>
    </row>
    <row r="104" spans="1:12" ht="45" x14ac:dyDescent="0.25">
      <c r="A104" s="220">
        <v>104</v>
      </c>
      <c r="B104" s="215" t="s">
        <v>600</v>
      </c>
      <c r="C104" s="220">
        <f>VLOOKUP(A104,Estimate!A:L,12,FALSE)</f>
        <v>1</v>
      </c>
      <c r="D104" s="216">
        <v>103</v>
      </c>
      <c r="E104" s="216">
        <v>105</v>
      </c>
      <c r="F104" s="221">
        <f>IFERROR(VLOOKUP(A104,Estimate!A:Q,17,FALSE),0)</f>
        <v>1125</v>
      </c>
      <c r="G104" s="222">
        <f>VLOOKUP($A104,'Budget &amp; Revenue'!$A:$V,12,FALSE)</f>
        <v>0</v>
      </c>
      <c r="H104" s="222">
        <f>VLOOKUP($A104,'Budget &amp; Revenue'!$A:$V,14,FALSE)</f>
        <v>0</v>
      </c>
      <c r="I104" s="222">
        <f>VLOOKUP($A104,'Budget &amp; Revenue'!$A:$V,16,FALSE)</f>
        <v>0</v>
      </c>
      <c r="J104" s="222">
        <f>VLOOKUP($A104,'Budget &amp; Revenue'!$A:$V,18,FALSE)</f>
        <v>0</v>
      </c>
      <c r="K104" s="222">
        <f>VLOOKUP($A104,'Budget &amp; Revenue'!$A:$V,20,FALSE)</f>
        <v>0</v>
      </c>
      <c r="L104" s="222">
        <f>VLOOKUP($A104,'Budget &amp; Revenue'!$A:$V,22,FALSE)</f>
        <v>0</v>
      </c>
    </row>
    <row r="105" spans="1:12" ht="30" x14ac:dyDescent="0.25">
      <c r="A105" s="220">
        <v>105</v>
      </c>
      <c r="B105" s="215" t="s">
        <v>572</v>
      </c>
      <c r="C105" s="220">
        <f>VLOOKUP(A105,Estimate!A:L,12,FALSE)</f>
        <v>1</v>
      </c>
      <c r="D105" s="216">
        <v>104</v>
      </c>
      <c r="E105" s="216">
        <v>4</v>
      </c>
      <c r="F105" s="221">
        <f>IFERROR(VLOOKUP(A105,Estimate!A:Q,17,FALSE),0)</f>
        <v>1626.4</v>
      </c>
      <c r="G105" s="222">
        <f>VLOOKUP($A105,'Budget &amp; Revenue'!$A:$V,12,FALSE)</f>
        <v>0</v>
      </c>
      <c r="H105" s="222">
        <f>VLOOKUP($A105,'Budget &amp; Revenue'!$A:$V,14,FALSE)</f>
        <v>0</v>
      </c>
      <c r="I105" s="222">
        <f>VLOOKUP($A105,'Budget &amp; Revenue'!$A:$V,16,FALSE)</f>
        <v>0</v>
      </c>
      <c r="J105" s="222">
        <f>VLOOKUP($A105,'Budget &amp; Revenue'!$A:$V,18,FALSE)</f>
        <v>0</v>
      </c>
      <c r="K105" s="222">
        <f>VLOOKUP($A105,'Budget &amp; Revenue'!$A:$V,20,FALSE)</f>
        <v>0</v>
      </c>
      <c r="L105" s="222">
        <f>VLOOKUP($A105,'Budget &amp; Revenue'!$A:$V,22,FALSE)</f>
        <v>0</v>
      </c>
    </row>
    <row r="106" spans="1:12" x14ac:dyDescent="0.25">
      <c r="A106" s="220">
        <v>106</v>
      </c>
      <c r="B106" s="215" t="s">
        <v>348</v>
      </c>
      <c r="C106" s="220">
        <f>VLOOKUP(A106,Estimate!A:L,12,FALSE)</f>
        <v>1</v>
      </c>
      <c r="D106" s="216">
        <v>97</v>
      </c>
      <c r="E106" s="216">
        <v>107</v>
      </c>
      <c r="F106" s="221">
        <f>IFERROR(VLOOKUP(A106,Estimate!A:Q,17,FALSE),0)</f>
        <v>550</v>
      </c>
      <c r="G106" s="222">
        <f>VLOOKUP($A106,'Budget &amp; Revenue'!$A:$V,12,FALSE)</f>
        <v>0</v>
      </c>
      <c r="H106" s="222">
        <f>VLOOKUP($A106,'Budget &amp; Revenue'!$A:$V,14,FALSE)</f>
        <v>0</v>
      </c>
      <c r="I106" s="222">
        <f>VLOOKUP($A106,'Budget &amp; Revenue'!$A:$V,16,FALSE)</f>
        <v>0</v>
      </c>
      <c r="J106" s="222">
        <f>VLOOKUP($A106,'Budget &amp; Revenue'!$A:$V,18,FALSE)</f>
        <v>1</v>
      </c>
      <c r="K106" s="222">
        <f>VLOOKUP($A106,'Budget &amp; Revenue'!$A:$V,20,FALSE)</f>
        <v>1</v>
      </c>
      <c r="L106" s="222">
        <f>VLOOKUP($A106,'Budget &amp; Revenue'!$A:$V,22,FALSE)</f>
        <v>1</v>
      </c>
    </row>
    <row r="107" spans="1:12" x14ac:dyDescent="0.25">
      <c r="A107" s="220">
        <v>107</v>
      </c>
      <c r="B107" s="215" t="s">
        <v>350</v>
      </c>
      <c r="C107" s="220">
        <f>VLOOKUP(A107,Estimate!A:L,12,FALSE)</f>
        <v>1</v>
      </c>
      <c r="D107" s="216">
        <v>106</v>
      </c>
      <c r="E107" s="216">
        <v>108</v>
      </c>
      <c r="F107" s="221">
        <f>IFERROR(VLOOKUP(A107,Estimate!A:Q,17,FALSE),0)</f>
        <v>338.8</v>
      </c>
      <c r="G107" s="222">
        <f>VLOOKUP($A107,'Budget &amp; Revenue'!$A:$V,12,FALSE)</f>
        <v>0</v>
      </c>
      <c r="H107" s="222">
        <f>VLOOKUP($A107,'Budget &amp; Revenue'!$A:$V,14,FALSE)</f>
        <v>0</v>
      </c>
      <c r="I107" s="222">
        <f>VLOOKUP($A107,'Budget &amp; Revenue'!$A:$V,16,FALSE)</f>
        <v>0</v>
      </c>
      <c r="J107" s="222">
        <f>VLOOKUP($A107,'Budget &amp; Revenue'!$A:$V,18,FALSE)</f>
        <v>1</v>
      </c>
      <c r="K107" s="222">
        <f>VLOOKUP($A107,'Budget &amp; Revenue'!$A:$V,20,FALSE)</f>
        <v>1</v>
      </c>
      <c r="L107" s="222">
        <f>VLOOKUP($A107,'Budget &amp; Revenue'!$A:$V,22,FALSE)</f>
        <v>1</v>
      </c>
    </row>
    <row r="108" spans="1:12" ht="60" x14ac:dyDescent="0.25">
      <c r="A108" s="220">
        <v>108</v>
      </c>
      <c r="B108" s="215" t="s">
        <v>352</v>
      </c>
      <c r="C108" s="220">
        <f>VLOOKUP(A108,Estimate!A:L,12,FALSE)</f>
        <v>1</v>
      </c>
      <c r="D108" s="216">
        <v>107</v>
      </c>
      <c r="E108" s="216" t="s">
        <v>665</v>
      </c>
      <c r="F108" s="221">
        <f>IFERROR(VLOOKUP(A108,Estimate!A:Q,17,FALSE),0)</f>
        <v>7500</v>
      </c>
      <c r="G108" s="222">
        <f>VLOOKUP($A108,'Budget &amp; Revenue'!$A:$V,12,FALSE)</f>
        <v>0</v>
      </c>
      <c r="H108" s="222">
        <f>VLOOKUP($A108,'Budget &amp; Revenue'!$A:$V,14,FALSE)</f>
        <v>0</v>
      </c>
      <c r="I108" s="222">
        <f>VLOOKUP($A108,'Budget &amp; Revenue'!$A:$V,16,FALSE)</f>
        <v>0</v>
      </c>
      <c r="J108" s="222">
        <f>VLOOKUP($A108,'Budget &amp; Revenue'!$A:$V,18,FALSE)</f>
        <v>0</v>
      </c>
      <c r="K108" s="222">
        <f>VLOOKUP($A108,'Budget &amp; Revenue'!$A:$V,20,FALSE)</f>
        <v>0</v>
      </c>
      <c r="L108" s="222">
        <f>VLOOKUP($A108,'Budget &amp; Revenue'!$A:$V,22,FALSE)</f>
        <v>1</v>
      </c>
    </row>
    <row r="109" spans="1:12" ht="60" x14ac:dyDescent="0.25">
      <c r="A109" s="220">
        <v>109</v>
      </c>
      <c r="B109" s="215" t="s">
        <v>601</v>
      </c>
      <c r="C109" s="220">
        <f>VLOOKUP(A109,Estimate!A:L,12,FALSE)</f>
        <v>1</v>
      </c>
      <c r="D109" s="216">
        <v>99</v>
      </c>
      <c r="E109" s="216" t="s">
        <v>659</v>
      </c>
      <c r="F109" s="221">
        <f>IFERROR(VLOOKUP(A109,Estimate!A:Q,17,FALSE),0)</f>
        <v>4014.904430139441</v>
      </c>
      <c r="G109" s="222">
        <f>VLOOKUP($A109,'Budget &amp; Revenue'!$A:$V,12,FALSE)</f>
        <v>0</v>
      </c>
      <c r="H109" s="222">
        <f>VLOOKUP($A109,'Budget &amp; Revenue'!$A:$V,14,FALSE)</f>
        <v>1</v>
      </c>
      <c r="I109" s="222">
        <f>VLOOKUP($A109,'Budget &amp; Revenue'!$A:$V,16,FALSE)</f>
        <v>1</v>
      </c>
      <c r="J109" s="222">
        <f>VLOOKUP($A109,'Budget &amp; Revenue'!$A:$V,18,FALSE)</f>
        <v>1</v>
      </c>
      <c r="K109" s="222">
        <f>VLOOKUP($A109,'Budget &amp; Revenue'!$A:$V,20,FALSE)</f>
        <v>1</v>
      </c>
      <c r="L109" s="222">
        <f>VLOOKUP($A109,'Budget &amp; Revenue'!$A:$V,22,FALSE)</f>
        <v>1</v>
      </c>
    </row>
    <row r="110" spans="1:12" ht="45" x14ac:dyDescent="0.25">
      <c r="A110" s="220">
        <v>110</v>
      </c>
      <c r="B110" s="215" t="s">
        <v>602</v>
      </c>
      <c r="C110" s="220">
        <f>VLOOKUP(A110,Estimate!A:L,12,FALSE)</f>
        <v>1</v>
      </c>
      <c r="D110" s="216">
        <v>109</v>
      </c>
      <c r="E110" s="216">
        <v>84</v>
      </c>
      <c r="F110" s="221">
        <f>IFERROR(VLOOKUP(A110,Estimate!A:Q,17,FALSE),0)</f>
        <v>947.8</v>
      </c>
      <c r="G110" s="222">
        <f>VLOOKUP($A110,'Budget &amp; Revenue'!$A:$V,12,FALSE)</f>
        <v>0</v>
      </c>
      <c r="H110" s="222">
        <f>VLOOKUP($A110,'Budget &amp; Revenue'!$A:$V,14,FALSE)</f>
        <v>1</v>
      </c>
      <c r="I110" s="222">
        <f>VLOOKUP($A110,'Budget &amp; Revenue'!$A:$V,16,FALSE)</f>
        <v>1</v>
      </c>
      <c r="J110" s="222">
        <f>VLOOKUP($A110,'Budget &amp; Revenue'!$A:$V,18,FALSE)</f>
        <v>1</v>
      </c>
      <c r="K110" s="222">
        <f>VLOOKUP($A110,'Budget &amp; Revenue'!$A:$V,20,FALSE)</f>
        <v>1</v>
      </c>
      <c r="L110" s="222">
        <f>VLOOKUP($A110,'Budget &amp; Revenue'!$A:$V,22,FALSE)</f>
        <v>1</v>
      </c>
    </row>
    <row r="111" spans="1:12" ht="45" x14ac:dyDescent="0.25">
      <c r="A111" s="220">
        <v>111</v>
      </c>
      <c r="B111" s="215" t="s">
        <v>30</v>
      </c>
      <c r="C111" s="220">
        <f>VLOOKUP(A111,Estimate!A:L,12,FALSE)</f>
        <v>13</v>
      </c>
      <c r="D111" s="216">
        <v>85</v>
      </c>
      <c r="E111" s="217">
        <v>112101</v>
      </c>
      <c r="F111" s="221">
        <f>IFERROR(VLOOKUP(A111,Estimate!A:Q,17,FALSE),0)</f>
        <v>28325.046910652924</v>
      </c>
      <c r="G111" s="222">
        <f>VLOOKUP($A111,'Budget &amp; Revenue'!$A:$V,12,FALSE)</f>
        <v>0</v>
      </c>
      <c r="H111" s="222">
        <f>VLOOKUP($A111,'Budget &amp; Revenue'!$A:$V,14,FALSE)</f>
        <v>0</v>
      </c>
      <c r="I111" s="222">
        <f>VLOOKUP($A111,'Budget &amp; Revenue'!$A:$V,16,FALSE)</f>
        <v>0</v>
      </c>
      <c r="J111" s="222">
        <f>VLOOKUP($A111,'Budget &amp; Revenue'!$A:$V,18,FALSE)</f>
        <v>0</v>
      </c>
      <c r="K111" s="222">
        <f>VLOOKUP($A111,'Budget &amp; Revenue'!$A:$V,20,FALSE)</f>
        <v>0</v>
      </c>
      <c r="L111" s="222">
        <f>VLOOKUP($A111,'Budget &amp; Revenue'!$A:$V,22,FALSE)</f>
        <v>0</v>
      </c>
    </row>
    <row r="112" spans="1:12" x14ac:dyDescent="0.25">
      <c r="A112" s="220">
        <v>112</v>
      </c>
      <c r="B112" s="215" t="s">
        <v>34</v>
      </c>
      <c r="C112" s="220">
        <f>VLOOKUP(A112,Estimate!A:L,12,FALSE)</f>
        <v>2</v>
      </c>
      <c r="D112" s="217">
        <v>111113</v>
      </c>
      <c r="E112" s="216">
        <v>114</v>
      </c>
      <c r="F112" s="221">
        <f>IFERROR(VLOOKUP(A112,Estimate!A:Q,17,FALSE),0)</f>
        <v>5180</v>
      </c>
      <c r="G112" s="222">
        <f>VLOOKUP($A112,'Budget &amp; Revenue'!$A:$V,12,FALSE)</f>
        <v>0</v>
      </c>
      <c r="H112" s="222">
        <f>VLOOKUP($A112,'Budget &amp; Revenue'!$A:$V,14,FALSE)</f>
        <v>0</v>
      </c>
      <c r="I112" s="222">
        <f>VLOOKUP($A112,'Budget &amp; Revenue'!$A:$V,16,FALSE)</f>
        <v>0</v>
      </c>
      <c r="J112" s="222">
        <f>VLOOKUP($A112,'Budget &amp; Revenue'!$A:$V,18,FALSE)</f>
        <v>0</v>
      </c>
      <c r="K112" s="222">
        <f>VLOOKUP($A112,'Budget &amp; Revenue'!$A:$V,20,FALSE)</f>
        <v>0</v>
      </c>
      <c r="L112" s="222">
        <f>VLOOKUP($A112,'Budget &amp; Revenue'!$A:$V,22,FALSE)</f>
        <v>0</v>
      </c>
    </row>
    <row r="113" spans="1:12" ht="45" x14ac:dyDescent="0.25">
      <c r="A113" s="220">
        <v>113</v>
      </c>
      <c r="B113" s="215" t="s">
        <v>39</v>
      </c>
      <c r="C113" s="220">
        <f>VLOOKUP(A113,Estimate!A:L,12,FALSE)</f>
        <v>1</v>
      </c>
      <c r="D113" s="216">
        <v>3</v>
      </c>
      <c r="E113" s="216">
        <v>112</v>
      </c>
      <c r="F113" s="221">
        <f>IFERROR(VLOOKUP(A113,Estimate!A:Q,17,FALSE),0)</f>
        <v>2800</v>
      </c>
      <c r="G113" s="222">
        <f>VLOOKUP($A113,'Budget &amp; Revenue'!$A:$V,12,FALSE)</f>
        <v>0</v>
      </c>
      <c r="H113" s="222">
        <f>VLOOKUP($A113,'Budget &amp; Revenue'!$A:$V,14,FALSE)</f>
        <v>0</v>
      </c>
      <c r="I113" s="222">
        <f>VLOOKUP($A113,'Budget &amp; Revenue'!$A:$V,16,FALSE)</f>
        <v>0</v>
      </c>
      <c r="J113" s="222">
        <f>VLOOKUP($A113,'Budget &amp; Revenue'!$A:$V,18,FALSE)</f>
        <v>0</v>
      </c>
      <c r="K113" s="222">
        <f>VLOOKUP($A113,'Budget &amp; Revenue'!$A:$V,20,FALSE)</f>
        <v>0</v>
      </c>
      <c r="L113" s="222">
        <f>VLOOKUP($A113,'Budget &amp; Revenue'!$A:$V,22,FALSE)</f>
        <v>0</v>
      </c>
    </row>
    <row r="114" spans="1:12" ht="45" x14ac:dyDescent="0.25">
      <c r="A114" s="220">
        <v>114</v>
      </c>
      <c r="B114" s="215" t="s">
        <v>42</v>
      </c>
      <c r="C114" s="220">
        <f>VLOOKUP(A114,Estimate!A:L,12,FALSE)</f>
        <v>1</v>
      </c>
      <c r="D114" s="216">
        <v>112</v>
      </c>
      <c r="E114" s="216">
        <v>121</v>
      </c>
      <c r="F114" s="221">
        <f>IFERROR(VLOOKUP(A114,Estimate!A:Q,17,FALSE),0)</f>
        <v>3200</v>
      </c>
      <c r="G114" s="222">
        <f>VLOOKUP($A114,'Budget &amp; Revenue'!$A:$V,12,FALSE)</f>
        <v>0</v>
      </c>
      <c r="H114" s="222">
        <f>VLOOKUP($A114,'Budget &amp; Revenue'!$A:$V,14,FALSE)</f>
        <v>0</v>
      </c>
      <c r="I114" s="222">
        <f>VLOOKUP($A114,'Budget &amp; Revenue'!$A:$V,16,FALSE)</f>
        <v>0</v>
      </c>
      <c r="J114" s="222">
        <f>VLOOKUP($A114,'Budget &amp; Revenue'!$A:$V,18,FALSE)</f>
        <v>0</v>
      </c>
      <c r="K114" s="222">
        <f>VLOOKUP($A114,'Budget &amp; Revenue'!$A:$V,20,FALSE)</f>
        <v>0</v>
      </c>
      <c r="L114" s="222">
        <f>VLOOKUP($A114,'Budget &amp; Revenue'!$A:$V,22,FALSE)</f>
        <v>0</v>
      </c>
    </row>
    <row r="115" spans="1:12" ht="30" x14ac:dyDescent="0.25">
      <c r="A115" s="220">
        <v>115</v>
      </c>
      <c r="B115" s="215" t="s">
        <v>46</v>
      </c>
      <c r="C115" s="220">
        <f>VLOOKUP(A115,Estimate!A:L,12,FALSE)</f>
        <v>4</v>
      </c>
      <c r="D115" s="216">
        <v>148</v>
      </c>
      <c r="E115" s="216">
        <v>4</v>
      </c>
      <c r="F115" s="221">
        <f>IFERROR(VLOOKUP(A115,Estimate!A:Q,17,FALSE),0)</f>
        <v>5920</v>
      </c>
      <c r="G115" s="222">
        <f>VLOOKUP($A115,'Budget &amp; Revenue'!$A:$V,12,FALSE)</f>
        <v>0</v>
      </c>
      <c r="H115" s="222">
        <f>VLOOKUP($A115,'Budget &amp; Revenue'!$A:$V,14,FALSE)</f>
        <v>0</v>
      </c>
      <c r="I115" s="222">
        <f>VLOOKUP($A115,'Budget &amp; Revenue'!$A:$V,16,FALSE)</f>
        <v>0</v>
      </c>
      <c r="J115" s="222">
        <f>VLOOKUP($A115,'Budget &amp; Revenue'!$A:$V,18,FALSE)</f>
        <v>0</v>
      </c>
      <c r="K115" s="222">
        <f>VLOOKUP($A115,'Budget &amp; Revenue'!$A:$V,20,FALSE)</f>
        <v>0</v>
      </c>
      <c r="L115" s="222">
        <f>VLOOKUP($A115,'Budget &amp; Revenue'!$A:$V,22,FALSE)</f>
        <v>0</v>
      </c>
    </row>
    <row r="116" spans="1:12" ht="45" x14ac:dyDescent="0.25">
      <c r="A116" s="220">
        <v>116</v>
      </c>
      <c r="B116" s="215" t="s">
        <v>585</v>
      </c>
      <c r="C116" s="220">
        <f>VLOOKUP(A116,Estimate!A:L,12,FALSE)</f>
        <v>0</v>
      </c>
      <c r="D116" s="216">
        <v>125</v>
      </c>
      <c r="E116" s="216">
        <v>130</v>
      </c>
      <c r="F116" s="221">
        <f>IFERROR(VLOOKUP(A116,Estimate!A:Q,17,FALSE),0)</f>
        <v>846.66666666666663</v>
      </c>
      <c r="G116" s="222">
        <f>VLOOKUP($A116,'Budget &amp; Revenue'!$A:$V,12,FALSE)</f>
        <v>0</v>
      </c>
      <c r="H116" s="222">
        <f>VLOOKUP($A116,'Budget &amp; Revenue'!$A:$V,14,FALSE)</f>
        <v>0</v>
      </c>
      <c r="I116" s="222">
        <f>VLOOKUP($A116,'Budget &amp; Revenue'!$A:$V,16,FALSE)</f>
        <v>0</v>
      </c>
      <c r="J116" s="222">
        <f>VLOOKUP($A116,'Budget &amp; Revenue'!$A:$V,18,FALSE)</f>
        <v>0</v>
      </c>
      <c r="K116" s="222">
        <f>VLOOKUP($A116,'Budget &amp; Revenue'!$A:$V,20,FALSE)</f>
        <v>0</v>
      </c>
      <c r="L116" s="222">
        <f>VLOOKUP($A116,'Budget &amp; Revenue'!$A:$V,22,FALSE)</f>
        <v>0</v>
      </c>
    </row>
    <row r="117" spans="1:12" ht="30" x14ac:dyDescent="0.25">
      <c r="A117" s="220">
        <v>117</v>
      </c>
      <c r="B117" s="215" t="s">
        <v>275</v>
      </c>
      <c r="C117" s="220">
        <f>VLOOKUP(A117,Estimate!A:L,12,FALSE)</f>
        <v>0</v>
      </c>
      <c r="D117" s="216">
        <v>132</v>
      </c>
      <c r="E117" s="216">
        <v>128</v>
      </c>
      <c r="F117" s="221">
        <f>IFERROR(VLOOKUP(A117,Estimate!A:Q,17,FALSE),0)</f>
        <v>846.66666666666663</v>
      </c>
      <c r="G117" s="222">
        <f>VLOOKUP($A117,'Budget &amp; Revenue'!$A:$V,12,FALSE)</f>
        <v>0</v>
      </c>
      <c r="H117" s="222">
        <f>VLOOKUP($A117,'Budget &amp; Revenue'!$A:$V,14,FALSE)</f>
        <v>0</v>
      </c>
      <c r="I117" s="222">
        <f>VLOOKUP($A117,'Budget &amp; Revenue'!$A:$V,16,FALSE)</f>
        <v>0</v>
      </c>
      <c r="J117" s="222">
        <f>VLOOKUP($A117,'Budget &amp; Revenue'!$A:$V,18,FALSE)</f>
        <v>0</v>
      </c>
      <c r="K117" s="222">
        <f>VLOOKUP($A117,'Budget &amp; Revenue'!$A:$V,20,FALSE)</f>
        <v>0</v>
      </c>
      <c r="L117" s="222">
        <f>VLOOKUP($A117,'Budget &amp; Revenue'!$A:$V,22,FALSE)</f>
        <v>0</v>
      </c>
    </row>
    <row r="118" spans="1:12" x14ac:dyDescent="0.25">
      <c r="A118" s="220">
        <v>118</v>
      </c>
      <c r="B118" s="215" t="s">
        <v>60</v>
      </c>
      <c r="C118" s="220">
        <f>VLOOKUP(A118,Estimate!A:L,12,FALSE)</f>
        <v>0</v>
      </c>
      <c r="D118" s="216">
        <v>131</v>
      </c>
      <c r="E118" s="216">
        <v>135</v>
      </c>
      <c r="F118" s="221">
        <f>IFERROR(VLOOKUP(A118,Estimate!A:Q,17,FALSE),0)</f>
        <v>423.33333333333331</v>
      </c>
      <c r="G118" s="222">
        <f>VLOOKUP($A118,'Budget &amp; Revenue'!$A:$V,12,FALSE)</f>
        <v>0</v>
      </c>
      <c r="H118" s="222">
        <f>VLOOKUP($A118,'Budget &amp; Revenue'!$A:$V,14,FALSE)</f>
        <v>0</v>
      </c>
      <c r="I118" s="222">
        <f>VLOOKUP($A118,'Budget &amp; Revenue'!$A:$V,16,FALSE)</f>
        <v>0</v>
      </c>
      <c r="J118" s="222">
        <f>VLOOKUP($A118,'Budget &amp; Revenue'!$A:$V,18,FALSE)</f>
        <v>0</v>
      </c>
      <c r="K118" s="222">
        <f>VLOOKUP($A118,'Budget &amp; Revenue'!$A:$V,20,FALSE)</f>
        <v>0</v>
      </c>
      <c r="L118" s="222">
        <f>VLOOKUP($A118,'Budget &amp; Revenue'!$A:$V,22,FALSE)</f>
        <v>0</v>
      </c>
    </row>
    <row r="119" spans="1:12" ht="45" x14ac:dyDescent="0.25">
      <c r="A119" s="220">
        <v>119</v>
      </c>
      <c r="B119" s="215" t="s">
        <v>278</v>
      </c>
      <c r="C119" s="220">
        <f>VLOOKUP(A119,Estimate!A:L,12,FALSE)</f>
        <v>0</v>
      </c>
      <c r="D119" s="216">
        <v>5</v>
      </c>
      <c r="E119" s="216">
        <v>130</v>
      </c>
      <c r="F119" s="221">
        <f>IFERROR(VLOOKUP(A119,Estimate!A:Q,17,FALSE),0)</f>
        <v>1290</v>
      </c>
      <c r="G119" s="222">
        <f>VLOOKUP($A119,'Budget &amp; Revenue'!$A:$V,12,FALSE)</f>
        <v>0</v>
      </c>
      <c r="H119" s="222">
        <f>VLOOKUP($A119,'Budget &amp; Revenue'!$A:$V,14,FALSE)</f>
        <v>0</v>
      </c>
      <c r="I119" s="222">
        <f>VLOOKUP($A119,'Budget &amp; Revenue'!$A:$V,16,FALSE)</f>
        <v>0</v>
      </c>
      <c r="J119" s="222">
        <f>VLOOKUP($A119,'Budget &amp; Revenue'!$A:$V,18,FALSE)</f>
        <v>0</v>
      </c>
      <c r="K119" s="222">
        <f>VLOOKUP($A119,'Budget &amp; Revenue'!$A:$V,20,FALSE)</f>
        <v>0</v>
      </c>
      <c r="L119" s="222">
        <f>VLOOKUP($A119,'Budget &amp; Revenue'!$A:$V,22,FALSE)</f>
        <v>0</v>
      </c>
    </row>
    <row r="120" spans="1:12" ht="45" x14ac:dyDescent="0.25">
      <c r="A120" s="220">
        <v>120</v>
      </c>
      <c r="B120" s="215" t="s">
        <v>280</v>
      </c>
      <c r="C120" s="220">
        <f>VLOOKUP(A120,Estimate!A:L,12,FALSE)</f>
        <v>0</v>
      </c>
      <c r="D120" s="216">
        <v>5</v>
      </c>
      <c r="E120" s="216">
        <v>128</v>
      </c>
      <c r="F120" s="221">
        <f>IFERROR(VLOOKUP(A120,Estimate!A:Q,17,FALSE),0)</f>
        <v>1290</v>
      </c>
      <c r="G120" s="222">
        <f>VLOOKUP($A120,'Budget &amp; Revenue'!$A:$V,12,FALSE)</f>
        <v>0</v>
      </c>
      <c r="H120" s="222">
        <f>VLOOKUP($A120,'Budget &amp; Revenue'!$A:$V,14,FALSE)</f>
        <v>0</v>
      </c>
      <c r="I120" s="222">
        <f>VLOOKUP($A120,'Budget &amp; Revenue'!$A:$V,16,FALSE)</f>
        <v>0</v>
      </c>
      <c r="J120" s="222">
        <f>VLOOKUP($A120,'Budget &amp; Revenue'!$A:$V,18,FALSE)</f>
        <v>0</v>
      </c>
      <c r="K120" s="222">
        <f>VLOOKUP($A120,'Budget &amp; Revenue'!$A:$V,20,FALSE)</f>
        <v>0</v>
      </c>
      <c r="L120" s="222">
        <f>VLOOKUP($A120,'Budget &amp; Revenue'!$A:$V,22,FALSE)</f>
        <v>0</v>
      </c>
    </row>
    <row r="121" spans="1:12" ht="45" x14ac:dyDescent="0.25">
      <c r="A121" s="220">
        <v>121</v>
      </c>
      <c r="B121" s="215" t="s">
        <v>282</v>
      </c>
      <c r="C121" s="220">
        <f>VLOOKUP(A121,Estimate!A:L,12,FALSE)</f>
        <v>2</v>
      </c>
      <c r="D121" s="216">
        <v>114</v>
      </c>
      <c r="E121" s="216">
        <v>122</v>
      </c>
      <c r="F121" s="221">
        <f>IFERROR(VLOOKUP(A121,Estimate!A:Q,17,FALSE),0)</f>
        <v>5321.3963963963961</v>
      </c>
      <c r="G121" s="222">
        <f>VLOOKUP($A121,'Budget &amp; Revenue'!$A:$V,12,FALSE)</f>
        <v>0</v>
      </c>
      <c r="H121" s="222">
        <f>VLOOKUP($A121,'Budget &amp; Revenue'!$A:$V,14,FALSE)</f>
        <v>0</v>
      </c>
      <c r="I121" s="222">
        <f>VLOOKUP($A121,'Budget &amp; Revenue'!$A:$V,16,FALSE)</f>
        <v>0</v>
      </c>
      <c r="J121" s="222">
        <f>VLOOKUP($A121,'Budget &amp; Revenue'!$A:$V,18,FALSE)</f>
        <v>0</v>
      </c>
      <c r="K121" s="222">
        <f>VLOOKUP($A121,'Budget &amp; Revenue'!$A:$V,20,FALSE)</f>
        <v>0</v>
      </c>
      <c r="L121" s="222">
        <f>VLOOKUP($A121,'Budget &amp; Revenue'!$A:$V,22,FALSE)</f>
        <v>0</v>
      </c>
    </row>
    <row r="122" spans="1:12" ht="60" x14ac:dyDescent="0.25">
      <c r="A122" s="220">
        <v>122</v>
      </c>
      <c r="B122" s="215" t="s">
        <v>604</v>
      </c>
      <c r="C122" s="220">
        <f>VLOOKUP(A122,Estimate!A:L,12,FALSE)</f>
        <v>1</v>
      </c>
      <c r="D122" s="216">
        <v>121</v>
      </c>
      <c r="E122" s="216">
        <v>123</v>
      </c>
      <c r="F122" s="221">
        <f>IFERROR(VLOOKUP(A122,Estimate!A:Q,17,FALSE),0)</f>
        <v>4967.1000000000004</v>
      </c>
      <c r="G122" s="222">
        <f>VLOOKUP($A122,'Budget &amp; Revenue'!$A:$V,12,FALSE)</f>
        <v>0</v>
      </c>
      <c r="H122" s="222">
        <f>VLOOKUP($A122,'Budget &amp; Revenue'!$A:$V,14,FALSE)</f>
        <v>0</v>
      </c>
      <c r="I122" s="222">
        <f>VLOOKUP($A122,'Budget &amp; Revenue'!$A:$V,16,FALSE)</f>
        <v>0</v>
      </c>
      <c r="J122" s="222">
        <f>VLOOKUP($A122,'Budget &amp; Revenue'!$A:$V,18,FALSE)</f>
        <v>0</v>
      </c>
      <c r="K122" s="222">
        <f>VLOOKUP($A122,'Budget &amp; Revenue'!$A:$V,20,FALSE)</f>
        <v>0</v>
      </c>
      <c r="L122" s="222">
        <f>VLOOKUP($A122,'Budget &amp; Revenue'!$A:$V,22,FALSE)</f>
        <v>0</v>
      </c>
    </row>
    <row r="123" spans="1:12" ht="45" x14ac:dyDescent="0.25">
      <c r="A123" s="220">
        <v>123</v>
      </c>
      <c r="B123" s="215" t="s">
        <v>80</v>
      </c>
      <c r="C123" s="220">
        <f>VLOOKUP(A123,Estimate!A:L,12,FALSE)</f>
        <v>1</v>
      </c>
      <c r="D123" s="216">
        <v>122</v>
      </c>
      <c r="E123" s="216">
        <v>139</v>
      </c>
      <c r="F123" s="221">
        <f>IFERROR(VLOOKUP(A123,Estimate!A:Q,17,FALSE),0)</f>
        <v>3143.5</v>
      </c>
      <c r="G123" s="222">
        <f>VLOOKUP($A123,'Budget &amp; Revenue'!$A:$V,12,FALSE)</f>
        <v>0</v>
      </c>
      <c r="H123" s="222">
        <f>VLOOKUP($A123,'Budget &amp; Revenue'!$A:$V,14,FALSE)</f>
        <v>0</v>
      </c>
      <c r="I123" s="222">
        <f>VLOOKUP($A123,'Budget &amp; Revenue'!$A:$V,16,FALSE)</f>
        <v>0</v>
      </c>
      <c r="J123" s="222">
        <f>VLOOKUP($A123,'Budget &amp; Revenue'!$A:$V,18,FALSE)</f>
        <v>0</v>
      </c>
      <c r="K123" s="222">
        <f>VLOOKUP($A123,'Budget &amp; Revenue'!$A:$V,20,FALSE)</f>
        <v>0</v>
      </c>
      <c r="L123" s="222">
        <f>VLOOKUP($A123,'Budget &amp; Revenue'!$A:$V,22,FALSE)</f>
        <v>0</v>
      </c>
    </row>
    <row r="124" spans="1:12" ht="90" x14ac:dyDescent="0.25">
      <c r="A124" s="220">
        <v>124</v>
      </c>
      <c r="B124" s="215" t="s">
        <v>605</v>
      </c>
      <c r="C124" s="220">
        <f>VLOOKUP(A124,Estimate!A:L,12,FALSE)</f>
        <v>1</v>
      </c>
      <c r="D124" s="216">
        <v>139</v>
      </c>
      <c r="E124" s="216">
        <v>125</v>
      </c>
      <c r="F124" s="221">
        <f>IFERROR(VLOOKUP(A124,Estimate!A:Q,17,FALSE),0)</f>
        <v>1270.2456666666665</v>
      </c>
      <c r="G124" s="222">
        <f>VLOOKUP($A124,'Budget &amp; Revenue'!$A:$V,12,FALSE)</f>
        <v>0</v>
      </c>
      <c r="H124" s="222">
        <f>VLOOKUP($A124,'Budget &amp; Revenue'!$A:$V,14,FALSE)</f>
        <v>0</v>
      </c>
      <c r="I124" s="222">
        <f>VLOOKUP($A124,'Budget &amp; Revenue'!$A:$V,16,FALSE)</f>
        <v>0</v>
      </c>
      <c r="J124" s="222">
        <f>VLOOKUP($A124,'Budget &amp; Revenue'!$A:$V,18,FALSE)</f>
        <v>0</v>
      </c>
      <c r="K124" s="222">
        <f>VLOOKUP($A124,'Budget &amp; Revenue'!$A:$V,20,FALSE)</f>
        <v>0</v>
      </c>
      <c r="L124" s="222">
        <f>VLOOKUP($A124,'Budget &amp; Revenue'!$A:$V,22,FALSE)</f>
        <v>0</v>
      </c>
    </row>
    <row r="125" spans="1:12" ht="30" x14ac:dyDescent="0.25">
      <c r="A125" s="220">
        <v>125</v>
      </c>
      <c r="B125" s="215" t="s">
        <v>387</v>
      </c>
      <c r="C125" s="220">
        <f>VLOOKUP(A125,Estimate!A:L,12,FALSE)</f>
        <v>1</v>
      </c>
      <c r="D125" s="216">
        <v>124</v>
      </c>
      <c r="E125" s="216">
        <v>116</v>
      </c>
      <c r="F125" s="221">
        <f>IFERROR(VLOOKUP(A125,Estimate!A:Q,17,FALSE),0)</f>
        <v>2429.2716666666665</v>
      </c>
      <c r="G125" s="222">
        <f>VLOOKUP($A125,'Budget &amp; Revenue'!$A:$V,12,FALSE)</f>
        <v>0</v>
      </c>
      <c r="H125" s="222">
        <f>VLOOKUP($A125,'Budget &amp; Revenue'!$A:$V,14,FALSE)</f>
        <v>0</v>
      </c>
      <c r="I125" s="222">
        <f>VLOOKUP($A125,'Budget &amp; Revenue'!$A:$V,16,FALSE)</f>
        <v>0</v>
      </c>
      <c r="J125" s="222">
        <f>VLOOKUP($A125,'Budget &amp; Revenue'!$A:$V,18,FALSE)</f>
        <v>0</v>
      </c>
      <c r="K125" s="222">
        <f>VLOOKUP($A125,'Budget &amp; Revenue'!$A:$V,20,FALSE)</f>
        <v>0</v>
      </c>
      <c r="L125" s="222">
        <f>VLOOKUP($A125,'Budget &amp; Revenue'!$A:$V,22,FALSE)</f>
        <v>0</v>
      </c>
    </row>
    <row r="126" spans="1:12" ht="60" x14ac:dyDescent="0.25">
      <c r="A126" s="220">
        <v>126</v>
      </c>
      <c r="B126" s="215" t="s">
        <v>606</v>
      </c>
      <c r="C126" s="220">
        <f>VLOOKUP(A126,Estimate!A:L,12,FALSE)</f>
        <v>1</v>
      </c>
      <c r="D126" s="216">
        <v>131</v>
      </c>
      <c r="E126" s="216">
        <v>127</v>
      </c>
      <c r="F126" s="221">
        <f>IFERROR(VLOOKUP(A126,Estimate!A:Q,17,FALSE),0)</f>
        <v>599.30824242424251</v>
      </c>
      <c r="G126" s="222">
        <f>VLOOKUP($A126,'Budget &amp; Revenue'!$A:$V,12,FALSE)</f>
        <v>0</v>
      </c>
      <c r="H126" s="222">
        <f>VLOOKUP($A126,'Budget &amp; Revenue'!$A:$V,14,FALSE)</f>
        <v>0</v>
      </c>
      <c r="I126" s="222">
        <f>VLOOKUP($A126,'Budget &amp; Revenue'!$A:$V,16,FALSE)</f>
        <v>0</v>
      </c>
      <c r="J126" s="222">
        <f>VLOOKUP($A126,'Budget &amp; Revenue'!$A:$V,18,FALSE)</f>
        <v>0</v>
      </c>
      <c r="K126" s="222">
        <f>VLOOKUP($A126,'Budget &amp; Revenue'!$A:$V,20,FALSE)</f>
        <v>0</v>
      </c>
      <c r="L126" s="222">
        <f>VLOOKUP($A126,'Budget &amp; Revenue'!$A:$V,22,FALSE)</f>
        <v>0</v>
      </c>
    </row>
    <row r="127" spans="1:12" ht="30" x14ac:dyDescent="0.25">
      <c r="A127" s="220">
        <v>127</v>
      </c>
      <c r="B127" s="215" t="s">
        <v>387</v>
      </c>
      <c r="C127" s="220">
        <f>VLOOKUP(A127,Estimate!A:L,12,FALSE)</f>
        <v>1</v>
      </c>
      <c r="D127" s="216">
        <v>126</v>
      </c>
      <c r="E127" s="216">
        <v>134</v>
      </c>
      <c r="F127" s="221">
        <f>IFERROR(VLOOKUP(A127,Estimate!A:Q,17,FALSE),0)</f>
        <v>1264.2650909090908</v>
      </c>
      <c r="G127" s="222">
        <f>VLOOKUP($A127,'Budget &amp; Revenue'!$A:$V,12,FALSE)</f>
        <v>0</v>
      </c>
      <c r="H127" s="222">
        <f>VLOOKUP($A127,'Budget &amp; Revenue'!$A:$V,14,FALSE)</f>
        <v>0</v>
      </c>
      <c r="I127" s="222">
        <f>VLOOKUP($A127,'Budget &amp; Revenue'!$A:$V,16,FALSE)</f>
        <v>0</v>
      </c>
      <c r="J127" s="222">
        <f>VLOOKUP($A127,'Budget &amp; Revenue'!$A:$V,18,FALSE)</f>
        <v>0</v>
      </c>
      <c r="K127" s="222">
        <f>VLOOKUP($A127,'Budget &amp; Revenue'!$A:$V,20,FALSE)</f>
        <v>0</v>
      </c>
      <c r="L127" s="222">
        <f>VLOOKUP($A127,'Budget &amp; Revenue'!$A:$V,22,FALSE)</f>
        <v>0</v>
      </c>
    </row>
    <row r="128" spans="1:12" ht="75" x14ac:dyDescent="0.25">
      <c r="A128" s="220">
        <v>128</v>
      </c>
      <c r="B128" s="215" t="s">
        <v>607</v>
      </c>
      <c r="C128" s="220">
        <f>VLOOKUP(A128,Estimate!A:L,12,FALSE)</f>
        <v>1</v>
      </c>
      <c r="D128" s="217">
        <v>138117120</v>
      </c>
      <c r="E128" s="216">
        <v>131</v>
      </c>
      <c r="F128" s="221">
        <f>IFERROR(VLOOKUP(A128,Estimate!A:Q,17,FALSE),0)</f>
        <v>4914.2737205063986</v>
      </c>
      <c r="G128" s="222">
        <f>VLOOKUP($A128,'Budget &amp; Revenue'!$A:$V,12,FALSE)</f>
        <v>0</v>
      </c>
      <c r="H128" s="222">
        <f>VLOOKUP($A128,'Budget &amp; Revenue'!$A:$V,14,FALSE)</f>
        <v>0</v>
      </c>
      <c r="I128" s="222">
        <f>VLOOKUP($A128,'Budget &amp; Revenue'!$A:$V,16,FALSE)</f>
        <v>0</v>
      </c>
      <c r="J128" s="222">
        <f>VLOOKUP($A128,'Budget &amp; Revenue'!$A:$V,18,FALSE)</f>
        <v>0</v>
      </c>
      <c r="K128" s="222">
        <f>VLOOKUP($A128,'Budget &amp; Revenue'!$A:$V,20,FALSE)</f>
        <v>0</v>
      </c>
      <c r="L128" s="222">
        <f>VLOOKUP($A128,'Budget &amp; Revenue'!$A:$V,22,FALSE)</f>
        <v>0</v>
      </c>
    </row>
    <row r="129" spans="1:12" ht="75" x14ac:dyDescent="0.25">
      <c r="A129" s="220">
        <v>129</v>
      </c>
      <c r="B129" s="215" t="s">
        <v>608</v>
      </c>
      <c r="C129" s="220">
        <f>VLOOKUP(A129,Estimate!A:L,12,FALSE)</f>
        <v>1</v>
      </c>
      <c r="D129" s="216">
        <v>133</v>
      </c>
      <c r="E129" s="216">
        <v>132</v>
      </c>
      <c r="F129" s="221">
        <f>IFERROR(VLOOKUP(A129,Estimate!A:Q,17,FALSE),0)</f>
        <v>7480.406692966536</v>
      </c>
      <c r="G129" s="222">
        <f>VLOOKUP($A129,'Budget &amp; Revenue'!$A:$V,12,FALSE)</f>
        <v>0</v>
      </c>
      <c r="H129" s="222">
        <f>VLOOKUP($A129,'Budget &amp; Revenue'!$A:$V,14,FALSE)</f>
        <v>0</v>
      </c>
      <c r="I129" s="222">
        <f>VLOOKUP($A129,'Budget &amp; Revenue'!$A:$V,16,FALSE)</f>
        <v>0</v>
      </c>
      <c r="J129" s="222">
        <f>VLOOKUP($A129,'Budget &amp; Revenue'!$A:$V,18,FALSE)</f>
        <v>0</v>
      </c>
      <c r="K129" s="222">
        <f>VLOOKUP($A129,'Budget &amp; Revenue'!$A:$V,20,FALSE)</f>
        <v>0</v>
      </c>
      <c r="L129" s="222">
        <f>VLOOKUP($A129,'Budget &amp; Revenue'!$A:$V,22,FALSE)</f>
        <v>0</v>
      </c>
    </row>
    <row r="130" spans="1:12" ht="75" x14ac:dyDescent="0.25">
      <c r="A130" s="220">
        <v>130</v>
      </c>
      <c r="B130" s="215" t="s">
        <v>609</v>
      </c>
      <c r="C130" s="220">
        <f>VLOOKUP(A130,Estimate!A:L,12,FALSE)</f>
        <v>1</v>
      </c>
      <c r="D130" s="217">
        <v>116119</v>
      </c>
      <c r="E130" s="216">
        <v>133</v>
      </c>
      <c r="F130" s="221">
        <f>IFERROR(VLOOKUP(A130,Estimate!A:Q,17,FALSE),0)</f>
        <v>6310.3313189434066</v>
      </c>
      <c r="G130" s="222">
        <f>VLOOKUP($A130,'Budget &amp; Revenue'!$A:$V,12,FALSE)</f>
        <v>0</v>
      </c>
      <c r="H130" s="222">
        <f>VLOOKUP($A130,'Budget &amp; Revenue'!$A:$V,14,FALSE)</f>
        <v>0</v>
      </c>
      <c r="I130" s="222">
        <f>VLOOKUP($A130,'Budget &amp; Revenue'!$A:$V,16,FALSE)</f>
        <v>0</v>
      </c>
      <c r="J130" s="222">
        <f>VLOOKUP($A130,'Budget &amp; Revenue'!$A:$V,18,FALSE)</f>
        <v>0</v>
      </c>
      <c r="K130" s="222">
        <f>VLOOKUP($A130,'Budget &amp; Revenue'!$A:$V,20,FALSE)</f>
        <v>0</v>
      </c>
      <c r="L130" s="222">
        <f>VLOOKUP($A130,'Budget &amp; Revenue'!$A:$V,22,FALSE)</f>
        <v>0</v>
      </c>
    </row>
    <row r="131" spans="1:12" ht="75" x14ac:dyDescent="0.25">
      <c r="A131" s="220">
        <v>131</v>
      </c>
      <c r="B131" s="215" t="s">
        <v>610</v>
      </c>
      <c r="C131" s="220">
        <f>VLOOKUP(A131,Estimate!A:L,12,FALSE)</f>
        <v>1</v>
      </c>
      <c r="D131" s="216">
        <v>128</v>
      </c>
      <c r="E131" s="217">
        <v>118126</v>
      </c>
      <c r="F131" s="221">
        <f>IFERROR(VLOOKUP(A131,Estimate!A:Q,17,FALSE),0)</f>
        <v>10149.043553219735</v>
      </c>
      <c r="G131" s="222">
        <f>VLOOKUP($A131,'Budget &amp; Revenue'!$A:$V,12,FALSE)</f>
        <v>0</v>
      </c>
      <c r="H131" s="222">
        <f>VLOOKUP($A131,'Budget &amp; Revenue'!$A:$V,14,FALSE)</f>
        <v>0</v>
      </c>
      <c r="I131" s="222">
        <f>VLOOKUP($A131,'Budget &amp; Revenue'!$A:$V,16,FALSE)</f>
        <v>0</v>
      </c>
      <c r="J131" s="222">
        <f>VLOOKUP($A131,'Budget &amp; Revenue'!$A:$V,18,FALSE)</f>
        <v>0</v>
      </c>
      <c r="K131" s="222">
        <f>VLOOKUP($A131,'Budget &amp; Revenue'!$A:$V,20,FALSE)</f>
        <v>0</v>
      </c>
      <c r="L131" s="222">
        <f>VLOOKUP($A131,'Budget &amp; Revenue'!$A:$V,22,FALSE)</f>
        <v>0</v>
      </c>
    </row>
    <row r="132" spans="1:12" ht="75" x14ac:dyDescent="0.25">
      <c r="A132" s="220">
        <v>132</v>
      </c>
      <c r="B132" s="215" t="s">
        <v>611</v>
      </c>
      <c r="C132" s="220">
        <f>VLOOKUP(A132,Estimate!A:L,12,FALSE)</f>
        <v>1</v>
      </c>
      <c r="D132" s="216">
        <v>129</v>
      </c>
      <c r="E132" s="217">
        <v>138117</v>
      </c>
      <c r="F132" s="221">
        <f>IFERROR(VLOOKUP(A132,Estimate!A:Q,17,FALSE),0)</f>
        <v>14856.918848530759</v>
      </c>
      <c r="G132" s="222">
        <f>VLOOKUP($A132,'Budget &amp; Revenue'!$A:$V,12,FALSE)</f>
        <v>0</v>
      </c>
      <c r="H132" s="222">
        <f>VLOOKUP($A132,'Budget &amp; Revenue'!$A:$V,14,FALSE)</f>
        <v>0</v>
      </c>
      <c r="I132" s="222">
        <f>VLOOKUP($A132,'Budget &amp; Revenue'!$A:$V,16,FALSE)</f>
        <v>0</v>
      </c>
      <c r="J132" s="222">
        <f>VLOOKUP($A132,'Budget &amp; Revenue'!$A:$V,18,FALSE)</f>
        <v>0</v>
      </c>
      <c r="K132" s="222">
        <f>VLOOKUP($A132,'Budget &amp; Revenue'!$A:$V,20,FALSE)</f>
        <v>0</v>
      </c>
      <c r="L132" s="222">
        <f>VLOOKUP($A132,'Budget &amp; Revenue'!$A:$V,22,FALSE)</f>
        <v>0</v>
      </c>
    </row>
    <row r="133" spans="1:12" ht="75" x14ac:dyDescent="0.25">
      <c r="A133" s="220">
        <v>133</v>
      </c>
      <c r="B133" s="215" t="s">
        <v>612</v>
      </c>
      <c r="C133" s="220">
        <f>VLOOKUP(A133,Estimate!A:L,12,FALSE)</f>
        <v>1</v>
      </c>
      <c r="D133" s="216">
        <v>130</v>
      </c>
      <c r="E133" s="216">
        <v>129</v>
      </c>
      <c r="F133" s="221">
        <f>IFERROR(VLOOKUP(A133,Estimate!A:Q,17,FALSE),0)</f>
        <v>12111.764950875249</v>
      </c>
      <c r="G133" s="222">
        <f>VLOOKUP($A133,'Budget &amp; Revenue'!$A:$V,12,FALSE)</f>
        <v>0</v>
      </c>
      <c r="H133" s="222">
        <f>VLOOKUP($A133,'Budget &amp; Revenue'!$A:$V,14,FALSE)</f>
        <v>0</v>
      </c>
      <c r="I133" s="222">
        <f>VLOOKUP($A133,'Budget &amp; Revenue'!$A:$V,16,FALSE)</f>
        <v>0</v>
      </c>
      <c r="J133" s="222">
        <f>VLOOKUP($A133,'Budget &amp; Revenue'!$A:$V,18,FALSE)</f>
        <v>0</v>
      </c>
      <c r="K133" s="222">
        <f>VLOOKUP($A133,'Budget &amp; Revenue'!$A:$V,20,FALSE)</f>
        <v>0</v>
      </c>
      <c r="L133" s="222">
        <f>VLOOKUP($A133,'Budget &amp; Revenue'!$A:$V,22,FALSE)</f>
        <v>0</v>
      </c>
    </row>
    <row r="134" spans="1:12" ht="60" x14ac:dyDescent="0.25">
      <c r="A134" s="220">
        <v>134</v>
      </c>
      <c r="B134" s="215" t="s">
        <v>595</v>
      </c>
      <c r="C134" s="220">
        <f>VLOOKUP(A134,Estimate!A:L,12,FALSE)</f>
        <v>2</v>
      </c>
      <c r="D134" s="216">
        <v>127</v>
      </c>
      <c r="E134" s="216">
        <v>135</v>
      </c>
      <c r="F134" s="221">
        <f>IFERROR(VLOOKUP(A134,Estimate!A:Q,17,FALSE),0)</f>
        <v>5610.0654544832396</v>
      </c>
      <c r="G134" s="222">
        <f>VLOOKUP($A134,'Budget &amp; Revenue'!$A:$V,12,FALSE)</f>
        <v>0</v>
      </c>
      <c r="H134" s="222">
        <f>VLOOKUP($A134,'Budget &amp; Revenue'!$A:$V,14,FALSE)</f>
        <v>0</v>
      </c>
      <c r="I134" s="222">
        <f>VLOOKUP($A134,'Budget &amp; Revenue'!$A:$V,16,FALSE)</f>
        <v>0</v>
      </c>
      <c r="J134" s="222">
        <f>VLOOKUP($A134,'Budget &amp; Revenue'!$A:$V,18,FALSE)</f>
        <v>0</v>
      </c>
      <c r="K134" s="222">
        <f>VLOOKUP($A134,'Budget &amp; Revenue'!$A:$V,20,FALSE)</f>
        <v>0</v>
      </c>
      <c r="L134" s="222">
        <f>VLOOKUP($A134,'Budget &amp; Revenue'!$A:$V,22,FALSE)</f>
        <v>0</v>
      </c>
    </row>
    <row r="135" spans="1:12" ht="75" x14ac:dyDescent="0.25">
      <c r="A135" s="220">
        <v>135</v>
      </c>
      <c r="B135" s="215" t="s">
        <v>613</v>
      </c>
      <c r="C135" s="220">
        <f>VLOOKUP(A135,Estimate!A:L,12,FALSE)</f>
        <v>1</v>
      </c>
      <c r="D135" s="217">
        <v>118134</v>
      </c>
      <c r="E135" s="216" t="s">
        <v>660</v>
      </c>
      <c r="F135" s="221">
        <f>IFERROR(VLOOKUP(A135,Estimate!A:Q,17,FALSE),0)</f>
        <v>1525.3700000000001</v>
      </c>
      <c r="G135" s="222">
        <f>VLOOKUP($A135,'Budget &amp; Revenue'!$A:$V,12,FALSE)</f>
        <v>0</v>
      </c>
      <c r="H135" s="222">
        <f>VLOOKUP($A135,'Budget &amp; Revenue'!$A:$V,14,FALSE)</f>
        <v>0</v>
      </c>
      <c r="I135" s="222">
        <f>VLOOKUP($A135,'Budget &amp; Revenue'!$A:$V,16,FALSE)</f>
        <v>0</v>
      </c>
      <c r="J135" s="222">
        <f>VLOOKUP($A135,'Budget &amp; Revenue'!$A:$V,18,FALSE)</f>
        <v>0</v>
      </c>
      <c r="K135" s="222">
        <f>VLOOKUP($A135,'Budget &amp; Revenue'!$A:$V,20,FALSE)</f>
        <v>0</v>
      </c>
      <c r="L135" s="222">
        <f>VLOOKUP($A135,'Budget &amp; Revenue'!$A:$V,22,FALSE)</f>
        <v>0</v>
      </c>
    </row>
    <row r="136" spans="1:12" ht="75" x14ac:dyDescent="0.25">
      <c r="A136" s="220">
        <v>136</v>
      </c>
      <c r="B136" s="215" t="s">
        <v>614</v>
      </c>
      <c r="C136" s="220">
        <f>VLOOKUP(A136,Estimate!A:L,12,FALSE)</f>
        <v>1</v>
      </c>
      <c r="D136" s="216" t="s">
        <v>661</v>
      </c>
      <c r="E136" s="216">
        <v>137</v>
      </c>
      <c r="F136" s="221">
        <f>IFERROR(VLOOKUP(A136,Estimate!A:Q,17,FALSE),0)</f>
        <v>3217.8300000000004</v>
      </c>
      <c r="G136" s="222">
        <f>VLOOKUP($A136,'Budget &amp; Revenue'!$A:$V,12,FALSE)</f>
        <v>0</v>
      </c>
      <c r="H136" s="222">
        <f>VLOOKUP($A136,'Budget &amp; Revenue'!$A:$V,14,FALSE)</f>
        <v>0</v>
      </c>
      <c r="I136" s="222">
        <f>VLOOKUP($A136,'Budget &amp; Revenue'!$A:$V,16,FALSE)</f>
        <v>0</v>
      </c>
      <c r="J136" s="222">
        <f>VLOOKUP($A136,'Budget &amp; Revenue'!$A:$V,18,FALSE)</f>
        <v>0</v>
      </c>
      <c r="K136" s="222">
        <f>VLOOKUP($A136,'Budget &amp; Revenue'!$A:$V,20,FALSE)</f>
        <v>0</v>
      </c>
      <c r="L136" s="222">
        <f>VLOOKUP($A136,'Budget &amp; Revenue'!$A:$V,22,FALSE)</f>
        <v>0</v>
      </c>
    </row>
    <row r="137" spans="1:12" ht="75" x14ac:dyDescent="0.25">
      <c r="A137" s="220">
        <v>137</v>
      </c>
      <c r="B137" s="215" t="s">
        <v>615</v>
      </c>
      <c r="C137" s="220">
        <f>VLOOKUP(A137,Estimate!A:L,12,FALSE)</f>
        <v>2</v>
      </c>
      <c r="D137" s="216">
        <v>136</v>
      </c>
      <c r="E137" s="216">
        <v>146</v>
      </c>
      <c r="F137" s="221">
        <f>IFERROR(VLOOKUP(A137,Estimate!A:Q,17,FALSE),0)</f>
        <v>121115.29842350788</v>
      </c>
      <c r="G137" s="222">
        <f>VLOOKUP($A137,'Budget &amp; Revenue'!$A:$V,12,FALSE)</f>
        <v>0</v>
      </c>
      <c r="H137" s="222">
        <f>VLOOKUP($A137,'Budget &amp; Revenue'!$A:$V,14,FALSE)</f>
        <v>0</v>
      </c>
      <c r="I137" s="222">
        <f>VLOOKUP($A137,'Budget &amp; Revenue'!$A:$V,16,FALSE)</f>
        <v>0</v>
      </c>
      <c r="J137" s="222">
        <f>VLOOKUP($A137,'Budget &amp; Revenue'!$A:$V,18,FALSE)</f>
        <v>0</v>
      </c>
      <c r="K137" s="222">
        <f>VLOOKUP($A137,'Budget &amp; Revenue'!$A:$V,20,FALSE)</f>
        <v>0</v>
      </c>
      <c r="L137" s="222">
        <f>VLOOKUP($A137,'Budget &amp; Revenue'!$A:$V,22,FALSE)</f>
        <v>0</v>
      </c>
    </row>
    <row r="138" spans="1:12" ht="30" x14ac:dyDescent="0.25">
      <c r="A138" s="220">
        <v>138</v>
      </c>
      <c r="B138" s="215" t="s">
        <v>598</v>
      </c>
      <c r="C138" s="220">
        <f>VLOOKUP(A138,Estimate!A:L,12,FALSE)</f>
        <v>1</v>
      </c>
      <c r="D138" s="216">
        <v>132</v>
      </c>
      <c r="E138" s="217">
        <v>128142</v>
      </c>
      <c r="F138" s="221">
        <f>IFERROR(VLOOKUP(A138,Estimate!A:Q,17,FALSE),0)</f>
        <v>5701.1988000000001</v>
      </c>
      <c r="G138" s="222">
        <f>VLOOKUP($A138,'Budget &amp; Revenue'!$A:$V,12,FALSE)</f>
        <v>0</v>
      </c>
      <c r="H138" s="222">
        <f>VLOOKUP($A138,'Budget &amp; Revenue'!$A:$V,14,FALSE)</f>
        <v>0</v>
      </c>
      <c r="I138" s="222">
        <f>VLOOKUP($A138,'Budget &amp; Revenue'!$A:$V,16,FALSE)</f>
        <v>0</v>
      </c>
      <c r="J138" s="222">
        <f>VLOOKUP($A138,'Budget &amp; Revenue'!$A:$V,18,FALSE)</f>
        <v>0</v>
      </c>
      <c r="K138" s="222">
        <f>VLOOKUP($A138,'Budget &amp; Revenue'!$A:$V,20,FALSE)</f>
        <v>0</v>
      </c>
      <c r="L138" s="222">
        <f>VLOOKUP($A138,'Budget &amp; Revenue'!$A:$V,22,FALSE)</f>
        <v>0</v>
      </c>
    </row>
    <row r="139" spans="1:12" ht="75" x14ac:dyDescent="0.25">
      <c r="A139" s="220">
        <v>139</v>
      </c>
      <c r="B139" s="215" t="s">
        <v>599</v>
      </c>
      <c r="C139" s="220">
        <f>VLOOKUP(A139,Estimate!A:L,12,FALSE)</f>
        <v>1</v>
      </c>
      <c r="D139" s="216">
        <v>123</v>
      </c>
      <c r="E139" s="217">
        <v>140124</v>
      </c>
      <c r="F139" s="221">
        <f>IFERROR(VLOOKUP(A139,Estimate!A:Q,17,FALSE),0)</f>
        <v>2770.989</v>
      </c>
      <c r="G139" s="222">
        <f>VLOOKUP($A139,'Budget &amp; Revenue'!$A:$V,12,FALSE)</f>
        <v>0</v>
      </c>
      <c r="H139" s="222">
        <f>VLOOKUP($A139,'Budget &amp; Revenue'!$A:$V,14,FALSE)</f>
        <v>0</v>
      </c>
      <c r="I139" s="222">
        <f>VLOOKUP($A139,'Budget &amp; Revenue'!$A:$V,16,FALSE)</f>
        <v>0</v>
      </c>
      <c r="J139" s="222">
        <f>VLOOKUP($A139,'Budget &amp; Revenue'!$A:$V,18,FALSE)</f>
        <v>0</v>
      </c>
      <c r="K139" s="222">
        <f>VLOOKUP($A139,'Budget &amp; Revenue'!$A:$V,20,FALSE)</f>
        <v>0</v>
      </c>
      <c r="L139" s="222">
        <f>VLOOKUP($A139,'Budget &amp; Revenue'!$A:$V,22,FALSE)</f>
        <v>0</v>
      </c>
    </row>
    <row r="140" spans="1:12" ht="45" x14ac:dyDescent="0.25">
      <c r="A140" s="220">
        <v>140</v>
      </c>
      <c r="B140" s="215" t="s">
        <v>331</v>
      </c>
      <c r="C140" s="220">
        <f>VLOOKUP(A140,Estimate!A:L,12,FALSE)</f>
        <v>3</v>
      </c>
      <c r="D140" s="216">
        <v>139</v>
      </c>
      <c r="E140" s="216">
        <v>142</v>
      </c>
      <c r="F140" s="221">
        <f>IFERROR(VLOOKUP(A140,Estimate!A:Q,17,FALSE),0)</f>
        <v>3860</v>
      </c>
      <c r="G140" s="222">
        <f>VLOOKUP($A140,'Budget &amp; Revenue'!$A:$V,12,FALSE)</f>
        <v>0</v>
      </c>
      <c r="H140" s="222">
        <f>VLOOKUP($A140,'Budget &amp; Revenue'!$A:$V,14,FALSE)</f>
        <v>0</v>
      </c>
      <c r="I140" s="222">
        <f>VLOOKUP($A140,'Budget &amp; Revenue'!$A:$V,16,FALSE)</f>
        <v>0</v>
      </c>
      <c r="J140" s="222">
        <f>VLOOKUP($A140,'Budget &amp; Revenue'!$A:$V,18,FALSE)</f>
        <v>0</v>
      </c>
      <c r="K140" s="222">
        <f>VLOOKUP($A140,'Budget &amp; Revenue'!$A:$V,20,FALSE)</f>
        <v>0</v>
      </c>
      <c r="L140" s="222">
        <f>VLOOKUP($A140,'Budget &amp; Revenue'!$A:$V,22,FALSE)</f>
        <v>0</v>
      </c>
    </row>
    <row r="141" spans="1:12" x14ac:dyDescent="0.25">
      <c r="A141" s="220">
        <v>141</v>
      </c>
      <c r="B141" s="215" t="s">
        <v>333</v>
      </c>
      <c r="C141" s="220">
        <f>VLOOKUP(A141,Estimate!A:L,12,FALSE)</f>
        <v>1</v>
      </c>
      <c r="D141" s="216">
        <v>142</v>
      </c>
      <c r="E141" s="216">
        <v>143</v>
      </c>
      <c r="F141" s="221">
        <f>IFERROR(VLOOKUP(A141,Estimate!A:Q,17,FALSE),0)</f>
        <v>2452.8000000000002</v>
      </c>
      <c r="G141" s="222">
        <f>VLOOKUP($A141,'Budget &amp; Revenue'!$A:$V,12,FALSE)</f>
        <v>0</v>
      </c>
      <c r="H141" s="222">
        <f>VLOOKUP($A141,'Budget &amp; Revenue'!$A:$V,14,FALSE)</f>
        <v>0</v>
      </c>
      <c r="I141" s="222">
        <f>VLOOKUP($A141,'Budget &amp; Revenue'!$A:$V,16,FALSE)</f>
        <v>0</v>
      </c>
      <c r="J141" s="222">
        <f>VLOOKUP($A141,'Budget &amp; Revenue'!$A:$V,18,FALSE)</f>
        <v>0</v>
      </c>
      <c r="K141" s="222">
        <f>VLOOKUP($A141,'Budget &amp; Revenue'!$A:$V,20,FALSE)</f>
        <v>0</v>
      </c>
      <c r="L141" s="222">
        <f>VLOOKUP($A141,'Budget &amp; Revenue'!$A:$V,22,FALSE)</f>
        <v>0</v>
      </c>
    </row>
    <row r="142" spans="1:12" ht="60" x14ac:dyDescent="0.25">
      <c r="A142" s="220">
        <v>142</v>
      </c>
      <c r="B142" s="215" t="s">
        <v>1298</v>
      </c>
      <c r="C142" s="220">
        <f>VLOOKUP(A142,Estimate!A:L,12,FALSE)</f>
        <v>1</v>
      </c>
      <c r="D142" s="217">
        <v>138140</v>
      </c>
      <c r="E142" s="216">
        <v>141</v>
      </c>
      <c r="F142" s="221">
        <f>IFERROR(VLOOKUP(A142,Estimate!A:Q,17,FALSE),0)</f>
        <v>2690.8</v>
      </c>
      <c r="G142" s="222">
        <f>VLOOKUP($A142,'Budget &amp; Revenue'!$A:$V,12,FALSE)</f>
        <v>0</v>
      </c>
      <c r="H142" s="222">
        <f>VLOOKUP($A142,'Budget &amp; Revenue'!$A:$V,14,FALSE)</f>
        <v>0</v>
      </c>
      <c r="I142" s="222">
        <f>VLOOKUP($A142,'Budget &amp; Revenue'!$A:$V,16,FALSE)</f>
        <v>0</v>
      </c>
      <c r="J142" s="222">
        <f>VLOOKUP($A142,'Budget &amp; Revenue'!$A:$V,18,FALSE)</f>
        <v>0</v>
      </c>
      <c r="K142" s="222">
        <f>VLOOKUP($A142,'Budget &amp; Revenue'!$A:$V,20,FALSE)</f>
        <v>0</v>
      </c>
      <c r="L142" s="222">
        <f>VLOOKUP($A142,'Budget &amp; Revenue'!$A:$V,22,FALSE)</f>
        <v>0</v>
      </c>
    </row>
    <row r="143" spans="1:12" ht="45" x14ac:dyDescent="0.25">
      <c r="A143" s="220">
        <v>143</v>
      </c>
      <c r="B143" s="215" t="s">
        <v>616</v>
      </c>
      <c r="C143" s="220">
        <f>VLOOKUP(A143,Estimate!A:L,12,FALSE)</f>
        <v>1</v>
      </c>
      <c r="D143" s="216">
        <v>141</v>
      </c>
      <c r="E143" s="216">
        <v>144</v>
      </c>
      <c r="F143" s="221">
        <f>IFERROR(VLOOKUP(A143,Estimate!A:Q,17,FALSE),0)</f>
        <v>767.25</v>
      </c>
      <c r="G143" s="222">
        <f>VLOOKUP($A143,'Budget &amp; Revenue'!$A:$V,12,FALSE)</f>
        <v>0</v>
      </c>
      <c r="H143" s="222">
        <f>VLOOKUP($A143,'Budget &amp; Revenue'!$A:$V,14,FALSE)</f>
        <v>0</v>
      </c>
      <c r="I143" s="222">
        <f>VLOOKUP($A143,'Budget &amp; Revenue'!$A:$V,16,FALSE)</f>
        <v>0</v>
      </c>
      <c r="J143" s="222">
        <f>VLOOKUP($A143,'Budget &amp; Revenue'!$A:$V,18,FALSE)</f>
        <v>0</v>
      </c>
      <c r="K143" s="222">
        <f>VLOOKUP($A143,'Budget &amp; Revenue'!$A:$V,20,FALSE)</f>
        <v>0</v>
      </c>
      <c r="L143" s="222">
        <f>VLOOKUP($A143,'Budget &amp; Revenue'!$A:$V,22,FALSE)</f>
        <v>0</v>
      </c>
    </row>
    <row r="144" spans="1:12" ht="30" x14ac:dyDescent="0.25">
      <c r="A144" s="220">
        <v>144</v>
      </c>
      <c r="B144" s="215" t="s">
        <v>141</v>
      </c>
      <c r="C144" s="220">
        <f>VLOOKUP(A144,Estimate!A:L,12,FALSE)</f>
        <v>1</v>
      </c>
      <c r="D144" s="216">
        <v>143</v>
      </c>
      <c r="E144" s="216">
        <v>145</v>
      </c>
      <c r="F144" s="221">
        <f>IFERROR(VLOOKUP(A144,Estimate!A:Q,17,FALSE),0)</f>
        <v>1125</v>
      </c>
      <c r="G144" s="222">
        <f>VLOOKUP($A144,'Budget &amp; Revenue'!$A:$V,12,FALSE)</f>
        <v>0</v>
      </c>
      <c r="H144" s="222">
        <f>VLOOKUP($A144,'Budget &amp; Revenue'!$A:$V,14,FALSE)</f>
        <v>0</v>
      </c>
      <c r="I144" s="222">
        <f>VLOOKUP($A144,'Budget &amp; Revenue'!$A:$V,16,FALSE)</f>
        <v>0</v>
      </c>
      <c r="J144" s="222">
        <f>VLOOKUP($A144,'Budget &amp; Revenue'!$A:$V,18,FALSE)</f>
        <v>0</v>
      </c>
      <c r="K144" s="222">
        <f>VLOOKUP($A144,'Budget &amp; Revenue'!$A:$V,20,FALSE)</f>
        <v>0</v>
      </c>
      <c r="L144" s="222">
        <f>VLOOKUP($A144,'Budget &amp; Revenue'!$A:$V,22,FALSE)</f>
        <v>0</v>
      </c>
    </row>
    <row r="145" spans="1:12" x14ac:dyDescent="0.25">
      <c r="A145" s="220">
        <v>145</v>
      </c>
      <c r="B145" s="215" t="s">
        <v>144</v>
      </c>
      <c r="C145" s="220">
        <f>VLOOKUP(A145,Estimate!A:L,12,FALSE)</f>
        <v>1</v>
      </c>
      <c r="D145" s="216">
        <v>144</v>
      </c>
      <c r="E145" s="216" t="s">
        <v>662</v>
      </c>
      <c r="F145" s="221">
        <f>IFERROR(VLOOKUP(A145,Estimate!A:Q,17,FALSE),0)</f>
        <v>1626.4</v>
      </c>
      <c r="G145" s="222">
        <f>VLOOKUP($A145,'Budget &amp; Revenue'!$A:$V,12,FALSE)</f>
        <v>0</v>
      </c>
      <c r="H145" s="222">
        <f>VLOOKUP($A145,'Budget &amp; Revenue'!$A:$V,14,FALSE)</f>
        <v>0</v>
      </c>
      <c r="I145" s="222">
        <f>VLOOKUP($A145,'Budget &amp; Revenue'!$A:$V,16,FALSE)</f>
        <v>0</v>
      </c>
      <c r="J145" s="222">
        <f>VLOOKUP($A145,'Budget &amp; Revenue'!$A:$V,18,FALSE)</f>
        <v>0</v>
      </c>
      <c r="K145" s="222">
        <f>VLOOKUP($A145,'Budget &amp; Revenue'!$A:$V,20,FALSE)</f>
        <v>0</v>
      </c>
      <c r="L145" s="222">
        <f>VLOOKUP($A145,'Budget &amp; Revenue'!$A:$V,22,FALSE)</f>
        <v>0</v>
      </c>
    </row>
    <row r="146" spans="1:12" x14ac:dyDescent="0.25">
      <c r="A146" s="220">
        <v>146</v>
      </c>
      <c r="B146" s="215" t="s">
        <v>348</v>
      </c>
      <c r="C146" s="220">
        <f>VLOOKUP(A146,Estimate!A:L,12,FALSE)</f>
        <v>1</v>
      </c>
      <c r="D146" s="216">
        <v>137</v>
      </c>
      <c r="E146" s="216">
        <v>147</v>
      </c>
      <c r="F146" s="221">
        <f>IFERROR(VLOOKUP(A146,Estimate!A:Q,17,FALSE),0)</f>
        <v>500</v>
      </c>
      <c r="G146" s="222">
        <f>VLOOKUP($A146,'Budget &amp; Revenue'!$A:$V,12,FALSE)</f>
        <v>0</v>
      </c>
      <c r="H146" s="222">
        <f>VLOOKUP($A146,'Budget &amp; Revenue'!$A:$V,14,FALSE)</f>
        <v>0</v>
      </c>
      <c r="I146" s="222">
        <f>VLOOKUP($A146,'Budget &amp; Revenue'!$A:$V,16,FALSE)</f>
        <v>0</v>
      </c>
      <c r="J146" s="222">
        <f>VLOOKUP($A146,'Budget &amp; Revenue'!$A:$V,18,FALSE)</f>
        <v>0</v>
      </c>
      <c r="K146" s="222">
        <f>VLOOKUP($A146,'Budget &amp; Revenue'!$A:$V,20,FALSE)</f>
        <v>0</v>
      </c>
      <c r="L146" s="222">
        <f>VLOOKUP($A146,'Budget &amp; Revenue'!$A:$V,22,FALSE)</f>
        <v>0</v>
      </c>
    </row>
    <row r="147" spans="1:12" x14ac:dyDescent="0.25">
      <c r="A147" s="220">
        <v>147</v>
      </c>
      <c r="B147" s="215" t="s">
        <v>350</v>
      </c>
      <c r="C147" s="220">
        <f>VLOOKUP(A147,Estimate!A:L,12,FALSE)</f>
        <v>1</v>
      </c>
      <c r="D147" s="216">
        <v>146</v>
      </c>
      <c r="E147" s="216">
        <v>148</v>
      </c>
      <c r="F147" s="221">
        <f>IFERROR(VLOOKUP(A147,Estimate!A:Q,17,FALSE),0)</f>
        <v>338.8</v>
      </c>
      <c r="G147" s="222">
        <f>VLOOKUP($A147,'Budget &amp; Revenue'!$A:$V,12,FALSE)</f>
        <v>0</v>
      </c>
      <c r="H147" s="222">
        <f>VLOOKUP($A147,'Budget &amp; Revenue'!$A:$V,14,FALSE)</f>
        <v>0</v>
      </c>
      <c r="I147" s="222">
        <f>VLOOKUP($A147,'Budget &amp; Revenue'!$A:$V,16,FALSE)</f>
        <v>0</v>
      </c>
      <c r="J147" s="222">
        <f>VLOOKUP($A147,'Budget &amp; Revenue'!$A:$V,18,FALSE)</f>
        <v>0</v>
      </c>
      <c r="K147" s="222">
        <f>VLOOKUP($A147,'Budget &amp; Revenue'!$A:$V,20,FALSE)</f>
        <v>0</v>
      </c>
      <c r="L147" s="222">
        <f>VLOOKUP($A147,'Budget &amp; Revenue'!$A:$V,22,FALSE)</f>
        <v>0</v>
      </c>
    </row>
    <row r="148" spans="1:12" ht="60" x14ac:dyDescent="0.25">
      <c r="A148" s="220">
        <v>148</v>
      </c>
      <c r="B148" s="215" t="s">
        <v>1299</v>
      </c>
      <c r="C148" s="220">
        <f>VLOOKUP(A148,Estimate!A:L,12,FALSE)</f>
        <v>1</v>
      </c>
      <c r="D148" s="216">
        <v>147</v>
      </c>
      <c r="E148" s="216">
        <v>115</v>
      </c>
      <c r="F148" s="221">
        <f>IFERROR(VLOOKUP(A148,Estimate!A:Q,17,FALSE),0)</f>
        <v>7500</v>
      </c>
      <c r="G148" s="222">
        <f>VLOOKUP($A148,'Budget &amp; Revenue'!$A:$V,12,FALSE)</f>
        <v>0</v>
      </c>
      <c r="H148" s="222">
        <f>VLOOKUP($A148,'Budget &amp; Revenue'!$A:$V,14,FALSE)</f>
        <v>0</v>
      </c>
      <c r="I148" s="222">
        <f>VLOOKUP($A148,'Budget &amp; Revenue'!$A:$V,16,FALSE)</f>
        <v>0</v>
      </c>
      <c r="J148" s="222">
        <f>VLOOKUP($A148,'Budget &amp; Revenue'!$A:$V,18,FALSE)</f>
        <v>0</v>
      </c>
      <c r="K148" s="222">
        <f>VLOOKUP($A148,'Budget &amp; Revenue'!$A:$V,20,FALSE)</f>
        <v>0</v>
      </c>
      <c r="L148" s="222">
        <f>VLOOKUP($A148,'Budget &amp; Revenue'!$A:$V,22,FALSE)</f>
        <v>0</v>
      </c>
    </row>
    <row r="149" spans="1:12" x14ac:dyDescent="0.25">
      <c r="A149" s="220">
        <v>161</v>
      </c>
      <c r="B149" s="215" t="s">
        <v>1274</v>
      </c>
      <c r="C149" s="220">
        <f>VLOOKUP(A149,Estimate!A:L,12,FALSE)</f>
        <v>1</v>
      </c>
      <c r="D149" s="216">
        <v>19</v>
      </c>
      <c r="E149" s="216">
        <v>20</v>
      </c>
      <c r="F149" s="221">
        <f>IFERROR(VLOOKUP(A149,Estimate!A:Q,17,FALSE),0)</f>
        <v>3300.6750000000002</v>
      </c>
      <c r="G149" s="222">
        <f>VLOOKUP($A149,'Budget &amp; Revenue'!$A:$V,12,FALSE)</f>
        <v>0</v>
      </c>
      <c r="H149" s="222">
        <f>VLOOKUP($A149,'Budget &amp; Revenue'!$A:$V,14,FALSE)</f>
        <v>1</v>
      </c>
      <c r="I149" s="222">
        <f>VLOOKUP($A149,'Budget &amp; Revenue'!$A:$V,16,FALSE)</f>
        <v>1</v>
      </c>
      <c r="J149" s="222">
        <f>VLOOKUP($A149,'Budget &amp; Revenue'!$A:$V,18,FALSE)</f>
        <v>1</v>
      </c>
      <c r="K149" s="222">
        <f>VLOOKUP($A149,'Budget &amp; Revenue'!$A:$V,20,FALSE)</f>
        <v>1</v>
      </c>
      <c r="L149" s="222">
        <f>VLOOKUP($A149,'Budget &amp; Revenue'!$A:$V,22,FALSE)</f>
        <v>1</v>
      </c>
    </row>
    <row r="150" spans="1:12" x14ac:dyDescent="0.25">
      <c r="A150" s="220">
        <v>162</v>
      </c>
      <c r="B150" s="215" t="s">
        <v>697</v>
      </c>
      <c r="C150" s="220">
        <f>VLOOKUP(A150,Estimate!A:L,12,FALSE)</f>
        <v>0</v>
      </c>
      <c r="D150" s="216">
        <v>18</v>
      </c>
      <c r="E150" s="216">
        <v>19</v>
      </c>
      <c r="F150" s="221">
        <f>IFERROR(VLOOKUP(A150,Estimate!A:Q,17,FALSE),0)</f>
        <v>7048.884</v>
      </c>
      <c r="G150" s="222">
        <f>VLOOKUP($A150,'Budget &amp; Revenue'!$A:$V,12,FALSE)</f>
        <v>0</v>
      </c>
      <c r="H150" s="222">
        <f>VLOOKUP($A150,'Budget &amp; Revenue'!$A:$V,14,FALSE)</f>
        <v>1</v>
      </c>
      <c r="I150" s="222">
        <f>VLOOKUP($A150,'Budget &amp; Revenue'!$A:$V,16,FALSE)</f>
        <v>1</v>
      </c>
      <c r="J150" s="222">
        <f>VLOOKUP($A150,'Budget &amp; Revenue'!$A:$V,18,FALSE)</f>
        <v>1</v>
      </c>
      <c r="K150" s="222">
        <f>VLOOKUP($A150,'Budget &amp; Revenue'!$A:$V,20,FALSE)</f>
        <v>1</v>
      </c>
      <c r="L150" s="222">
        <f>VLOOKUP($A150,'Budget &amp; Revenue'!$A:$V,22,FALSE)</f>
        <v>1</v>
      </c>
    </row>
    <row r="151" spans="1:12" x14ac:dyDescent="0.25">
      <c r="A151" s="220">
        <v>168</v>
      </c>
      <c r="B151" s="215" t="s">
        <v>705</v>
      </c>
      <c r="C151" s="220">
        <f>VLOOKUP(A151,Estimate!A:L,12,FALSE)</f>
        <v>5</v>
      </c>
      <c r="D151" s="216">
        <v>24</v>
      </c>
      <c r="E151" s="216">
        <v>23</v>
      </c>
      <c r="F151" s="221">
        <f>IFERROR(VLOOKUP(A151,Estimate!A:Q,17,FALSE),0)</f>
        <v>22336.223165113461</v>
      </c>
      <c r="G151" s="222">
        <f>VLOOKUP($A151,'Budget &amp; Revenue'!$A:$V,12,FALSE)</f>
        <v>0</v>
      </c>
      <c r="H151" s="222">
        <f>VLOOKUP($A151,'Budget &amp; Revenue'!$A:$V,14,FALSE)</f>
        <v>0</v>
      </c>
      <c r="I151" s="222">
        <f>VLOOKUP($A151,'Budget &amp; Revenue'!$A:$V,16,FALSE)</f>
        <v>0</v>
      </c>
      <c r="J151" s="222">
        <f>VLOOKUP($A151,'Budget &amp; Revenue'!$A:$V,18,FALSE)</f>
        <v>0</v>
      </c>
      <c r="K151" s="222">
        <f>VLOOKUP($A151,'Budget &amp; Revenue'!$A:$V,20,FALSE)</f>
        <v>0</v>
      </c>
      <c r="L151" s="222">
        <f>VLOOKUP($A151,'Budget &amp; Revenue'!$A:$V,22,FALSE)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1A6C2-84D5-4655-B77D-7325363159B9}">
  <dimension ref="A1:AE298"/>
  <sheetViews>
    <sheetView topLeftCell="A151" workbookViewId="0">
      <selection activeCell="L295" sqref="L295:L296"/>
    </sheetView>
  </sheetViews>
  <sheetFormatPr defaultColWidth="9.140625" defaultRowHeight="15" x14ac:dyDescent="0.25"/>
  <cols>
    <col min="1" max="1" width="9.140625" style="58"/>
    <col min="2" max="2" width="8.85546875" style="57" bestFit="1" customWidth="1"/>
    <col min="3" max="3" width="50.7109375" style="150" customWidth="1"/>
    <col min="4" max="4" width="7.7109375" style="57" customWidth="1"/>
    <col min="5" max="5" width="13.28515625" style="160" bestFit="1" customWidth="1"/>
    <col min="6" max="6" width="10.42578125" style="164" customWidth="1"/>
    <col min="7" max="7" width="10.5703125" style="164" customWidth="1"/>
    <col min="8" max="8" width="11.7109375" style="57" bestFit="1" customWidth="1"/>
    <col min="9" max="9" width="12.28515625" style="57" bestFit="1" customWidth="1"/>
    <col min="10" max="10" width="13.42578125" style="57" bestFit="1" customWidth="1"/>
    <col min="11" max="11" width="16" style="160" bestFit="1" customWidth="1"/>
    <col min="12" max="12" width="16" style="195" customWidth="1"/>
    <col min="13" max="13" width="16" style="160" bestFit="1" customWidth="1"/>
    <col min="14" max="14" width="16" style="195" customWidth="1"/>
    <col min="15" max="15" width="16" style="160" bestFit="1" customWidth="1"/>
    <col min="16" max="16" width="16" style="195" customWidth="1"/>
    <col min="17" max="17" width="16" style="160" bestFit="1" customWidth="1"/>
    <col min="18" max="18" width="16" style="195" customWidth="1"/>
    <col min="19" max="19" width="16" style="160" bestFit="1" customWidth="1"/>
    <col min="20" max="20" width="16" style="195" customWidth="1"/>
    <col min="21" max="21" width="16" style="160" bestFit="1" customWidth="1"/>
    <col min="22" max="22" width="16" style="195" customWidth="1"/>
    <col min="23" max="23" width="6.140625" style="57" customWidth="1"/>
    <col min="24" max="29" width="18.5703125" style="57" customWidth="1"/>
    <col min="30" max="16384" width="9.140625" style="57"/>
  </cols>
  <sheetData>
    <row r="1" spans="1:29" s="150" customFormat="1" ht="30" x14ac:dyDescent="0.25">
      <c r="A1" s="142" t="s">
        <v>503</v>
      </c>
      <c r="B1" s="165" t="s">
        <v>689</v>
      </c>
      <c r="C1" s="165" t="s">
        <v>432</v>
      </c>
      <c r="D1" s="165" t="s">
        <v>3</v>
      </c>
      <c r="E1" s="203" t="s">
        <v>667</v>
      </c>
      <c r="F1" s="182" t="s">
        <v>1190</v>
      </c>
      <c r="G1" s="182" t="s">
        <v>1191</v>
      </c>
      <c r="H1" s="183" t="s">
        <v>1192</v>
      </c>
      <c r="I1" s="183" t="s">
        <v>1193</v>
      </c>
      <c r="J1" s="183" t="s">
        <v>1194</v>
      </c>
      <c r="K1" s="184" t="s">
        <v>1195</v>
      </c>
      <c r="L1" s="185" t="s">
        <v>1196</v>
      </c>
      <c r="M1" s="186" t="s">
        <v>1197</v>
      </c>
      <c r="N1" s="185" t="s">
        <v>1198</v>
      </c>
      <c r="O1" s="186" t="s">
        <v>1199</v>
      </c>
      <c r="P1" s="185" t="s">
        <v>1200</v>
      </c>
      <c r="Q1" s="186" t="s">
        <v>1201</v>
      </c>
      <c r="R1" s="185" t="s">
        <v>1202</v>
      </c>
      <c r="S1" s="186" t="s">
        <v>1203</v>
      </c>
      <c r="T1" s="185" t="s">
        <v>1204</v>
      </c>
      <c r="U1" s="186" t="s">
        <v>1205</v>
      </c>
      <c r="V1" s="185" t="s">
        <v>1206</v>
      </c>
      <c r="W1" s="183"/>
      <c r="X1" s="183" t="s">
        <v>1207</v>
      </c>
      <c r="Y1" s="183" t="s">
        <v>1208</v>
      </c>
      <c r="Z1" s="183" t="s">
        <v>1209</v>
      </c>
      <c r="AA1" s="183" t="s">
        <v>1210</v>
      </c>
      <c r="AB1" s="183" t="s">
        <v>1211</v>
      </c>
      <c r="AC1" s="183" t="s">
        <v>1212</v>
      </c>
    </row>
    <row r="2" spans="1:29" x14ac:dyDescent="0.25">
      <c r="A2" s="187" t="s">
        <v>682</v>
      </c>
      <c r="B2" s="188" t="s">
        <v>682</v>
      </c>
      <c r="C2" s="189" t="s">
        <v>1213</v>
      </c>
      <c r="D2" s="190" t="s">
        <v>682</v>
      </c>
      <c r="E2" s="192"/>
      <c r="F2" s="191" t="s">
        <v>682</v>
      </c>
      <c r="G2" s="191" t="s">
        <v>682</v>
      </c>
      <c r="H2" s="191" t="s">
        <v>682</v>
      </c>
      <c r="I2" s="191" t="s">
        <v>682</v>
      </c>
      <c r="J2" s="191" t="s">
        <v>682</v>
      </c>
      <c r="K2" s="192" t="s">
        <v>682</v>
      </c>
      <c r="L2" s="193"/>
      <c r="M2" s="192" t="s">
        <v>682</v>
      </c>
      <c r="N2" s="193"/>
      <c r="O2" s="192" t="s">
        <v>682</v>
      </c>
      <c r="P2" s="193"/>
      <c r="Q2" s="192" t="s">
        <v>682</v>
      </c>
      <c r="R2" s="193"/>
      <c r="S2" s="192" t="s">
        <v>682</v>
      </c>
      <c r="T2" s="193"/>
      <c r="U2" s="192" t="s">
        <v>682</v>
      </c>
      <c r="V2" s="193"/>
      <c r="W2" s="194"/>
      <c r="X2" s="194"/>
      <c r="Y2" s="194"/>
      <c r="Z2" s="194"/>
      <c r="AA2" s="194"/>
      <c r="AB2" s="194"/>
      <c r="AC2" s="191"/>
    </row>
    <row r="3" spans="1:29" x14ac:dyDescent="0.25">
      <c r="B3" s="57" t="s">
        <v>682</v>
      </c>
      <c r="C3" s="150" t="s">
        <v>682</v>
      </c>
      <c r="D3" s="57" t="s">
        <v>682</v>
      </c>
      <c r="F3" s="164" t="s">
        <v>682</v>
      </c>
      <c r="G3" s="164" t="s">
        <v>682</v>
      </c>
      <c r="H3" s="164" t="s">
        <v>682</v>
      </c>
      <c r="I3" s="164" t="s">
        <v>682</v>
      </c>
      <c r="J3" s="164" t="s">
        <v>682</v>
      </c>
      <c r="K3" s="160" t="s">
        <v>682</v>
      </c>
      <c r="M3" s="160" t="s">
        <v>682</v>
      </c>
      <c r="O3" s="160" t="s">
        <v>682</v>
      </c>
      <c r="Q3" s="160" t="s">
        <v>682</v>
      </c>
      <c r="S3" s="160" t="s">
        <v>682</v>
      </c>
      <c r="U3" s="160" t="s">
        <v>682</v>
      </c>
      <c r="W3" s="153"/>
      <c r="X3" s="153"/>
      <c r="Y3" s="153"/>
      <c r="Z3" s="153"/>
      <c r="AA3" s="153"/>
      <c r="AB3" s="153"/>
      <c r="AC3" s="164"/>
    </row>
    <row r="4" spans="1:29" x14ac:dyDescent="0.25">
      <c r="B4" s="57" t="s">
        <v>704</v>
      </c>
      <c r="C4" s="150" t="s">
        <v>14</v>
      </c>
      <c r="D4" s="57" t="s">
        <v>748</v>
      </c>
      <c r="F4" s="164" t="s">
        <v>682</v>
      </c>
      <c r="G4" s="164" t="s">
        <v>682</v>
      </c>
      <c r="H4" s="164" t="s">
        <v>682</v>
      </c>
      <c r="I4" s="164" t="s">
        <v>682</v>
      </c>
      <c r="J4" s="164" t="s">
        <v>682</v>
      </c>
      <c r="K4" s="160" t="s">
        <v>682</v>
      </c>
      <c r="M4" s="160" t="s">
        <v>682</v>
      </c>
      <c r="O4" s="160" t="s">
        <v>682</v>
      </c>
      <c r="Q4" s="160" t="s">
        <v>682</v>
      </c>
      <c r="S4" s="160" t="s">
        <v>682</v>
      </c>
      <c r="U4" s="160" t="s">
        <v>682</v>
      </c>
      <c r="W4" s="153"/>
      <c r="X4" s="153"/>
      <c r="Y4" s="153"/>
      <c r="Z4" s="153"/>
      <c r="AA4" s="153"/>
      <c r="AB4" s="153"/>
      <c r="AC4" s="164"/>
    </row>
    <row r="5" spans="1:29" x14ac:dyDescent="0.25">
      <c r="B5" s="57">
        <v>1</v>
      </c>
      <c r="C5" s="150" t="s">
        <v>16</v>
      </c>
      <c r="D5" s="57" t="s">
        <v>748</v>
      </c>
      <c r="F5" s="164" t="s">
        <v>682</v>
      </c>
      <c r="G5" s="164" t="s">
        <v>682</v>
      </c>
      <c r="H5" s="164" t="s">
        <v>682</v>
      </c>
      <c r="I5" s="164" t="s">
        <v>682</v>
      </c>
      <c r="J5" s="164" t="s">
        <v>682</v>
      </c>
      <c r="K5" s="160" t="s">
        <v>682</v>
      </c>
      <c r="M5" s="160" t="s">
        <v>682</v>
      </c>
      <c r="O5" s="160" t="s">
        <v>682</v>
      </c>
      <c r="Q5" s="160" t="s">
        <v>682</v>
      </c>
      <c r="S5" s="160" t="s">
        <v>682</v>
      </c>
      <c r="U5" s="160" t="s">
        <v>682</v>
      </c>
      <c r="W5" s="153"/>
      <c r="X5" s="153"/>
      <c r="Y5" s="153"/>
      <c r="Z5" s="153"/>
      <c r="AA5" s="153"/>
      <c r="AB5" s="153"/>
      <c r="AC5" s="164"/>
    </row>
    <row r="6" spans="1:29" ht="30" x14ac:dyDescent="0.25">
      <c r="A6" s="58">
        <v>5</v>
      </c>
      <c r="B6" s="57" t="s">
        <v>1214</v>
      </c>
      <c r="C6" s="150" t="s">
        <v>1215</v>
      </c>
      <c r="D6" s="57" t="s">
        <v>18</v>
      </c>
      <c r="E6" s="160">
        <f>IFERROR(VLOOKUP(A6,Estimate!A:Q,17,FALSE)," ")</f>
        <v>34725</v>
      </c>
      <c r="F6" s="164">
        <v>1</v>
      </c>
      <c r="G6" s="164">
        <v>1</v>
      </c>
      <c r="H6" s="164">
        <v>44020.23</v>
      </c>
      <c r="I6" s="164">
        <v>44020.23</v>
      </c>
      <c r="J6" s="164">
        <v>44020.23</v>
      </c>
      <c r="K6" s="160">
        <v>0.8</v>
      </c>
      <c r="L6" s="195">
        <f>IFERROR(K6/$G6," ")</f>
        <v>0.8</v>
      </c>
      <c r="M6" s="160">
        <v>0.8</v>
      </c>
      <c r="N6" s="195">
        <f>IFERROR(M6/$G6," ")</f>
        <v>0.8</v>
      </c>
      <c r="O6" s="160">
        <v>0.8</v>
      </c>
      <c r="P6" s="195">
        <f>IFERROR(O6/$G6," ")</f>
        <v>0.8</v>
      </c>
      <c r="Q6" s="160">
        <v>0.8</v>
      </c>
      <c r="R6" s="195">
        <f>IFERROR(Q6/$G6," ")</f>
        <v>0.8</v>
      </c>
      <c r="S6" s="160">
        <v>0.85</v>
      </c>
      <c r="T6" s="195">
        <f>IFERROR(S6/$G6," ")</f>
        <v>0.85</v>
      </c>
      <c r="U6" s="160">
        <v>0.85</v>
      </c>
      <c r="V6" s="195">
        <f>IFERROR(U6/$G6," ")</f>
        <v>0.85</v>
      </c>
      <c r="W6" s="153"/>
      <c r="X6" s="153">
        <f>IFERROR(K6*$H6," ")</f>
        <v>35216.184000000001</v>
      </c>
      <c r="Y6" s="153">
        <f>IFERROR(M6*$H6," ")</f>
        <v>35216.184000000001</v>
      </c>
      <c r="Z6" s="153">
        <f>IFERROR(O6*$H6," ")</f>
        <v>35216.184000000001</v>
      </c>
      <c r="AA6" s="153">
        <f>IFERROR(Q6*$H6," ")</f>
        <v>35216.184000000001</v>
      </c>
      <c r="AB6" s="153">
        <f>IFERROR(S6*$H6," ")</f>
        <v>37417.195500000002</v>
      </c>
      <c r="AC6" s="153">
        <f>IFERROR(U6*$H6," ")</f>
        <v>37417.195500000002</v>
      </c>
    </row>
    <row r="7" spans="1:29" ht="45" x14ac:dyDescent="0.25">
      <c r="A7" s="58">
        <v>6</v>
      </c>
      <c r="B7" s="57" t="s">
        <v>1216</v>
      </c>
      <c r="C7" s="150" t="s">
        <v>30</v>
      </c>
      <c r="D7" s="57" t="s">
        <v>18</v>
      </c>
      <c r="E7" s="160">
        <f>IFERROR(VLOOKUP(A7,Estimate!A:Q,17,FALSE)," ")</f>
        <v>76266.831140000009</v>
      </c>
      <c r="F7" s="164">
        <v>1</v>
      </c>
      <c r="G7" s="164">
        <v>1</v>
      </c>
      <c r="H7" s="164">
        <v>96682</v>
      </c>
      <c r="I7" s="164">
        <v>96682</v>
      </c>
      <c r="J7" s="164">
        <v>96682</v>
      </c>
      <c r="K7" s="160">
        <v>0.1</v>
      </c>
      <c r="L7" s="195">
        <f t="shared" ref="L7:N22" si="0">IFERROR(K7/$G7," ")</f>
        <v>0.1</v>
      </c>
      <c r="M7" s="160">
        <v>0.6</v>
      </c>
      <c r="N7" s="195">
        <f t="shared" si="0"/>
        <v>0.6</v>
      </c>
      <c r="O7" s="160">
        <v>0.7</v>
      </c>
      <c r="P7" s="195">
        <f t="shared" ref="P7:R22" si="1">IFERROR(O7/$G7," ")</f>
        <v>0.7</v>
      </c>
      <c r="Q7" s="160">
        <v>0.8</v>
      </c>
      <c r="R7" s="195">
        <f t="shared" si="1"/>
        <v>0.8</v>
      </c>
      <c r="S7" s="160">
        <v>0.85</v>
      </c>
      <c r="T7" s="195">
        <f t="shared" ref="T7:T70" si="2">IFERROR(S7/$G7," ")</f>
        <v>0.85</v>
      </c>
      <c r="U7" s="160">
        <v>0.85</v>
      </c>
      <c r="V7" s="195">
        <f t="shared" ref="V7:V70" si="3">IFERROR(U7/$G7," ")</f>
        <v>0.85</v>
      </c>
      <c r="W7" s="153"/>
      <c r="X7" s="153">
        <f t="shared" ref="X7:X70" si="4">IFERROR(K7*$H7," ")</f>
        <v>9668.2000000000007</v>
      </c>
      <c r="Y7" s="153">
        <f t="shared" ref="Y7:Y70" si="5">IFERROR(M7*$H7," ")</f>
        <v>58009.2</v>
      </c>
      <c r="Z7" s="153">
        <f t="shared" ref="Z7:Z70" si="6">IFERROR(O7*$H7," ")</f>
        <v>67677.399999999994</v>
      </c>
      <c r="AA7" s="153">
        <f t="shared" ref="AA7:AA70" si="7">IFERROR(Q7*$H7," ")</f>
        <v>77345.600000000006</v>
      </c>
      <c r="AB7" s="153">
        <f t="shared" ref="AB7:AB70" si="8">IFERROR(S7*$H7," ")</f>
        <v>82179.7</v>
      </c>
      <c r="AC7" s="153">
        <f t="shared" ref="AC7:AC70" si="9">IFERROR(U7*$H7," ")</f>
        <v>82179.7</v>
      </c>
    </row>
    <row r="8" spans="1:29" x14ac:dyDescent="0.25">
      <c r="A8" s="58">
        <v>7</v>
      </c>
      <c r="B8" s="57" t="s">
        <v>1217</v>
      </c>
      <c r="C8" s="150" t="s">
        <v>34</v>
      </c>
      <c r="D8" s="57" t="s">
        <v>18</v>
      </c>
      <c r="E8" s="160">
        <f>IFERROR(VLOOKUP(A8,Estimate!A:Q,17,FALSE)," ")</f>
        <v>23680</v>
      </c>
      <c r="F8" s="164">
        <v>1</v>
      </c>
      <c r="G8" s="164">
        <v>1</v>
      </c>
      <c r="H8" s="164">
        <v>30018.69</v>
      </c>
      <c r="I8" s="164">
        <v>30018.69</v>
      </c>
      <c r="J8" s="164">
        <v>30018.69</v>
      </c>
      <c r="K8" s="160">
        <v>1</v>
      </c>
      <c r="L8" s="195">
        <f t="shared" si="0"/>
        <v>1</v>
      </c>
      <c r="M8" s="160">
        <v>1</v>
      </c>
      <c r="N8" s="195">
        <f t="shared" si="0"/>
        <v>1</v>
      </c>
      <c r="O8" s="160">
        <v>1</v>
      </c>
      <c r="P8" s="195">
        <f t="shared" si="1"/>
        <v>1</v>
      </c>
      <c r="Q8" s="160">
        <v>1</v>
      </c>
      <c r="R8" s="195">
        <f t="shared" si="1"/>
        <v>1</v>
      </c>
      <c r="S8" s="160">
        <v>1</v>
      </c>
      <c r="T8" s="195">
        <f t="shared" si="2"/>
        <v>1</v>
      </c>
      <c r="U8" s="160">
        <v>1</v>
      </c>
      <c r="V8" s="195">
        <f t="shared" si="3"/>
        <v>1</v>
      </c>
      <c r="W8" s="153"/>
      <c r="X8" s="153">
        <f t="shared" si="4"/>
        <v>30018.69</v>
      </c>
      <c r="Y8" s="153">
        <f t="shared" si="5"/>
        <v>30018.69</v>
      </c>
      <c r="Z8" s="153">
        <f t="shared" si="6"/>
        <v>30018.69</v>
      </c>
      <c r="AA8" s="153">
        <f t="shared" si="7"/>
        <v>30018.69</v>
      </c>
      <c r="AB8" s="153">
        <f t="shared" si="8"/>
        <v>30018.69</v>
      </c>
      <c r="AC8" s="153">
        <f t="shared" si="9"/>
        <v>30018.69</v>
      </c>
    </row>
    <row r="9" spans="1:29" ht="45" x14ac:dyDescent="0.25">
      <c r="B9" s="57" t="s">
        <v>704</v>
      </c>
      <c r="C9" s="150" t="s">
        <v>37</v>
      </c>
      <c r="D9" s="57" t="s">
        <v>748</v>
      </c>
      <c r="E9" s="160" t="str">
        <f>IFERROR(VLOOKUP(A9,Estimate!A:Q,17,FALSE)," ")</f>
        <v xml:space="preserve"> </v>
      </c>
      <c r="F9" s="164" t="s">
        <v>682</v>
      </c>
      <c r="G9" s="164" t="s">
        <v>682</v>
      </c>
      <c r="H9" s="164" t="s">
        <v>682</v>
      </c>
      <c r="I9" s="164" t="s">
        <v>682</v>
      </c>
      <c r="J9" s="164" t="s">
        <v>682</v>
      </c>
      <c r="K9" s="160" t="s">
        <v>682</v>
      </c>
      <c r="L9" s="195" t="str">
        <f t="shared" si="0"/>
        <v xml:space="preserve"> </v>
      </c>
      <c r="M9" s="160" t="s">
        <v>682</v>
      </c>
      <c r="N9" s="195" t="str">
        <f t="shared" si="0"/>
        <v xml:space="preserve"> </v>
      </c>
      <c r="O9" s="160" t="s">
        <v>682</v>
      </c>
      <c r="P9" s="195" t="str">
        <f t="shared" si="1"/>
        <v xml:space="preserve"> </v>
      </c>
      <c r="Q9" s="160" t="s">
        <v>682</v>
      </c>
      <c r="R9" s="195" t="str">
        <f t="shared" si="1"/>
        <v xml:space="preserve"> </v>
      </c>
      <c r="S9" s="160" t="s">
        <v>682</v>
      </c>
      <c r="T9" s="195" t="str">
        <f t="shared" si="2"/>
        <v xml:space="preserve"> </v>
      </c>
      <c r="U9" s="160" t="s">
        <v>682</v>
      </c>
      <c r="V9" s="195" t="str">
        <f t="shared" si="3"/>
        <v xml:space="preserve"> </v>
      </c>
      <c r="W9" s="153"/>
      <c r="X9" s="153" t="str">
        <f t="shared" si="4"/>
        <v xml:space="preserve"> </v>
      </c>
      <c r="Y9" s="153" t="str">
        <f t="shared" si="5"/>
        <v xml:space="preserve"> </v>
      </c>
      <c r="Z9" s="153" t="str">
        <f t="shared" si="6"/>
        <v xml:space="preserve"> </v>
      </c>
      <c r="AA9" s="153" t="str">
        <f t="shared" si="7"/>
        <v xml:space="preserve"> </v>
      </c>
      <c r="AB9" s="153" t="str">
        <f t="shared" si="8"/>
        <v xml:space="preserve"> </v>
      </c>
      <c r="AC9" s="153" t="str">
        <f t="shared" si="9"/>
        <v xml:space="preserve"> </v>
      </c>
    </row>
    <row r="10" spans="1:29" ht="45" x14ac:dyDescent="0.25">
      <c r="A10" s="58">
        <v>8</v>
      </c>
      <c r="B10" s="57" t="s">
        <v>1218</v>
      </c>
      <c r="C10" s="150" t="s">
        <v>39</v>
      </c>
      <c r="D10" s="57" t="s">
        <v>18</v>
      </c>
      <c r="E10" s="160">
        <f>IFERROR(VLOOKUP(A10,Estimate!A:Q,17,FALSE)," ")</f>
        <v>10400</v>
      </c>
      <c r="F10" s="164">
        <v>1</v>
      </c>
      <c r="G10" s="164">
        <v>1</v>
      </c>
      <c r="H10" s="164">
        <v>13183.89</v>
      </c>
      <c r="I10" s="164">
        <v>13183.89</v>
      </c>
      <c r="J10" s="164">
        <v>13183.89</v>
      </c>
      <c r="K10" s="160">
        <v>1</v>
      </c>
      <c r="L10" s="195">
        <f t="shared" si="0"/>
        <v>1</v>
      </c>
      <c r="M10" s="160">
        <v>1</v>
      </c>
      <c r="N10" s="195">
        <f t="shared" si="0"/>
        <v>1</v>
      </c>
      <c r="O10" s="160">
        <v>1</v>
      </c>
      <c r="P10" s="195">
        <f t="shared" si="1"/>
        <v>1</v>
      </c>
      <c r="Q10" s="160">
        <v>1</v>
      </c>
      <c r="R10" s="195">
        <f t="shared" si="1"/>
        <v>1</v>
      </c>
      <c r="S10" s="160">
        <v>1</v>
      </c>
      <c r="T10" s="195">
        <f t="shared" si="2"/>
        <v>1</v>
      </c>
      <c r="U10" s="160">
        <v>1</v>
      </c>
      <c r="V10" s="195">
        <f t="shared" si="3"/>
        <v>1</v>
      </c>
      <c r="W10" s="153"/>
      <c r="X10" s="153">
        <f t="shared" si="4"/>
        <v>13183.89</v>
      </c>
      <c r="Y10" s="153">
        <f t="shared" si="5"/>
        <v>13183.89</v>
      </c>
      <c r="Z10" s="153">
        <f t="shared" si="6"/>
        <v>13183.89</v>
      </c>
      <c r="AA10" s="153">
        <f t="shared" si="7"/>
        <v>13183.89</v>
      </c>
      <c r="AB10" s="153">
        <f t="shared" si="8"/>
        <v>13183.89</v>
      </c>
      <c r="AC10" s="153">
        <f t="shared" si="9"/>
        <v>13183.89</v>
      </c>
    </row>
    <row r="11" spans="1:29" ht="30" x14ac:dyDescent="0.25">
      <c r="A11" s="58">
        <v>9</v>
      </c>
      <c r="B11" s="57" t="s">
        <v>1219</v>
      </c>
      <c r="C11" s="150" t="s">
        <v>42</v>
      </c>
      <c r="D11" s="57" t="s">
        <v>18</v>
      </c>
      <c r="E11" s="160">
        <f>IFERROR(VLOOKUP(A11,Estimate!A:Q,17,FALSE)," ")</f>
        <v>6800</v>
      </c>
      <c r="F11" s="164">
        <v>1</v>
      </c>
      <c r="G11" s="164">
        <v>1</v>
      </c>
      <c r="H11" s="164">
        <v>8620.23</v>
      </c>
      <c r="I11" s="164">
        <v>8620.23</v>
      </c>
      <c r="J11" s="164">
        <v>8620.23</v>
      </c>
      <c r="K11" s="160">
        <v>1</v>
      </c>
      <c r="L11" s="195">
        <f t="shared" si="0"/>
        <v>1</v>
      </c>
      <c r="M11" s="160">
        <v>1</v>
      </c>
      <c r="N11" s="195">
        <f t="shared" si="0"/>
        <v>1</v>
      </c>
      <c r="O11" s="160">
        <v>1</v>
      </c>
      <c r="P11" s="195">
        <f t="shared" si="1"/>
        <v>1</v>
      </c>
      <c r="Q11" s="160">
        <v>1</v>
      </c>
      <c r="R11" s="195">
        <f t="shared" si="1"/>
        <v>1</v>
      </c>
      <c r="S11" s="160">
        <v>1</v>
      </c>
      <c r="T11" s="195">
        <f t="shared" si="2"/>
        <v>1</v>
      </c>
      <c r="U11" s="160">
        <v>1</v>
      </c>
      <c r="V11" s="195">
        <f t="shared" si="3"/>
        <v>1</v>
      </c>
      <c r="W11" s="153"/>
      <c r="X11" s="153">
        <f t="shared" si="4"/>
        <v>8620.23</v>
      </c>
      <c r="Y11" s="153">
        <f t="shared" si="5"/>
        <v>8620.23</v>
      </c>
      <c r="Z11" s="153">
        <f t="shared" si="6"/>
        <v>8620.23</v>
      </c>
      <c r="AA11" s="153">
        <f t="shared" si="7"/>
        <v>8620.23</v>
      </c>
      <c r="AB11" s="153">
        <f t="shared" si="8"/>
        <v>8620.23</v>
      </c>
      <c r="AC11" s="153">
        <f t="shared" si="9"/>
        <v>8620.23</v>
      </c>
    </row>
    <row r="12" spans="1:29" x14ac:dyDescent="0.25">
      <c r="A12" s="58">
        <v>10</v>
      </c>
      <c r="B12" s="57" t="s">
        <v>1220</v>
      </c>
      <c r="C12" s="150" t="s">
        <v>46</v>
      </c>
      <c r="D12" s="57" t="s">
        <v>18</v>
      </c>
      <c r="E12" s="160">
        <f>IFERROR(VLOOKUP(A12,Estimate!A:Q,17,FALSE)," ")</f>
        <v>8880</v>
      </c>
      <c r="F12" s="164">
        <v>1</v>
      </c>
      <c r="G12" s="164">
        <v>1</v>
      </c>
      <c r="H12" s="164">
        <v>13602.22</v>
      </c>
      <c r="I12" s="164">
        <v>13602.22</v>
      </c>
      <c r="J12" s="164">
        <v>13602.22</v>
      </c>
      <c r="L12" s="195">
        <f t="shared" si="0"/>
        <v>0</v>
      </c>
      <c r="N12" s="195">
        <f t="shared" si="0"/>
        <v>0</v>
      </c>
      <c r="P12" s="195">
        <f t="shared" si="1"/>
        <v>0</v>
      </c>
      <c r="R12" s="195">
        <f t="shared" si="1"/>
        <v>0</v>
      </c>
      <c r="T12" s="195">
        <f t="shared" si="2"/>
        <v>0</v>
      </c>
      <c r="V12" s="195">
        <f t="shared" si="3"/>
        <v>0</v>
      </c>
      <c r="W12" s="153"/>
      <c r="X12" s="153">
        <f t="shared" si="4"/>
        <v>0</v>
      </c>
      <c r="Y12" s="153">
        <f t="shared" si="5"/>
        <v>0</v>
      </c>
      <c r="Z12" s="153">
        <f t="shared" si="6"/>
        <v>0</v>
      </c>
      <c r="AA12" s="153">
        <f t="shared" si="7"/>
        <v>0</v>
      </c>
      <c r="AB12" s="153">
        <f t="shared" si="8"/>
        <v>0</v>
      </c>
      <c r="AC12" s="153">
        <f t="shared" si="9"/>
        <v>0</v>
      </c>
    </row>
    <row r="13" spans="1:29" x14ac:dyDescent="0.25">
      <c r="B13" s="57" t="s">
        <v>1221</v>
      </c>
      <c r="C13" s="150" t="s">
        <v>48</v>
      </c>
      <c r="D13" s="57" t="s">
        <v>748</v>
      </c>
      <c r="E13" s="160" t="str">
        <f>IFERROR(VLOOKUP(A13,Estimate!A:Q,17,FALSE)," ")</f>
        <v xml:space="preserve"> </v>
      </c>
      <c r="F13" s="164" t="s">
        <v>682</v>
      </c>
      <c r="G13" s="164" t="s">
        <v>682</v>
      </c>
      <c r="H13" s="164" t="s">
        <v>682</v>
      </c>
      <c r="I13" s="164" t="s">
        <v>682</v>
      </c>
      <c r="J13" s="164" t="s">
        <v>682</v>
      </c>
      <c r="K13" s="160" t="s">
        <v>682</v>
      </c>
      <c r="L13" s="195" t="str">
        <f t="shared" si="0"/>
        <v xml:space="preserve"> </v>
      </c>
      <c r="M13" s="160" t="s">
        <v>682</v>
      </c>
      <c r="N13" s="195" t="str">
        <f t="shared" si="0"/>
        <v xml:space="preserve"> </v>
      </c>
      <c r="O13" s="160" t="s">
        <v>682</v>
      </c>
      <c r="P13" s="195" t="str">
        <f t="shared" si="1"/>
        <v xml:space="preserve"> </v>
      </c>
      <c r="Q13" s="160" t="s">
        <v>682</v>
      </c>
      <c r="R13" s="195" t="str">
        <f t="shared" si="1"/>
        <v xml:space="preserve"> </v>
      </c>
      <c r="S13" s="160" t="s">
        <v>682</v>
      </c>
      <c r="T13" s="195" t="str">
        <f t="shared" si="2"/>
        <v xml:space="preserve"> </v>
      </c>
      <c r="U13" s="160" t="s">
        <v>682</v>
      </c>
      <c r="V13" s="195" t="str">
        <f t="shared" si="3"/>
        <v xml:space="preserve"> </v>
      </c>
      <c r="W13" s="153"/>
      <c r="X13" s="153" t="str">
        <f t="shared" si="4"/>
        <v xml:space="preserve"> </v>
      </c>
      <c r="Y13" s="153" t="str">
        <f t="shared" si="5"/>
        <v xml:space="preserve"> </v>
      </c>
      <c r="Z13" s="153" t="str">
        <f t="shared" si="6"/>
        <v xml:space="preserve"> </v>
      </c>
      <c r="AA13" s="153" t="str">
        <f t="shared" si="7"/>
        <v xml:space="preserve"> </v>
      </c>
      <c r="AB13" s="153" t="str">
        <f t="shared" si="8"/>
        <v xml:space="preserve"> </v>
      </c>
      <c r="AC13" s="153" t="str">
        <f t="shared" si="9"/>
        <v xml:space="preserve"> </v>
      </c>
    </row>
    <row r="14" spans="1:29" ht="45" x14ac:dyDescent="0.25">
      <c r="A14" s="58">
        <v>11</v>
      </c>
      <c r="B14" s="57" t="s">
        <v>1222</v>
      </c>
      <c r="C14" s="150" t="s">
        <v>1223</v>
      </c>
      <c r="D14" s="57" t="s">
        <v>50</v>
      </c>
      <c r="E14" s="160">
        <f>IFERROR(VLOOKUP(A14,Estimate!A:Q,17,FALSE)," ")</f>
        <v>2700</v>
      </c>
      <c r="F14" s="164">
        <v>3</v>
      </c>
      <c r="G14" s="164">
        <v>3</v>
      </c>
      <c r="H14" s="164">
        <v>1140.9100000000001</v>
      </c>
      <c r="I14" s="164">
        <v>3422.73</v>
      </c>
      <c r="J14" s="164">
        <v>3422.73</v>
      </c>
      <c r="L14" s="195">
        <f t="shared" si="0"/>
        <v>0</v>
      </c>
      <c r="M14" s="160">
        <v>3</v>
      </c>
      <c r="N14" s="195">
        <f t="shared" si="0"/>
        <v>1</v>
      </c>
      <c r="O14" s="160">
        <v>3</v>
      </c>
      <c r="P14" s="195">
        <f t="shared" si="1"/>
        <v>1</v>
      </c>
      <c r="Q14" s="160">
        <v>3</v>
      </c>
      <c r="R14" s="195">
        <f t="shared" si="1"/>
        <v>1</v>
      </c>
      <c r="S14" s="160">
        <v>3</v>
      </c>
      <c r="T14" s="195">
        <f t="shared" si="2"/>
        <v>1</v>
      </c>
      <c r="U14" s="160">
        <v>3</v>
      </c>
      <c r="V14" s="195">
        <f t="shared" si="3"/>
        <v>1</v>
      </c>
      <c r="W14" s="153"/>
      <c r="X14" s="153">
        <f t="shared" si="4"/>
        <v>0</v>
      </c>
      <c r="Y14" s="153">
        <f t="shared" si="5"/>
        <v>3422.7300000000005</v>
      </c>
      <c r="Z14" s="153">
        <f t="shared" si="6"/>
        <v>3422.7300000000005</v>
      </c>
      <c r="AA14" s="153">
        <f t="shared" si="7"/>
        <v>3422.7300000000005</v>
      </c>
      <c r="AB14" s="153">
        <f t="shared" si="8"/>
        <v>3422.7300000000005</v>
      </c>
      <c r="AC14" s="153">
        <f t="shared" si="9"/>
        <v>3422.7300000000005</v>
      </c>
    </row>
    <row r="15" spans="1:29" x14ac:dyDescent="0.25">
      <c r="A15" s="58">
        <v>12</v>
      </c>
      <c r="B15" s="57" t="s">
        <v>1224</v>
      </c>
      <c r="C15" s="150" t="s">
        <v>55</v>
      </c>
      <c r="D15" s="57" t="s">
        <v>50</v>
      </c>
      <c r="E15" s="160">
        <f>IFERROR(VLOOKUP(A15,Estimate!A:Q,17,FALSE)," ")</f>
        <v>5926.666666666667</v>
      </c>
      <c r="F15" s="164">
        <v>28</v>
      </c>
      <c r="G15" s="164">
        <v>28</v>
      </c>
      <c r="H15" s="164">
        <v>268.33</v>
      </c>
      <c r="I15" s="164">
        <v>7513.24</v>
      </c>
      <c r="J15" s="164">
        <v>7513.24</v>
      </c>
      <c r="L15" s="195">
        <f t="shared" si="0"/>
        <v>0</v>
      </c>
      <c r="M15" s="160">
        <v>8</v>
      </c>
      <c r="N15" s="195">
        <f t="shared" si="0"/>
        <v>0.2857142857142857</v>
      </c>
      <c r="O15" s="160">
        <v>16</v>
      </c>
      <c r="P15" s="195">
        <f t="shared" si="1"/>
        <v>0.5714285714285714</v>
      </c>
      <c r="Q15" s="160">
        <v>25</v>
      </c>
      <c r="R15" s="195">
        <f t="shared" si="1"/>
        <v>0.8928571428571429</v>
      </c>
      <c r="S15" s="160">
        <v>25</v>
      </c>
      <c r="T15" s="195">
        <f t="shared" si="2"/>
        <v>0.8928571428571429</v>
      </c>
      <c r="U15" s="160">
        <v>25</v>
      </c>
      <c r="V15" s="195">
        <f t="shared" si="3"/>
        <v>0.8928571428571429</v>
      </c>
      <c r="W15" s="153"/>
      <c r="X15" s="153">
        <f t="shared" si="4"/>
        <v>0</v>
      </c>
      <c r="Y15" s="153">
        <f t="shared" si="5"/>
        <v>2146.64</v>
      </c>
      <c r="Z15" s="153">
        <f t="shared" si="6"/>
        <v>4293.28</v>
      </c>
      <c r="AA15" s="153">
        <f t="shared" si="7"/>
        <v>6708.25</v>
      </c>
      <c r="AB15" s="153">
        <f t="shared" si="8"/>
        <v>6708.25</v>
      </c>
      <c r="AC15" s="153">
        <f t="shared" si="9"/>
        <v>6708.25</v>
      </c>
    </row>
    <row r="16" spans="1:29" ht="30" x14ac:dyDescent="0.25">
      <c r="A16" s="58">
        <v>13</v>
      </c>
      <c r="B16" s="57" t="s">
        <v>1225</v>
      </c>
      <c r="C16" s="150" t="s">
        <v>58</v>
      </c>
      <c r="D16" s="57" t="s">
        <v>50</v>
      </c>
      <c r="E16" s="160">
        <f>IFERROR(VLOOKUP(A16,Estimate!A:Q,17,FALSE)," ")</f>
        <v>5926.666666666667</v>
      </c>
      <c r="F16" s="164">
        <v>28</v>
      </c>
      <c r="G16" s="164">
        <v>28</v>
      </c>
      <c r="H16" s="164">
        <v>268.33</v>
      </c>
      <c r="I16" s="164">
        <v>7513.24</v>
      </c>
      <c r="J16" s="164">
        <v>7513.24</v>
      </c>
      <c r="L16" s="195">
        <f t="shared" si="0"/>
        <v>0</v>
      </c>
      <c r="M16" s="160">
        <v>8</v>
      </c>
      <c r="N16" s="195">
        <f t="shared" si="0"/>
        <v>0.2857142857142857</v>
      </c>
      <c r="O16" s="160">
        <v>16</v>
      </c>
      <c r="P16" s="195">
        <f t="shared" si="1"/>
        <v>0.5714285714285714</v>
      </c>
      <c r="Q16" s="160">
        <v>25</v>
      </c>
      <c r="R16" s="195">
        <f t="shared" si="1"/>
        <v>0.8928571428571429</v>
      </c>
      <c r="S16" s="160">
        <v>25</v>
      </c>
      <c r="T16" s="195">
        <f t="shared" si="2"/>
        <v>0.8928571428571429</v>
      </c>
      <c r="U16" s="160">
        <v>25</v>
      </c>
      <c r="V16" s="195">
        <f t="shared" si="3"/>
        <v>0.8928571428571429</v>
      </c>
      <c r="W16" s="153"/>
      <c r="X16" s="153">
        <f t="shared" si="4"/>
        <v>0</v>
      </c>
      <c r="Y16" s="153">
        <f t="shared" si="5"/>
        <v>2146.64</v>
      </c>
      <c r="Z16" s="153">
        <f t="shared" si="6"/>
        <v>4293.28</v>
      </c>
      <c r="AA16" s="153">
        <f t="shared" si="7"/>
        <v>6708.25</v>
      </c>
      <c r="AB16" s="153">
        <f t="shared" si="8"/>
        <v>6708.25</v>
      </c>
      <c r="AC16" s="153">
        <f t="shared" si="9"/>
        <v>6708.25</v>
      </c>
    </row>
    <row r="17" spans="1:29" x14ac:dyDescent="0.25">
      <c r="A17" s="58">
        <v>14</v>
      </c>
      <c r="B17" s="57" t="s">
        <v>1226</v>
      </c>
      <c r="C17" s="150" t="s">
        <v>60</v>
      </c>
      <c r="D17" s="57" t="s">
        <v>50</v>
      </c>
      <c r="E17" s="160">
        <f>IFERROR(VLOOKUP(A17,Estimate!A:Q,17,FALSE)," ")</f>
        <v>5926.666666666667</v>
      </c>
      <c r="F17" s="164">
        <v>28</v>
      </c>
      <c r="G17" s="164">
        <v>28</v>
      </c>
      <c r="H17" s="164">
        <v>268.32</v>
      </c>
      <c r="I17" s="164">
        <v>7512.96</v>
      </c>
      <c r="J17" s="164">
        <v>7512.96</v>
      </c>
      <c r="L17" s="195">
        <f t="shared" si="0"/>
        <v>0</v>
      </c>
      <c r="M17" s="160">
        <v>8</v>
      </c>
      <c r="N17" s="195">
        <f t="shared" si="0"/>
        <v>0.2857142857142857</v>
      </c>
      <c r="O17" s="160">
        <v>16</v>
      </c>
      <c r="P17" s="195">
        <f t="shared" si="1"/>
        <v>0.5714285714285714</v>
      </c>
      <c r="Q17" s="160">
        <v>25</v>
      </c>
      <c r="R17" s="195">
        <f t="shared" si="1"/>
        <v>0.8928571428571429</v>
      </c>
      <c r="S17" s="160">
        <v>25</v>
      </c>
      <c r="T17" s="195">
        <f t="shared" si="2"/>
        <v>0.8928571428571429</v>
      </c>
      <c r="U17" s="160">
        <v>25</v>
      </c>
      <c r="V17" s="195">
        <f t="shared" si="3"/>
        <v>0.8928571428571429</v>
      </c>
      <c r="W17" s="153"/>
      <c r="X17" s="153">
        <f t="shared" si="4"/>
        <v>0</v>
      </c>
      <c r="Y17" s="153">
        <f t="shared" si="5"/>
        <v>2146.56</v>
      </c>
      <c r="Z17" s="153">
        <f t="shared" si="6"/>
        <v>4293.12</v>
      </c>
      <c r="AA17" s="153">
        <f t="shared" si="7"/>
        <v>6708</v>
      </c>
      <c r="AB17" s="153">
        <f t="shared" si="8"/>
        <v>6708</v>
      </c>
      <c r="AC17" s="153">
        <f t="shared" si="9"/>
        <v>6708</v>
      </c>
    </row>
    <row r="18" spans="1:29" ht="45" x14ac:dyDescent="0.25">
      <c r="A18" s="58">
        <v>15</v>
      </c>
      <c r="B18" s="57" t="s">
        <v>1227</v>
      </c>
      <c r="C18" s="150" t="s">
        <v>62</v>
      </c>
      <c r="D18" s="57" t="s">
        <v>50</v>
      </c>
      <c r="E18" s="160">
        <f>IFERROR(VLOOKUP(A18,Estimate!A:Q,17,FALSE)," ")</f>
        <v>2580</v>
      </c>
      <c r="F18" s="164">
        <v>2</v>
      </c>
      <c r="G18" s="164">
        <v>2</v>
      </c>
      <c r="H18" s="164">
        <v>1635.31</v>
      </c>
      <c r="I18" s="164">
        <v>3270.62</v>
      </c>
      <c r="J18" s="164">
        <v>3270.62</v>
      </c>
      <c r="L18" s="195">
        <f t="shared" si="0"/>
        <v>0</v>
      </c>
      <c r="M18" s="160">
        <v>2</v>
      </c>
      <c r="N18" s="195">
        <f t="shared" si="0"/>
        <v>1</v>
      </c>
      <c r="O18" s="160">
        <v>2</v>
      </c>
      <c r="P18" s="195">
        <f t="shared" si="1"/>
        <v>1</v>
      </c>
      <c r="Q18" s="160">
        <v>2</v>
      </c>
      <c r="R18" s="195">
        <f t="shared" si="1"/>
        <v>1</v>
      </c>
      <c r="S18" s="160">
        <v>2</v>
      </c>
      <c r="T18" s="195">
        <f t="shared" si="2"/>
        <v>1</v>
      </c>
      <c r="U18" s="160">
        <v>2</v>
      </c>
      <c r="V18" s="195">
        <f t="shared" si="3"/>
        <v>1</v>
      </c>
      <c r="W18" s="153"/>
      <c r="X18" s="153">
        <f t="shared" si="4"/>
        <v>0</v>
      </c>
      <c r="Y18" s="153">
        <f t="shared" si="5"/>
        <v>3270.62</v>
      </c>
      <c r="Z18" s="153">
        <f t="shared" si="6"/>
        <v>3270.62</v>
      </c>
      <c r="AA18" s="153">
        <f t="shared" si="7"/>
        <v>3270.62</v>
      </c>
      <c r="AB18" s="153">
        <f t="shared" si="8"/>
        <v>3270.62</v>
      </c>
      <c r="AC18" s="153">
        <f t="shared" si="9"/>
        <v>3270.62</v>
      </c>
    </row>
    <row r="19" spans="1:29" ht="30" x14ac:dyDescent="0.25">
      <c r="A19" s="58">
        <v>16</v>
      </c>
      <c r="B19" s="57" t="s">
        <v>1228</v>
      </c>
      <c r="C19" s="150" t="s">
        <v>65</v>
      </c>
      <c r="D19" s="57" t="s">
        <v>50</v>
      </c>
      <c r="E19" s="160">
        <f>IFERROR(VLOOKUP(A19,Estimate!A:Q,17,FALSE)," ")</f>
        <v>2580</v>
      </c>
      <c r="F19" s="164">
        <v>2</v>
      </c>
      <c r="G19" s="164">
        <v>2</v>
      </c>
      <c r="H19" s="164">
        <v>1635.31</v>
      </c>
      <c r="I19" s="164">
        <v>3270.62</v>
      </c>
      <c r="J19" s="164">
        <v>3270.62</v>
      </c>
      <c r="L19" s="195">
        <f t="shared" si="0"/>
        <v>0</v>
      </c>
      <c r="M19" s="160">
        <v>2</v>
      </c>
      <c r="N19" s="195">
        <f t="shared" si="0"/>
        <v>1</v>
      </c>
      <c r="O19" s="160">
        <v>2</v>
      </c>
      <c r="P19" s="195">
        <f t="shared" si="1"/>
        <v>1</v>
      </c>
      <c r="Q19" s="160">
        <v>2</v>
      </c>
      <c r="R19" s="195">
        <f t="shared" si="1"/>
        <v>1</v>
      </c>
      <c r="S19" s="160">
        <v>2</v>
      </c>
      <c r="T19" s="195">
        <f t="shared" si="2"/>
        <v>1</v>
      </c>
      <c r="U19" s="160">
        <v>2</v>
      </c>
      <c r="V19" s="195">
        <f t="shared" si="3"/>
        <v>1</v>
      </c>
      <c r="W19" s="153"/>
      <c r="X19" s="153">
        <f t="shared" si="4"/>
        <v>0</v>
      </c>
      <c r="Y19" s="153">
        <f t="shared" si="5"/>
        <v>3270.62</v>
      </c>
      <c r="Z19" s="153">
        <f t="shared" si="6"/>
        <v>3270.62</v>
      </c>
      <c r="AA19" s="153">
        <f t="shared" si="7"/>
        <v>3270.62</v>
      </c>
      <c r="AB19" s="153">
        <f t="shared" si="8"/>
        <v>3270.62</v>
      </c>
      <c r="AC19" s="153">
        <f t="shared" si="9"/>
        <v>3270.62</v>
      </c>
    </row>
    <row r="20" spans="1:29" ht="30" x14ac:dyDescent="0.25">
      <c r="A20" s="58">
        <v>17</v>
      </c>
      <c r="B20" s="57" t="s">
        <v>1229</v>
      </c>
      <c r="C20" s="150" t="s">
        <v>67</v>
      </c>
      <c r="D20" s="57" t="s">
        <v>50</v>
      </c>
      <c r="E20" s="160">
        <f>IFERROR(VLOOKUP(A20,Estimate!A:Q,17,FALSE)," ")</f>
        <v>2328.333333333333</v>
      </c>
      <c r="F20" s="164">
        <v>11</v>
      </c>
      <c r="G20" s="164">
        <v>11</v>
      </c>
      <c r="H20" s="164">
        <v>268.33</v>
      </c>
      <c r="I20" s="164">
        <v>2951.63</v>
      </c>
      <c r="J20" s="164">
        <v>2951.63</v>
      </c>
      <c r="L20" s="195">
        <f t="shared" si="0"/>
        <v>0</v>
      </c>
      <c r="M20" s="160">
        <v>11</v>
      </c>
      <c r="N20" s="195">
        <f t="shared" si="0"/>
        <v>1</v>
      </c>
      <c r="O20" s="160">
        <v>11</v>
      </c>
      <c r="P20" s="195">
        <f t="shared" si="1"/>
        <v>1</v>
      </c>
      <c r="Q20" s="160">
        <v>11</v>
      </c>
      <c r="R20" s="195">
        <f t="shared" si="1"/>
        <v>1</v>
      </c>
      <c r="S20" s="160">
        <v>11</v>
      </c>
      <c r="T20" s="195">
        <f t="shared" si="2"/>
        <v>1</v>
      </c>
      <c r="U20" s="160">
        <v>11</v>
      </c>
      <c r="V20" s="195">
        <f t="shared" si="3"/>
        <v>1</v>
      </c>
      <c r="W20" s="153"/>
      <c r="X20" s="153">
        <f t="shared" si="4"/>
        <v>0</v>
      </c>
      <c r="Y20" s="153">
        <f t="shared" si="5"/>
        <v>2951.6299999999997</v>
      </c>
      <c r="Z20" s="153">
        <f t="shared" si="6"/>
        <v>2951.6299999999997</v>
      </c>
      <c r="AA20" s="153">
        <f t="shared" si="7"/>
        <v>2951.6299999999997</v>
      </c>
      <c r="AB20" s="153">
        <f t="shared" si="8"/>
        <v>2951.6299999999997</v>
      </c>
      <c r="AC20" s="153">
        <f t="shared" si="9"/>
        <v>2951.6299999999997</v>
      </c>
    </row>
    <row r="21" spans="1:29" x14ac:dyDescent="0.25">
      <c r="B21" s="57" t="s">
        <v>704</v>
      </c>
      <c r="C21" s="150" t="s">
        <v>682</v>
      </c>
      <c r="D21" s="57" t="s">
        <v>748</v>
      </c>
      <c r="E21" s="160" t="str">
        <f>IFERROR(VLOOKUP(A21,Estimate!A:Q,17,FALSE)," ")</f>
        <v xml:space="preserve"> </v>
      </c>
      <c r="F21" s="164" t="s">
        <v>682</v>
      </c>
      <c r="G21" s="164" t="s">
        <v>682</v>
      </c>
      <c r="H21" s="164" t="s">
        <v>682</v>
      </c>
      <c r="I21" s="164" t="s">
        <v>682</v>
      </c>
      <c r="J21" s="164" t="s">
        <v>682</v>
      </c>
      <c r="K21" s="160" t="s">
        <v>682</v>
      </c>
      <c r="L21" s="195" t="str">
        <f t="shared" si="0"/>
        <v xml:space="preserve"> </v>
      </c>
      <c r="M21" s="160" t="s">
        <v>682</v>
      </c>
      <c r="N21" s="195" t="str">
        <f t="shared" si="0"/>
        <v xml:space="preserve"> </v>
      </c>
      <c r="O21" s="160" t="s">
        <v>682</v>
      </c>
      <c r="P21" s="195" t="str">
        <f t="shared" si="1"/>
        <v xml:space="preserve"> </v>
      </c>
      <c r="Q21" s="160" t="s">
        <v>682</v>
      </c>
      <c r="R21" s="195" t="str">
        <f t="shared" si="1"/>
        <v xml:space="preserve"> </v>
      </c>
      <c r="S21" s="160" t="s">
        <v>682</v>
      </c>
      <c r="T21" s="195" t="str">
        <f t="shared" si="2"/>
        <v xml:space="preserve"> </v>
      </c>
      <c r="U21" s="160" t="s">
        <v>682</v>
      </c>
      <c r="V21" s="195" t="str">
        <f t="shared" si="3"/>
        <v xml:space="preserve"> </v>
      </c>
      <c r="W21" s="153"/>
      <c r="X21" s="153" t="str">
        <f t="shared" si="4"/>
        <v xml:space="preserve"> </v>
      </c>
      <c r="Y21" s="153" t="str">
        <f t="shared" si="5"/>
        <v xml:space="preserve"> </v>
      </c>
      <c r="Z21" s="153" t="str">
        <f t="shared" si="6"/>
        <v xml:space="preserve"> </v>
      </c>
      <c r="AA21" s="153" t="str">
        <f t="shared" si="7"/>
        <v xml:space="preserve"> </v>
      </c>
      <c r="AB21" s="153" t="str">
        <f t="shared" si="8"/>
        <v xml:space="preserve"> </v>
      </c>
      <c r="AC21" s="153" t="str">
        <f t="shared" si="9"/>
        <v xml:space="preserve"> </v>
      </c>
    </row>
    <row r="22" spans="1:29" ht="30" x14ac:dyDescent="0.25">
      <c r="A22" s="58">
        <v>18</v>
      </c>
      <c r="B22" s="57">
        <v>2</v>
      </c>
      <c r="C22" s="150" t="s">
        <v>69</v>
      </c>
      <c r="D22" s="57" t="s">
        <v>18</v>
      </c>
      <c r="E22" s="160">
        <f>IFERROR(VLOOKUP(A22,Estimate!A:Q,17,FALSE)," ")</f>
        <v>12317.333333333334</v>
      </c>
      <c r="F22" s="164">
        <v>1</v>
      </c>
      <c r="G22" s="164">
        <v>1</v>
      </c>
      <c r="H22" s="164">
        <v>15614.45</v>
      </c>
      <c r="I22" s="164">
        <v>15614.45</v>
      </c>
      <c r="J22" s="164">
        <v>15614.45</v>
      </c>
      <c r="L22" s="195">
        <f t="shared" si="0"/>
        <v>0</v>
      </c>
      <c r="M22" s="160">
        <v>1</v>
      </c>
      <c r="N22" s="195">
        <f t="shared" si="0"/>
        <v>1</v>
      </c>
      <c r="O22" s="160">
        <v>1</v>
      </c>
      <c r="P22" s="195">
        <f t="shared" si="1"/>
        <v>1</v>
      </c>
      <c r="Q22" s="160">
        <v>1</v>
      </c>
      <c r="R22" s="195">
        <f t="shared" si="1"/>
        <v>1</v>
      </c>
      <c r="S22" s="160">
        <v>1</v>
      </c>
      <c r="T22" s="195">
        <f t="shared" si="2"/>
        <v>1</v>
      </c>
      <c r="U22" s="160">
        <v>1</v>
      </c>
      <c r="V22" s="195">
        <f t="shared" si="3"/>
        <v>1</v>
      </c>
      <c r="W22" s="153"/>
      <c r="X22" s="153">
        <f t="shared" si="4"/>
        <v>0</v>
      </c>
      <c r="Y22" s="153">
        <f t="shared" si="5"/>
        <v>15614.45</v>
      </c>
      <c r="Z22" s="153">
        <f t="shared" si="6"/>
        <v>15614.45</v>
      </c>
      <c r="AA22" s="153">
        <f t="shared" si="7"/>
        <v>15614.45</v>
      </c>
      <c r="AB22" s="153">
        <f t="shared" si="8"/>
        <v>15614.45</v>
      </c>
      <c r="AC22" s="153">
        <f t="shared" si="9"/>
        <v>15614.45</v>
      </c>
    </row>
    <row r="23" spans="1:29" x14ac:dyDescent="0.25">
      <c r="B23" s="57" t="s">
        <v>704</v>
      </c>
      <c r="C23" s="150" t="s">
        <v>682</v>
      </c>
      <c r="D23" s="57" t="s">
        <v>748</v>
      </c>
      <c r="E23" s="160" t="str">
        <f>IFERROR(VLOOKUP(A23,Estimate!A:Q,17,FALSE)," ")</f>
        <v xml:space="preserve"> </v>
      </c>
      <c r="F23" s="164" t="s">
        <v>682</v>
      </c>
      <c r="G23" s="164" t="s">
        <v>682</v>
      </c>
      <c r="H23" s="164" t="s">
        <v>682</v>
      </c>
      <c r="I23" s="164" t="s">
        <v>682</v>
      </c>
      <c r="J23" s="164" t="s">
        <v>682</v>
      </c>
      <c r="K23" s="160" t="s">
        <v>682</v>
      </c>
      <c r="L23" s="195" t="str">
        <f t="shared" ref="L23:N38" si="10">IFERROR(K23/$G23," ")</f>
        <v xml:space="preserve"> </v>
      </c>
      <c r="M23" s="160" t="s">
        <v>682</v>
      </c>
      <c r="N23" s="195" t="str">
        <f t="shared" si="10"/>
        <v xml:space="preserve"> </v>
      </c>
      <c r="O23" s="160" t="s">
        <v>682</v>
      </c>
      <c r="P23" s="195" t="str">
        <f t="shared" ref="P23:R38" si="11">IFERROR(O23/$G23," ")</f>
        <v xml:space="preserve"> </v>
      </c>
      <c r="Q23" s="160" t="s">
        <v>682</v>
      </c>
      <c r="R23" s="195" t="str">
        <f t="shared" si="11"/>
        <v xml:space="preserve"> </v>
      </c>
      <c r="S23" s="160" t="s">
        <v>682</v>
      </c>
      <c r="T23" s="195" t="str">
        <f t="shared" si="2"/>
        <v xml:space="preserve"> </v>
      </c>
      <c r="U23" s="160" t="s">
        <v>682</v>
      </c>
      <c r="V23" s="195" t="str">
        <f t="shared" si="3"/>
        <v xml:space="preserve"> </v>
      </c>
      <c r="W23" s="153"/>
      <c r="X23" s="153" t="str">
        <f t="shared" si="4"/>
        <v xml:space="preserve"> </v>
      </c>
      <c r="Y23" s="153" t="str">
        <f t="shared" si="5"/>
        <v xml:space="preserve"> </v>
      </c>
      <c r="Z23" s="153" t="str">
        <f t="shared" si="6"/>
        <v xml:space="preserve"> </v>
      </c>
      <c r="AA23" s="153" t="str">
        <f t="shared" si="7"/>
        <v xml:space="preserve"> </v>
      </c>
      <c r="AB23" s="153" t="str">
        <f t="shared" si="8"/>
        <v xml:space="preserve"> </v>
      </c>
      <c r="AC23" s="153" t="str">
        <f t="shared" si="9"/>
        <v xml:space="preserve"> </v>
      </c>
    </row>
    <row r="24" spans="1:29" ht="30" x14ac:dyDescent="0.25">
      <c r="B24" s="57">
        <v>3</v>
      </c>
      <c r="C24" s="150" t="s">
        <v>72</v>
      </c>
      <c r="D24" s="57" t="s">
        <v>748</v>
      </c>
      <c r="E24" s="160" t="str">
        <f>IFERROR(VLOOKUP(A24,Estimate!A:Q,17,FALSE)," ")</f>
        <v xml:space="preserve"> </v>
      </c>
      <c r="F24" s="164" t="s">
        <v>682</v>
      </c>
      <c r="G24" s="164" t="s">
        <v>682</v>
      </c>
      <c r="H24" s="164" t="s">
        <v>682</v>
      </c>
      <c r="I24" s="164" t="s">
        <v>682</v>
      </c>
      <c r="J24" s="164" t="s">
        <v>682</v>
      </c>
      <c r="K24" s="160" t="s">
        <v>682</v>
      </c>
      <c r="L24" s="195" t="str">
        <f t="shared" si="10"/>
        <v xml:space="preserve"> </v>
      </c>
      <c r="M24" s="160" t="s">
        <v>682</v>
      </c>
      <c r="N24" s="195" t="str">
        <f t="shared" si="10"/>
        <v xml:space="preserve"> </v>
      </c>
      <c r="O24" s="160" t="s">
        <v>682</v>
      </c>
      <c r="P24" s="195" t="str">
        <f t="shared" si="11"/>
        <v xml:space="preserve"> </v>
      </c>
      <c r="Q24" s="160" t="s">
        <v>682</v>
      </c>
      <c r="R24" s="195" t="str">
        <f t="shared" si="11"/>
        <v xml:space="preserve"> </v>
      </c>
      <c r="S24" s="160" t="s">
        <v>682</v>
      </c>
      <c r="T24" s="195" t="str">
        <f t="shared" si="2"/>
        <v xml:space="preserve"> </v>
      </c>
      <c r="U24" s="160" t="s">
        <v>682</v>
      </c>
      <c r="V24" s="195" t="str">
        <f t="shared" si="3"/>
        <v xml:space="preserve"> </v>
      </c>
      <c r="W24" s="153"/>
      <c r="X24" s="153" t="str">
        <f t="shared" si="4"/>
        <v xml:space="preserve"> </v>
      </c>
      <c r="Y24" s="153" t="str">
        <f t="shared" si="5"/>
        <v xml:space="preserve"> </v>
      </c>
      <c r="Z24" s="153" t="str">
        <f t="shared" si="6"/>
        <v xml:space="preserve"> </v>
      </c>
      <c r="AA24" s="153" t="str">
        <f t="shared" si="7"/>
        <v xml:space="preserve"> </v>
      </c>
      <c r="AB24" s="153" t="str">
        <f t="shared" si="8"/>
        <v xml:space="preserve"> </v>
      </c>
      <c r="AC24" s="153" t="str">
        <f t="shared" si="9"/>
        <v xml:space="preserve"> </v>
      </c>
    </row>
    <row r="25" spans="1:29" ht="60" x14ac:dyDescent="0.25">
      <c r="A25" s="58">
        <v>19</v>
      </c>
      <c r="B25" s="57" t="s">
        <v>1214</v>
      </c>
      <c r="C25" s="150" t="s">
        <v>1230</v>
      </c>
      <c r="D25" s="57" t="s">
        <v>74</v>
      </c>
      <c r="E25" s="160">
        <f>IFERROR(VLOOKUP(A25,Estimate!A:Q,17,FALSE)," ")</f>
        <v>33689.751999999993</v>
      </c>
      <c r="F25" s="164">
        <v>2804</v>
      </c>
      <c r="H25" s="164">
        <v>15.23</v>
      </c>
      <c r="I25" s="164">
        <v>42704.92</v>
      </c>
      <c r="J25" s="164"/>
      <c r="L25" s="195" t="str">
        <f t="shared" si="10"/>
        <v xml:space="preserve"> </v>
      </c>
      <c r="N25" s="195" t="str">
        <f t="shared" si="10"/>
        <v xml:space="preserve"> </v>
      </c>
      <c r="P25" s="195" t="str">
        <f t="shared" si="11"/>
        <v xml:space="preserve"> </v>
      </c>
      <c r="R25" s="195" t="str">
        <f t="shared" si="11"/>
        <v xml:space="preserve"> </v>
      </c>
      <c r="T25" s="195" t="str">
        <f t="shared" si="2"/>
        <v xml:space="preserve"> </v>
      </c>
      <c r="V25" s="195" t="str">
        <f t="shared" si="3"/>
        <v xml:space="preserve"> </v>
      </c>
      <c r="W25" s="153"/>
      <c r="X25" s="153">
        <f t="shared" si="4"/>
        <v>0</v>
      </c>
      <c r="Y25" s="153">
        <f t="shared" si="5"/>
        <v>0</v>
      </c>
      <c r="Z25" s="153">
        <f t="shared" si="6"/>
        <v>0</v>
      </c>
      <c r="AA25" s="153">
        <f t="shared" si="7"/>
        <v>0</v>
      </c>
      <c r="AB25" s="153">
        <f t="shared" si="8"/>
        <v>0</v>
      </c>
      <c r="AC25" s="153">
        <f t="shared" si="9"/>
        <v>0</v>
      </c>
    </row>
    <row r="26" spans="1:29" ht="30" x14ac:dyDescent="0.25">
      <c r="A26" s="58">
        <v>20</v>
      </c>
      <c r="B26" s="57" t="s">
        <v>1231</v>
      </c>
      <c r="C26" s="150" t="s">
        <v>80</v>
      </c>
      <c r="D26" s="57" t="s">
        <v>74</v>
      </c>
      <c r="E26" s="160">
        <f>IFERROR(VLOOKUP(A26,Estimate!A:Q,17,FALSE)," ")</f>
        <v>2514.8000000000002</v>
      </c>
      <c r="F26" s="164">
        <v>40</v>
      </c>
      <c r="H26" s="164">
        <v>62.87</v>
      </c>
      <c r="I26" s="164">
        <v>2514.8000000000002</v>
      </c>
      <c r="J26" s="164"/>
      <c r="L26" s="195" t="str">
        <f t="shared" si="10"/>
        <v xml:space="preserve"> </v>
      </c>
      <c r="N26" s="195" t="str">
        <f t="shared" si="10"/>
        <v xml:space="preserve"> </v>
      </c>
      <c r="P26" s="195" t="str">
        <f t="shared" si="11"/>
        <v xml:space="preserve"> </v>
      </c>
      <c r="R26" s="195" t="str">
        <f t="shared" si="11"/>
        <v xml:space="preserve"> </v>
      </c>
      <c r="T26" s="195" t="str">
        <f t="shared" si="2"/>
        <v xml:space="preserve"> </v>
      </c>
      <c r="V26" s="195" t="str">
        <f t="shared" si="3"/>
        <v xml:space="preserve"> </v>
      </c>
      <c r="W26" s="153"/>
      <c r="X26" s="153">
        <f t="shared" si="4"/>
        <v>0</v>
      </c>
      <c r="Y26" s="153">
        <f t="shared" si="5"/>
        <v>0</v>
      </c>
      <c r="Z26" s="153">
        <f t="shared" si="6"/>
        <v>0</v>
      </c>
      <c r="AA26" s="153">
        <f t="shared" si="7"/>
        <v>0</v>
      </c>
      <c r="AB26" s="153">
        <f t="shared" si="8"/>
        <v>0</v>
      </c>
      <c r="AC26" s="153">
        <f t="shared" si="9"/>
        <v>0</v>
      </c>
    </row>
    <row r="27" spans="1:29" ht="60" x14ac:dyDescent="0.25">
      <c r="A27" s="58">
        <v>21</v>
      </c>
      <c r="B27" s="57" t="s">
        <v>1232</v>
      </c>
      <c r="C27" s="150" t="s">
        <v>84</v>
      </c>
      <c r="D27" s="57" t="s">
        <v>74</v>
      </c>
      <c r="E27" s="160">
        <f>IFERROR(VLOOKUP(A27,Estimate!A:Q,17,FALSE)," ")</f>
        <v>9338.1479999999992</v>
      </c>
      <c r="F27" s="164">
        <v>423</v>
      </c>
      <c r="H27" s="164">
        <v>22.08</v>
      </c>
      <c r="I27" s="164">
        <v>9339.84</v>
      </c>
      <c r="J27" s="164"/>
      <c r="L27" s="195" t="str">
        <f t="shared" si="10"/>
        <v xml:space="preserve"> </v>
      </c>
      <c r="N27" s="195" t="str">
        <f t="shared" si="10"/>
        <v xml:space="preserve"> </v>
      </c>
      <c r="P27" s="195" t="str">
        <f t="shared" si="11"/>
        <v xml:space="preserve"> </v>
      </c>
      <c r="R27" s="195" t="str">
        <f t="shared" si="11"/>
        <v xml:space="preserve"> </v>
      </c>
      <c r="T27" s="195" t="str">
        <f t="shared" si="2"/>
        <v xml:space="preserve"> </v>
      </c>
      <c r="V27" s="195" t="str">
        <f t="shared" si="3"/>
        <v xml:space="preserve"> </v>
      </c>
      <c r="W27" s="153"/>
      <c r="X27" s="153">
        <f t="shared" si="4"/>
        <v>0</v>
      </c>
      <c r="Y27" s="153">
        <f t="shared" si="5"/>
        <v>0</v>
      </c>
      <c r="Z27" s="153">
        <f t="shared" si="6"/>
        <v>0</v>
      </c>
      <c r="AA27" s="153">
        <f t="shared" si="7"/>
        <v>0</v>
      </c>
      <c r="AB27" s="153">
        <f t="shared" si="8"/>
        <v>0</v>
      </c>
      <c r="AC27" s="153">
        <f t="shared" si="9"/>
        <v>0</v>
      </c>
    </row>
    <row r="28" spans="1:29" x14ac:dyDescent="0.25">
      <c r="B28" s="57" t="s">
        <v>704</v>
      </c>
      <c r="C28" s="150" t="s">
        <v>682</v>
      </c>
      <c r="D28" s="57" t="s">
        <v>748</v>
      </c>
      <c r="E28" s="160" t="str">
        <f>IFERROR(VLOOKUP(A28,Estimate!A:Q,17,FALSE)," ")</f>
        <v xml:space="preserve"> </v>
      </c>
      <c r="F28" s="164" t="s">
        <v>682</v>
      </c>
      <c r="G28" s="164" t="s">
        <v>682</v>
      </c>
      <c r="H28" s="164" t="s">
        <v>682</v>
      </c>
      <c r="I28" s="164" t="s">
        <v>682</v>
      </c>
      <c r="J28" s="164" t="s">
        <v>682</v>
      </c>
      <c r="K28" s="160" t="s">
        <v>682</v>
      </c>
      <c r="L28" s="195" t="str">
        <f t="shared" si="10"/>
        <v xml:space="preserve"> </v>
      </c>
      <c r="M28" s="160" t="s">
        <v>682</v>
      </c>
      <c r="N28" s="195" t="str">
        <f t="shared" si="10"/>
        <v xml:space="preserve"> </v>
      </c>
      <c r="O28" s="160" t="s">
        <v>682</v>
      </c>
      <c r="P28" s="195" t="str">
        <f t="shared" si="11"/>
        <v xml:space="preserve"> </v>
      </c>
      <c r="Q28" s="160" t="s">
        <v>682</v>
      </c>
      <c r="R28" s="195" t="str">
        <f t="shared" si="11"/>
        <v xml:space="preserve"> </v>
      </c>
      <c r="S28" s="160" t="s">
        <v>682</v>
      </c>
      <c r="T28" s="195" t="str">
        <f t="shared" si="2"/>
        <v xml:space="preserve"> </v>
      </c>
      <c r="U28" s="160" t="s">
        <v>682</v>
      </c>
      <c r="V28" s="195" t="str">
        <f t="shared" si="3"/>
        <v xml:space="preserve"> </v>
      </c>
      <c r="W28" s="153"/>
      <c r="X28" s="153" t="str">
        <f t="shared" si="4"/>
        <v xml:space="preserve"> </v>
      </c>
      <c r="Y28" s="153" t="str">
        <f t="shared" si="5"/>
        <v xml:space="preserve"> </v>
      </c>
      <c r="Z28" s="153" t="str">
        <f t="shared" si="6"/>
        <v xml:space="preserve"> </v>
      </c>
      <c r="AA28" s="153" t="str">
        <f t="shared" si="7"/>
        <v xml:space="preserve"> </v>
      </c>
      <c r="AB28" s="153" t="str">
        <f t="shared" si="8"/>
        <v xml:space="preserve"> </v>
      </c>
      <c r="AC28" s="153" t="str">
        <f t="shared" si="9"/>
        <v xml:space="preserve"> </v>
      </c>
    </row>
    <row r="29" spans="1:29" ht="45" x14ac:dyDescent="0.25">
      <c r="B29" s="57">
        <v>4</v>
      </c>
      <c r="C29" s="150" t="s">
        <v>86</v>
      </c>
      <c r="D29" s="57" t="s">
        <v>748</v>
      </c>
      <c r="E29" s="160" t="str">
        <f>IFERROR(VLOOKUP(A29,Estimate!A:Q,17,FALSE)," ")</f>
        <v xml:space="preserve"> </v>
      </c>
      <c r="F29" s="164" t="s">
        <v>682</v>
      </c>
      <c r="G29" s="164" t="s">
        <v>682</v>
      </c>
      <c r="H29" s="164" t="s">
        <v>682</v>
      </c>
      <c r="I29" s="164" t="s">
        <v>682</v>
      </c>
      <c r="J29" s="164" t="s">
        <v>682</v>
      </c>
      <c r="K29" s="160" t="s">
        <v>682</v>
      </c>
      <c r="L29" s="195" t="str">
        <f t="shared" si="10"/>
        <v xml:space="preserve"> </v>
      </c>
      <c r="M29" s="160" t="s">
        <v>682</v>
      </c>
      <c r="N29" s="195" t="str">
        <f t="shared" si="10"/>
        <v xml:space="preserve"> </v>
      </c>
      <c r="O29" s="160" t="s">
        <v>682</v>
      </c>
      <c r="P29" s="195" t="str">
        <f t="shared" si="11"/>
        <v xml:space="preserve"> </v>
      </c>
      <c r="Q29" s="160" t="s">
        <v>682</v>
      </c>
      <c r="R29" s="195" t="str">
        <f t="shared" si="11"/>
        <v xml:space="preserve"> </v>
      </c>
      <c r="S29" s="160" t="s">
        <v>682</v>
      </c>
      <c r="T29" s="195" t="str">
        <f t="shared" si="2"/>
        <v xml:space="preserve"> </v>
      </c>
      <c r="U29" s="160" t="s">
        <v>682</v>
      </c>
      <c r="V29" s="195" t="str">
        <f t="shared" si="3"/>
        <v xml:space="preserve"> </v>
      </c>
      <c r="W29" s="153"/>
      <c r="X29" s="153" t="str">
        <f t="shared" si="4"/>
        <v xml:space="preserve"> </v>
      </c>
      <c r="Y29" s="153" t="str">
        <f t="shared" si="5"/>
        <v xml:space="preserve"> </v>
      </c>
      <c r="Z29" s="153" t="str">
        <f t="shared" si="6"/>
        <v xml:space="preserve"> </v>
      </c>
      <c r="AA29" s="153" t="str">
        <f t="shared" si="7"/>
        <v xml:space="preserve"> </v>
      </c>
      <c r="AB29" s="153" t="str">
        <f t="shared" si="8"/>
        <v xml:space="preserve"> </v>
      </c>
      <c r="AC29" s="153" t="str">
        <f t="shared" si="9"/>
        <v xml:space="preserve"> </v>
      </c>
    </row>
    <row r="30" spans="1:29" x14ac:dyDescent="0.25">
      <c r="A30" s="58">
        <v>22</v>
      </c>
      <c r="B30" s="57" t="s">
        <v>1214</v>
      </c>
      <c r="C30" s="150" t="s">
        <v>691</v>
      </c>
      <c r="D30" s="57" t="s">
        <v>88</v>
      </c>
      <c r="E30" s="160">
        <f>IFERROR(VLOOKUP(A30,Estimate!A:Q,17,FALSE)," ")</f>
        <v>32988.338499999998</v>
      </c>
      <c r="F30" s="164">
        <v>11271</v>
      </c>
      <c r="H30" s="164">
        <v>3.71</v>
      </c>
      <c r="I30" s="164">
        <v>41815.410000000003</v>
      </c>
      <c r="J30" s="164"/>
      <c r="L30" s="195" t="str">
        <f t="shared" si="10"/>
        <v xml:space="preserve"> </v>
      </c>
      <c r="N30" s="195" t="str">
        <f t="shared" si="10"/>
        <v xml:space="preserve"> </v>
      </c>
      <c r="P30" s="195" t="str">
        <f t="shared" si="11"/>
        <v xml:space="preserve"> </v>
      </c>
      <c r="R30" s="195" t="str">
        <f t="shared" si="11"/>
        <v xml:space="preserve"> </v>
      </c>
      <c r="T30" s="195" t="str">
        <f t="shared" si="2"/>
        <v xml:space="preserve"> </v>
      </c>
      <c r="V30" s="195" t="str">
        <f t="shared" si="3"/>
        <v xml:space="preserve"> </v>
      </c>
      <c r="W30" s="153"/>
      <c r="X30" s="153">
        <f t="shared" si="4"/>
        <v>0</v>
      </c>
      <c r="Y30" s="153">
        <f t="shared" si="5"/>
        <v>0</v>
      </c>
      <c r="Z30" s="153">
        <f t="shared" si="6"/>
        <v>0</v>
      </c>
      <c r="AA30" s="153">
        <f t="shared" si="7"/>
        <v>0</v>
      </c>
      <c r="AB30" s="153">
        <f t="shared" si="8"/>
        <v>0</v>
      </c>
      <c r="AC30" s="153">
        <f t="shared" si="9"/>
        <v>0</v>
      </c>
    </row>
    <row r="31" spans="1:29" x14ac:dyDescent="0.25">
      <c r="B31" s="57" t="s">
        <v>704</v>
      </c>
      <c r="C31" s="150" t="s">
        <v>682</v>
      </c>
      <c r="D31" s="57" t="s">
        <v>748</v>
      </c>
      <c r="E31" s="160" t="str">
        <f>IFERROR(VLOOKUP(A31,Estimate!A:Q,17,FALSE)," ")</f>
        <v xml:space="preserve"> </v>
      </c>
      <c r="F31" s="164" t="s">
        <v>682</v>
      </c>
      <c r="G31" s="164" t="s">
        <v>682</v>
      </c>
      <c r="H31" s="164" t="s">
        <v>682</v>
      </c>
      <c r="I31" s="164" t="s">
        <v>682</v>
      </c>
      <c r="J31" s="164" t="s">
        <v>682</v>
      </c>
      <c r="K31" s="160" t="s">
        <v>682</v>
      </c>
      <c r="L31" s="195" t="str">
        <f t="shared" si="10"/>
        <v xml:space="preserve"> </v>
      </c>
      <c r="M31" s="160" t="s">
        <v>682</v>
      </c>
      <c r="N31" s="195" t="str">
        <f t="shared" si="10"/>
        <v xml:space="preserve"> </v>
      </c>
      <c r="O31" s="160" t="s">
        <v>682</v>
      </c>
      <c r="P31" s="195" t="str">
        <f t="shared" si="11"/>
        <v xml:space="preserve"> </v>
      </c>
      <c r="Q31" s="160" t="s">
        <v>682</v>
      </c>
      <c r="R31" s="195" t="str">
        <f t="shared" si="11"/>
        <v xml:space="preserve"> </v>
      </c>
      <c r="S31" s="160" t="s">
        <v>682</v>
      </c>
      <c r="T31" s="195" t="str">
        <f t="shared" si="2"/>
        <v xml:space="preserve"> </v>
      </c>
      <c r="U31" s="160" t="s">
        <v>682</v>
      </c>
      <c r="V31" s="195" t="str">
        <f t="shared" si="3"/>
        <v xml:space="preserve"> </v>
      </c>
      <c r="W31" s="153"/>
      <c r="X31" s="153" t="str">
        <f t="shared" si="4"/>
        <v xml:space="preserve"> </v>
      </c>
      <c r="Y31" s="153" t="str">
        <f t="shared" si="5"/>
        <v xml:space="preserve"> </v>
      </c>
      <c r="Z31" s="153" t="str">
        <f t="shared" si="6"/>
        <v xml:space="preserve"> </v>
      </c>
      <c r="AA31" s="153" t="str">
        <f t="shared" si="7"/>
        <v xml:space="preserve"> </v>
      </c>
      <c r="AB31" s="153" t="str">
        <f t="shared" si="8"/>
        <v xml:space="preserve"> </v>
      </c>
      <c r="AC31" s="153" t="str">
        <f t="shared" si="9"/>
        <v xml:space="preserve"> </v>
      </c>
    </row>
    <row r="32" spans="1:29" ht="45" x14ac:dyDescent="0.25">
      <c r="B32" s="57">
        <v>5</v>
      </c>
      <c r="C32" s="150" t="s">
        <v>91</v>
      </c>
      <c r="D32" s="57" t="s">
        <v>748</v>
      </c>
      <c r="E32" s="160" t="str">
        <f>IFERROR(VLOOKUP(A32,Estimate!A:Q,17,FALSE)," ")</f>
        <v xml:space="preserve"> </v>
      </c>
      <c r="F32" s="164" t="s">
        <v>682</v>
      </c>
      <c r="G32" s="164" t="s">
        <v>682</v>
      </c>
      <c r="H32" s="164" t="s">
        <v>682</v>
      </c>
      <c r="I32" s="164" t="s">
        <v>682</v>
      </c>
      <c r="J32" s="164" t="s">
        <v>682</v>
      </c>
      <c r="K32" s="160" t="s">
        <v>682</v>
      </c>
      <c r="L32" s="195" t="str">
        <f t="shared" si="10"/>
        <v xml:space="preserve"> </v>
      </c>
      <c r="M32" s="160" t="s">
        <v>682</v>
      </c>
      <c r="N32" s="195" t="str">
        <f t="shared" si="10"/>
        <v xml:space="preserve"> </v>
      </c>
      <c r="O32" s="160" t="s">
        <v>682</v>
      </c>
      <c r="P32" s="195" t="str">
        <f t="shared" si="11"/>
        <v xml:space="preserve"> </v>
      </c>
      <c r="Q32" s="160" t="s">
        <v>682</v>
      </c>
      <c r="R32" s="195" t="str">
        <f t="shared" si="11"/>
        <v xml:space="preserve"> </v>
      </c>
      <c r="S32" s="160" t="s">
        <v>682</v>
      </c>
      <c r="T32" s="195" t="str">
        <f t="shared" si="2"/>
        <v xml:space="preserve"> </v>
      </c>
      <c r="U32" s="160" t="s">
        <v>682</v>
      </c>
      <c r="V32" s="195" t="str">
        <f t="shared" si="3"/>
        <v xml:space="preserve"> </v>
      </c>
      <c r="W32" s="153"/>
      <c r="X32" s="153" t="str">
        <f t="shared" si="4"/>
        <v xml:space="preserve"> </v>
      </c>
      <c r="Y32" s="153" t="str">
        <f t="shared" si="5"/>
        <v xml:space="preserve"> </v>
      </c>
      <c r="Z32" s="153" t="str">
        <f t="shared" si="6"/>
        <v xml:space="preserve"> </v>
      </c>
      <c r="AA32" s="153" t="str">
        <f t="shared" si="7"/>
        <v xml:space="preserve"> </v>
      </c>
      <c r="AB32" s="153" t="str">
        <f t="shared" si="8"/>
        <v xml:space="preserve"> </v>
      </c>
      <c r="AC32" s="153" t="str">
        <f t="shared" si="9"/>
        <v xml:space="preserve"> </v>
      </c>
    </row>
    <row r="33" spans="1:29" x14ac:dyDescent="0.25">
      <c r="A33" s="58">
        <v>23</v>
      </c>
      <c r="B33" s="57" t="s">
        <v>1214</v>
      </c>
      <c r="C33" s="150" t="s">
        <v>690</v>
      </c>
      <c r="D33" s="57" t="s">
        <v>88</v>
      </c>
      <c r="E33" s="160">
        <f>IFERROR(VLOOKUP(A33,Estimate!A:Q,17,FALSE)," ")</f>
        <v>15618.01515151515</v>
      </c>
      <c r="F33" s="164">
        <v>7375</v>
      </c>
      <c r="G33" s="164">
        <v>7375</v>
      </c>
      <c r="H33" s="164">
        <v>2.68</v>
      </c>
      <c r="I33" s="164">
        <v>19765</v>
      </c>
      <c r="J33" s="164">
        <v>19765</v>
      </c>
      <c r="L33" s="195">
        <f t="shared" si="10"/>
        <v>0</v>
      </c>
      <c r="N33" s="195">
        <f t="shared" si="10"/>
        <v>0</v>
      </c>
      <c r="O33" s="160">
        <v>7375</v>
      </c>
      <c r="P33" s="195">
        <f t="shared" si="11"/>
        <v>1</v>
      </c>
      <c r="Q33" s="160">
        <v>7375</v>
      </c>
      <c r="R33" s="195">
        <f t="shared" si="11"/>
        <v>1</v>
      </c>
      <c r="S33" s="160">
        <v>7375</v>
      </c>
      <c r="T33" s="195">
        <f t="shared" si="2"/>
        <v>1</v>
      </c>
      <c r="U33" s="160">
        <v>7375</v>
      </c>
      <c r="V33" s="195">
        <f t="shared" si="3"/>
        <v>1</v>
      </c>
      <c r="W33" s="153"/>
      <c r="X33" s="153">
        <f t="shared" si="4"/>
        <v>0</v>
      </c>
      <c r="Y33" s="153">
        <f t="shared" si="5"/>
        <v>0</v>
      </c>
      <c r="Z33" s="153">
        <f t="shared" si="6"/>
        <v>19765</v>
      </c>
      <c r="AA33" s="153">
        <f t="shared" si="7"/>
        <v>19765</v>
      </c>
      <c r="AB33" s="153">
        <f t="shared" si="8"/>
        <v>19765</v>
      </c>
      <c r="AC33" s="153">
        <f t="shared" si="9"/>
        <v>19765</v>
      </c>
    </row>
    <row r="34" spans="1:29" x14ac:dyDescent="0.25">
      <c r="B34" s="57">
        <v>6</v>
      </c>
      <c r="C34" s="150" t="s">
        <v>94</v>
      </c>
      <c r="D34" s="57" t="s">
        <v>748</v>
      </c>
      <c r="E34" s="160" t="str">
        <f>IFERROR(VLOOKUP(A34,Estimate!A:Q,17,FALSE)," ")</f>
        <v xml:space="preserve"> </v>
      </c>
      <c r="F34" s="164" t="s">
        <v>682</v>
      </c>
      <c r="G34" s="164" t="s">
        <v>682</v>
      </c>
      <c r="H34" s="164" t="s">
        <v>682</v>
      </c>
      <c r="I34" s="164" t="s">
        <v>682</v>
      </c>
      <c r="J34" s="164" t="s">
        <v>682</v>
      </c>
      <c r="K34" s="160" t="s">
        <v>682</v>
      </c>
      <c r="L34" s="195" t="str">
        <f t="shared" si="10"/>
        <v xml:space="preserve"> </v>
      </c>
      <c r="M34" s="160" t="s">
        <v>682</v>
      </c>
      <c r="N34" s="195" t="str">
        <f t="shared" si="10"/>
        <v xml:space="preserve"> </v>
      </c>
      <c r="O34" s="160" t="s">
        <v>682</v>
      </c>
      <c r="P34" s="195" t="str">
        <f t="shared" si="11"/>
        <v xml:space="preserve"> </v>
      </c>
      <c r="Q34" s="160" t="s">
        <v>682</v>
      </c>
      <c r="R34" s="195" t="str">
        <f t="shared" si="11"/>
        <v xml:space="preserve"> </v>
      </c>
      <c r="S34" s="160" t="s">
        <v>682</v>
      </c>
      <c r="T34" s="195" t="str">
        <f t="shared" si="2"/>
        <v xml:space="preserve"> </v>
      </c>
      <c r="U34" s="160" t="s">
        <v>682</v>
      </c>
      <c r="V34" s="195" t="str">
        <f t="shared" si="3"/>
        <v xml:space="preserve"> </v>
      </c>
      <c r="W34" s="153"/>
      <c r="X34" s="153" t="str">
        <f t="shared" si="4"/>
        <v xml:space="preserve"> </v>
      </c>
      <c r="Y34" s="153" t="str">
        <f t="shared" si="5"/>
        <v xml:space="preserve"> </v>
      </c>
      <c r="Z34" s="153" t="str">
        <f t="shared" si="6"/>
        <v xml:space="preserve"> </v>
      </c>
      <c r="AA34" s="153" t="str">
        <f t="shared" si="7"/>
        <v xml:space="preserve"> </v>
      </c>
      <c r="AB34" s="153" t="str">
        <f t="shared" si="8"/>
        <v xml:space="preserve"> </v>
      </c>
      <c r="AC34" s="153" t="str">
        <f t="shared" si="9"/>
        <v xml:space="preserve"> </v>
      </c>
    </row>
    <row r="35" spans="1:29" ht="30" x14ac:dyDescent="0.25">
      <c r="B35" s="57" t="s">
        <v>704</v>
      </c>
      <c r="C35" s="150" t="s">
        <v>96</v>
      </c>
      <c r="D35" s="57" t="s">
        <v>748</v>
      </c>
      <c r="E35" s="160" t="str">
        <f>IFERROR(VLOOKUP(A35,Estimate!A:Q,17,FALSE)," ")</f>
        <v xml:space="preserve"> </v>
      </c>
      <c r="F35" s="164" t="s">
        <v>682</v>
      </c>
      <c r="G35" s="164" t="s">
        <v>682</v>
      </c>
      <c r="H35" s="164" t="s">
        <v>682</v>
      </c>
      <c r="I35" s="164" t="s">
        <v>682</v>
      </c>
      <c r="J35" s="164" t="s">
        <v>682</v>
      </c>
      <c r="K35" s="160" t="s">
        <v>682</v>
      </c>
      <c r="L35" s="195" t="str">
        <f t="shared" si="10"/>
        <v xml:space="preserve"> </v>
      </c>
      <c r="M35" s="160" t="s">
        <v>682</v>
      </c>
      <c r="N35" s="195" t="str">
        <f t="shared" si="10"/>
        <v xml:space="preserve"> </v>
      </c>
      <c r="O35" s="160" t="s">
        <v>682</v>
      </c>
      <c r="P35" s="195" t="str">
        <f t="shared" si="11"/>
        <v xml:space="preserve"> </v>
      </c>
      <c r="Q35" s="160" t="s">
        <v>682</v>
      </c>
      <c r="R35" s="195" t="str">
        <f t="shared" si="11"/>
        <v xml:space="preserve"> </v>
      </c>
      <c r="S35" s="160" t="s">
        <v>682</v>
      </c>
      <c r="T35" s="195" t="str">
        <f t="shared" si="2"/>
        <v xml:space="preserve"> </v>
      </c>
      <c r="U35" s="160" t="s">
        <v>682</v>
      </c>
      <c r="V35" s="195" t="str">
        <f t="shared" si="3"/>
        <v xml:space="preserve"> </v>
      </c>
      <c r="W35" s="153"/>
      <c r="X35" s="153" t="str">
        <f t="shared" si="4"/>
        <v xml:space="preserve"> </v>
      </c>
      <c r="Y35" s="153" t="str">
        <f t="shared" si="5"/>
        <v xml:space="preserve"> </v>
      </c>
      <c r="Z35" s="153" t="str">
        <f t="shared" si="6"/>
        <v xml:space="preserve"> </v>
      </c>
      <c r="AA35" s="153" t="str">
        <f t="shared" si="7"/>
        <v xml:space="preserve"> </v>
      </c>
      <c r="AB35" s="153" t="str">
        <f t="shared" si="8"/>
        <v xml:space="preserve"> </v>
      </c>
      <c r="AC35" s="153" t="str">
        <f t="shared" si="9"/>
        <v xml:space="preserve"> </v>
      </c>
    </row>
    <row r="36" spans="1:29" x14ac:dyDescent="0.25">
      <c r="B36" s="57" t="s">
        <v>704</v>
      </c>
      <c r="C36" s="150" t="s">
        <v>98</v>
      </c>
      <c r="D36" s="57" t="s">
        <v>748</v>
      </c>
      <c r="E36" s="160" t="str">
        <f>IFERROR(VLOOKUP(A36,Estimate!A:Q,17,FALSE)," ")</f>
        <v xml:space="preserve"> </v>
      </c>
      <c r="F36" s="164" t="s">
        <v>682</v>
      </c>
      <c r="G36" s="164" t="s">
        <v>682</v>
      </c>
      <c r="H36" s="164" t="s">
        <v>682</v>
      </c>
      <c r="I36" s="164" t="s">
        <v>682</v>
      </c>
      <c r="J36" s="164" t="s">
        <v>682</v>
      </c>
      <c r="K36" s="160" t="s">
        <v>682</v>
      </c>
      <c r="L36" s="195" t="str">
        <f t="shared" si="10"/>
        <v xml:space="preserve"> </v>
      </c>
      <c r="M36" s="160" t="s">
        <v>682</v>
      </c>
      <c r="N36" s="195" t="str">
        <f t="shared" si="10"/>
        <v xml:space="preserve"> </v>
      </c>
      <c r="O36" s="160" t="s">
        <v>682</v>
      </c>
      <c r="P36" s="195" t="str">
        <f t="shared" si="11"/>
        <v xml:space="preserve"> </v>
      </c>
      <c r="Q36" s="160" t="s">
        <v>682</v>
      </c>
      <c r="R36" s="195" t="str">
        <f t="shared" si="11"/>
        <v xml:space="preserve"> </v>
      </c>
      <c r="S36" s="160" t="s">
        <v>682</v>
      </c>
      <c r="T36" s="195" t="str">
        <f t="shared" si="2"/>
        <v xml:space="preserve"> </v>
      </c>
      <c r="U36" s="160" t="s">
        <v>682</v>
      </c>
      <c r="V36" s="195" t="str">
        <f t="shared" si="3"/>
        <v xml:space="preserve"> </v>
      </c>
      <c r="W36" s="153"/>
      <c r="X36" s="153" t="str">
        <f t="shared" si="4"/>
        <v xml:space="preserve"> </v>
      </c>
      <c r="Y36" s="153" t="str">
        <f t="shared" si="5"/>
        <v xml:space="preserve"> </v>
      </c>
      <c r="Z36" s="153" t="str">
        <f t="shared" si="6"/>
        <v xml:space="preserve"> </v>
      </c>
      <c r="AA36" s="153" t="str">
        <f t="shared" si="7"/>
        <v xml:space="preserve"> </v>
      </c>
      <c r="AB36" s="153" t="str">
        <f t="shared" si="8"/>
        <v xml:space="preserve"> </v>
      </c>
      <c r="AC36" s="153" t="str">
        <f t="shared" si="9"/>
        <v xml:space="preserve"> </v>
      </c>
    </row>
    <row r="37" spans="1:29" x14ac:dyDescent="0.25">
      <c r="A37" s="58">
        <v>24</v>
      </c>
      <c r="B37" s="57" t="s">
        <v>1222</v>
      </c>
      <c r="C37" s="150" t="s">
        <v>692</v>
      </c>
      <c r="D37" s="57" t="s">
        <v>74</v>
      </c>
      <c r="E37" s="160">
        <f>IFERROR(VLOOKUP(A37,Estimate!A:Q,17,FALSE)," ")</f>
        <v>131510.40742500001</v>
      </c>
      <c r="F37" s="164">
        <v>1231</v>
      </c>
      <c r="H37" s="164">
        <v>135.43</v>
      </c>
      <c r="I37" s="164">
        <v>166714.32999999999</v>
      </c>
      <c r="J37" s="164"/>
      <c r="L37" s="195" t="str">
        <f t="shared" si="10"/>
        <v xml:space="preserve"> </v>
      </c>
      <c r="N37" s="195" t="str">
        <f t="shared" si="10"/>
        <v xml:space="preserve"> </v>
      </c>
      <c r="P37" s="195" t="str">
        <f t="shared" si="11"/>
        <v xml:space="preserve"> </v>
      </c>
      <c r="R37" s="195" t="str">
        <f t="shared" si="11"/>
        <v xml:space="preserve"> </v>
      </c>
      <c r="T37" s="195" t="str">
        <f t="shared" si="2"/>
        <v xml:space="preserve"> </v>
      </c>
      <c r="V37" s="195" t="str">
        <f t="shared" si="3"/>
        <v xml:space="preserve"> </v>
      </c>
      <c r="W37" s="153"/>
      <c r="X37" s="153">
        <f t="shared" si="4"/>
        <v>0</v>
      </c>
      <c r="Y37" s="153">
        <f t="shared" si="5"/>
        <v>0</v>
      </c>
      <c r="Z37" s="153">
        <f t="shared" si="6"/>
        <v>0</v>
      </c>
      <c r="AA37" s="153">
        <f t="shared" si="7"/>
        <v>0</v>
      </c>
      <c r="AB37" s="153">
        <f t="shared" si="8"/>
        <v>0</v>
      </c>
      <c r="AC37" s="153">
        <f t="shared" si="9"/>
        <v>0</v>
      </c>
    </row>
    <row r="38" spans="1:29" ht="30" x14ac:dyDescent="0.25">
      <c r="A38" s="58">
        <v>25</v>
      </c>
      <c r="B38" s="57" t="s">
        <v>1224</v>
      </c>
      <c r="C38" s="150" t="s">
        <v>693</v>
      </c>
      <c r="D38" s="57" t="s">
        <v>74</v>
      </c>
      <c r="E38" s="160">
        <f>IFERROR(VLOOKUP(A38,Estimate!A:Q,17,FALSE)," ")</f>
        <v>211113.97960000002</v>
      </c>
      <c r="F38" s="164">
        <v>2032</v>
      </c>
      <c r="H38" s="164">
        <v>131.69999999999999</v>
      </c>
      <c r="I38" s="164">
        <v>267614.40000000002</v>
      </c>
      <c r="J38" s="164"/>
      <c r="L38" s="195" t="str">
        <f t="shared" si="10"/>
        <v xml:space="preserve"> </v>
      </c>
      <c r="N38" s="195" t="str">
        <f t="shared" si="10"/>
        <v xml:space="preserve"> </v>
      </c>
      <c r="P38" s="195" t="str">
        <f t="shared" si="11"/>
        <v xml:space="preserve"> </v>
      </c>
      <c r="R38" s="195" t="str">
        <f t="shared" si="11"/>
        <v xml:space="preserve"> </v>
      </c>
      <c r="T38" s="195" t="str">
        <f t="shared" si="2"/>
        <v xml:space="preserve"> </v>
      </c>
      <c r="V38" s="195" t="str">
        <f t="shared" si="3"/>
        <v xml:space="preserve"> </v>
      </c>
      <c r="W38" s="153"/>
      <c r="X38" s="153">
        <f t="shared" si="4"/>
        <v>0</v>
      </c>
      <c r="Y38" s="153">
        <f t="shared" si="5"/>
        <v>0</v>
      </c>
      <c r="Z38" s="153">
        <f t="shared" si="6"/>
        <v>0</v>
      </c>
      <c r="AA38" s="153">
        <f t="shared" si="7"/>
        <v>0</v>
      </c>
      <c r="AB38" s="153">
        <f t="shared" si="8"/>
        <v>0</v>
      </c>
      <c r="AC38" s="153">
        <f t="shared" si="9"/>
        <v>0</v>
      </c>
    </row>
    <row r="39" spans="1:29" ht="45" x14ac:dyDescent="0.25">
      <c r="A39" s="58">
        <v>26</v>
      </c>
      <c r="B39" s="57" t="s">
        <v>1225</v>
      </c>
      <c r="C39" s="150" t="s">
        <v>694</v>
      </c>
      <c r="D39" s="57" t="s">
        <v>74</v>
      </c>
      <c r="E39" s="160">
        <f>IFERROR(VLOOKUP(A39,Estimate!A:Q,17,FALSE)," ")</f>
        <v>48873.213787500012</v>
      </c>
      <c r="F39" s="164">
        <v>423</v>
      </c>
      <c r="H39" s="164">
        <v>115.54</v>
      </c>
      <c r="I39" s="164">
        <v>48873.42</v>
      </c>
      <c r="J39" s="164"/>
      <c r="L39" s="195" t="str">
        <f t="shared" ref="L39:N54" si="12">IFERROR(K39/$G39," ")</f>
        <v xml:space="preserve"> </v>
      </c>
      <c r="N39" s="195" t="str">
        <f t="shared" si="12"/>
        <v xml:space="preserve"> </v>
      </c>
      <c r="P39" s="195" t="str">
        <f t="shared" ref="P39:R54" si="13">IFERROR(O39/$G39," ")</f>
        <v xml:space="preserve"> </v>
      </c>
      <c r="R39" s="195" t="str">
        <f t="shared" si="13"/>
        <v xml:space="preserve"> </v>
      </c>
      <c r="T39" s="195" t="str">
        <f t="shared" si="2"/>
        <v xml:space="preserve"> </v>
      </c>
      <c r="V39" s="195" t="str">
        <f t="shared" si="3"/>
        <v xml:space="preserve"> </v>
      </c>
      <c r="W39" s="153"/>
      <c r="X39" s="153">
        <f t="shared" si="4"/>
        <v>0</v>
      </c>
      <c r="Y39" s="153">
        <f t="shared" si="5"/>
        <v>0</v>
      </c>
      <c r="Z39" s="153">
        <f t="shared" si="6"/>
        <v>0</v>
      </c>
      <c r="AA39" s="153">
        <f t="shared" si="7"/>
        <v>0</v>
      </c>
      <c r="AB39" s="153">
        <f t="shared" si="8"/>
        <v>0</v>
      </c>
      <c r="AC39" s="153">
        <f t="shared" si="9"/>
        <v>0</v>
      </c>
    </row>
    <row r="40" spans="1:29" x14ac:dyDescent="0.25">
      <c r="B40" s="57" t="s">
        <v>704</v>
      </c>
      <c r="C40" s="150" t="s">
        <v>682</v>
      </c>
      <c r="D40" s="57" t="s">
        <v>748</v>
      </c>
      <c r="E40" s="160" t="str">
        <f>IFERROR(VLOOKUP(A40,Estimate!A:Q,17,FALSE)," ")</f>
        <v xml:space="preserve"> </v>
      </c>
      <c r="F40" s="164" t="s">
        <v>682</v>
      </c>
      <c r="G40" s="164" t="s">
        <v>682</v>
      </c>
      <c r="H40" s="164" t="s">
        <v>682</v>
      </c>
      <c r="I40" s="164" t="s">
        <v>682</v>
      </c>
      <c r="J40" s="164" t="s">
        <v>682</v>
      </c>
      <c r="K40" s="160" t="s">
        <v>682</v>
      </c>
      <c r="L40" s="195" t="str">
        <f t="shared" si="12"/>
        <v xml:space="preserve"> </v>
      </c>
      <c r="M40" s="160" t="s">
        <v>682</v>
      </c>
      <c r="N40" s="195" t="str">
        <f t="shared" si="12"/>
        <v xml:space="preserve"> </v>
      </c>
      <c r="O40" s="160" t="s">
        <v>682</v>
      </c>
      <c r="P40" s="195" t="str">
        <f t="shared" si="13"/>
        <v xml:space="preserve"> </v>
      </c>
      <c r="Q40" s="160" t="s">
        <v>682</v>
      </c>
      <c r="R40" s="195" t="str">
        <f t="shared" si="13"/>
        <v xml:space="preserve"> </v>
      </c>
      <c r="S40" s="160" t="s">
        <v>682</v>
      </c>
      <c r="T40" s="195" t="str">
        <f t="shared" si="2"/>
        <v xml:space="preserve"> </v>
      </c>
      <c r="U40" s="160" t="s">
        <v>682</v>
      </c>
      <c r="V40" s="195" t="str">
        <f t="shared" si="3"/>
        <v xml:space="preserve"> </v>
      </c>
      <c r="W40" s="153"/>
      <c r="X40" s="153" t="str">
        <f t="shared" si="4"/>
        <v xml:space="preserve"> </v>
      </c>
      <c r="Y40" s="153" t="str">
        <f t="shared" si="5"/>
        <v xml:space="preserve"> </v>
      </c>
      <c r="Z40" s="153" t="str">
        <f t="shared" si="6"/>
        <v xml:space="preserve"> </v>
      </c>
      <c r="AA40" s="153" t="str">
        <f t="shared" si="7"/>
        <v xml:space="preserve"> </v>
      </c>
      <c r="AB40" s="153" t="str">
        <f t="shared" si="8"/>
        <v xml:space="preserve"> </v>
      </c>
      <c r="AC40" s="153" t="str">
        <f t="shared" si="9"/>
        <v xml:space="preserve"> </v>
      </c>
    </row>
    <row r="41" spans="1:29" ht="45" x14ac:dyDescent="0.25">
      <c r="B41" s="57">
        <v>7</v>
      </c>
      <c r="C41" s="150" t="s">
        <v>106</v>
      </c>
      <c r="D41" s="57" t="s">
        <v>748</v>
      </c>
      <c r="E41" s="160" t="str">
        <f>IFERROR(VLOOKUP(A41,Estimate!A:Q,17,FALSE)," ")</f>
        <v xml:space="preserve"> </v>
      </c>
      <c r="F41" s="164" t="s">
        <v>682</v>
      </c>
      <c r="G41" s="164" t="s">
        <v>682</v>
      </c>
      <c r="H41" s="164" t="s">
        <v>682</v>
      </c>
      <c r="I41" s="164" t="s">
        <v>682</v>
      </c>
      <c r="J41" s="164" t="s">
        <v>682</v>
      </c>
      <c r="K41" s="160" t="s">
        <v>682</v>
      </c>
      <c r="L41" s="195" t="str">
        <f t="shared" si="12"/>
        <v xml:space="preserve"> </v>
      </c>
      <c r="M41" s="160" t="s">
        <v>682</v>
      </c>
      <c r="N41" s="195" t="str">
        <f t="shared" si="12"/>
        <v xml:space="preserve"> </v>
      </c>
      <c r="O41" s="160" t="s">
        <v>682</v>
      </c>
      <c r="P41" s="195" t="str">
        <f t="shared" si="13"/>
        <v xml:space="preserve"> </v>
      </c>
      <c r="Q41" s="160" t="s">
        <v>682</v>
      </c>
      <c r="R41" s="195" t="str">
        <f t="shared" si="13"/>
        <v xml:space="preserve"> </v>
      </c>
      <c r="S41" s="160" t="s">
        <v>682</v>
      </c>
      <c r="T41" s="195" t="str">
        <f t="shared" si="2"/>
        <v xml:space="preserve"> </v>
      </c>
      <c r="U41" s="160" t="s">
        <v>682</v>
      </c>
      <c r="V41" s="195" t="str">
        <f t="shared" si="3"/>
        <v xml:space="preserve"> </v>
      </c>
      <c r="W41" s="153"/>
      <c r="X41" s="153" t="str">
        <f t="shared" si="4"/>
        <v xml:space="preserve"> </v>
      </c>
      <c r="Y41" s="153" t="str">
        <f t="shared" si="5"/>
        <v xml:space="preserve"> </v>
      </c>
      <c r="Z41" s="153" t="str">
        <f t="shared" si="6"/>
        <v xml:space="preserve"> </v>
      </c>
      <c r="AA41" s="153" t="str">
        <f t="shared" si="7"/>
        <v xml:space="preserve"> </v>
      </c>
      <c r="AB41" s="153" t="str">
        <f t="shared" si="8"/>
        <v xml:space="preserve"> </v>
      </c>
      <c r="AC41" s="153" t="str">
        <f t="shared" si="9"/>
        <v xml:space="preserve"> </v>
      </c>
    </row>
    <row r="42" spans="1:29" ht="30" x14ac:dyDescent="0.25">
      <c r="A42" s="58">
        <v>27</v>
      </c>
      <c r="B42" s="57" t="s">
        <v>1214</v>
      </c>
      <c r="C42" s="150" t="s">
        <v>1233</v>
      </c>
      <c r="D42" s="57" t="s">
        <v>88</v>
      </c>
      <c r="E42" s="160">
        <f>IFERROR(VLOOKUP(A42,Estimate!A:Q,17,FALSE)," ")</f>
        <v>754.6</v>
      </c>
      <c r="F42" s="164">
        <v>140</v>
      </c>
      <c r="G42" s="164">
        <v>140</v>
      </c>
      <c r="H42" s="164">
        <v>5.52</v>
      </c>
      <c r="I42" s="164">
        <v>772.8</v>
      </c>
      <c r="J42" s="164">
        <v>772.8</v>
      </c>
      <c r="L42" s="195">
        <f t="shared" si="12"/>
        <v>0</v>
      </c>
      <c r="N42" s="195">
        <f t="shared" si="12"/>
        <v>0</v>
      </c>
      <c r="O42" s="160">
        <v>140</v>
      </c>
      <c r="P42" s="195">
        <f t="shared" si="13"/>
        <v>1</v>
      </c>
      <c r="Q42" s="160">
        <v>140</v>
      </c>
      <c r="R42" s="195">
        <f t="shared" si="13"/>
        <v>1</v>
      </c>
      <c r="S42" s="160">
        <v>140</v>
      </c>
      <c r="T42" s="195">
        <f t="shared" si="2"/>
        <v>1</v>
      </c>
      <c r="U42" s="160">
        <v>140</v>
      </c>
      <c r="V42" s="195">
        <f t="shared" si="3"/>
        <v>1</v>
      </c>
      <c r="W42" s="153"/>
      <c r="X42" s="153">
        <f t="shared" si="4"/>
        <v>0</v>
      </c>
      <c r="Y42" s="153">
        <f t="shared" si="5"/>
        <v>0</v>
      </c>
      <c r="Z42" s="153">
        <f t="shared" si="6"/>
        <v>772.8</v>
      </c>
      <c r="AA42" s="153">
        <f t="shared" si="7"/>
        <v>772.8</v>
      </c>
      <c r="AB42" s="153">
        <f t="shared" si="8"/>
        <v>772.8</v>
      </c>
      <c r="AC42" s="153">
        <f t="shared" si="9"/>
        <v>772.8</v>
      </c>
    </row>
    <row r="43" spans="1:29" ht="30" x14ac:dyDescent="0.25">
      <c r="A43" s="58">
        <v>28</v>
      </c>
      <c r="B43" s="57" t="s">
        <v>1216</v>
      </c>
      <c r="C43" s="150" t="s">
        <v>1234</v>
      </c>
      <c r="D43" s="57" t="s">
        <v>88</v>
      </c>
      <c r="E43" s="160">
        <f>IFERROR(VLOOKUP(A43,Estimate!A:Q,17,FALSE)," ")</f>
        <v>1999.6900000000003</v>
      </c>
      <c r="F43" s="164">
        <v>371</v>
      </c>
      <c r="G43" s="164">
        <v>371</v>
      </c>
      <c r="H43" s="164">
        <v>5.52</v>
      </c>
      <c r="I43" s="164">
        <v>2047.92</v>
      </c>
      <c r="J43" s="164">
        <v>2047.92</v>
      </c>
      <c r="L43" s="195">
        <f t="shared" si="12"/>
        <v>0</v>
      </c>
      <c r="N43" s="195">
        <f t="shared" si="12"/>
        <v>0</v>
      </c>
      <c r="O43" s="160">
        <v>371</v>
      </c>
      <c r="P43" s="195">
        <f t="shared" si="13"/>
        <v>1</v>
      </c>
      <c r="Q43" s="160">
        <v>371</v>
      </c>
      <c r="R43" s="195">
        <f t="shared" si="13"/>
        <v>1</v>
      </c>
      <c r="S43" s="160">
        <v>371</v>
      </c>
      <c r="T43" s="195">
        <f t="shared" si="2"/>
        <v>1</v>
      </c>
      <c r="U43" s="160">
        <v>371</v>
      </c>
      <c r="V43" s="195">
        <f t="shared" si="3"/>
        <v>1</v>
      </c>
      <c r="W43" s="153"/>
      <c r="X43" s="153">
        <f t="shared" si="4"/>
        <v>0</v>
      </c>
      <c r="Y43" s="153">
        <f t="shared" si="5"/>
        <v>0</v>
      </c>
      <c r="Z43" s="153">
        <f t="shared" si="6"/>
        <v>2047.9199999999998</v>
      </c>
      <c r="AA43" s="153">
        <f t="shared" si="7"/>
        <v>2047.9199999999998</v>
      </c>
      <c r="AB43" s="153">
        <f t="shared" si="8"/>
        <v>2047.9199999999998</v>
      </c>
      <c r="AC43" s="153">
        <f t="shared" si="9"/>
        <v>2047.9199999999998</v>
      </c>
    </row>
    <row r="44" spans="1:29" ht="30" x14ac:dyDescent="0.25">
      <c r="A44" s="58">
        <v>29</v>
      </c>
      <c r="B44" s="57" t="s">
        <v>1231</v>
      </c>
      <c r="C44" s="150" t="s">
        <v>112</v>
      </c>
      <c r="D44" s="57" t="s">
        <v>88</v>
      </c>
      <c r="E44" s="160">
        <f>IFERROR(VLOOKUP(A44,Estimate!A:Q,17,FALSE)," ")</f>
        <v>199.43000000000004</v>
      </c>
      <c r="F44" s="164">
        <v>37</v>
      </c>
      <c r="G44" s="164">
        <v>37</v>
      </c>
      <c r="H44" s="164">
        <v>5.52</v>
      </c>
      <c r="I44" s="164">
        <v>204.24</v>
      </c>
      <c r="J44" s="164">
        <v>204.24</v>
      </c>
      <c r="L44" s="195">
        <f t="shared" si="12"/>
        <v>0</v>
      </c>
      <c r="N44" s="195">
        <f t="shared" si="12"/>
        <v>0</v>
      </c>
      <c r="O44" s="160">
        <v>37</v>
      </c>
      <c r="P44" s="195">
        <f t="shared" si="13"/>
        <v>1</v>
      </c>
      <c r="Q44" s="160">
        <v>37</v>
      </c>
      <c r="R44" s="195">
        <f t="shared" si="13"/>
        <v>1</v>
      </c>
      <c r="S44" s="160">
        <v>37</v>
      </c>
      <c r="T44" s="195">
        <f t="shared" si="2"/>
        <v>1</v>
      </c>
      <c r="U44" s="160">
        <v>37</v>
      </c>
      <c r="V44" s="195">
        <f t="shared" si="3"/>
        <v>1</v>
      </c>
      <c r="W44" s="153"/>
      <c r="X44" s="153">
        <f t="shared" si="4"/>
        <v>0</v>
      </c>
      <c r="Y44" s="153">
        <f t="shared" si="5"/>
        <v>0</v>
      </c>
      <c r="Z44" s="153">
        <f t="shared" si="6"/>
        <v>204.23999999999998</v>
      </c>
      <c r="AA44" s="153">
        <f t="shared" si="7"/>
        <v>204.23999999999998</v>
      </c>
      <c r="AB44" s="153">
        <f t="shared" si="8"/>
        <v>204.23999999999998</v>
      </c>
      <c r="AC44" s="153">
        <f t="shared" si="9"/>
        <v>204.23999999999998</v>
      </c>
    </row>
    <row r="45" spans="1:29" x14ac:dyDescent="0.25">
      <c r="B45" s="57" t="s">
        <v>704</v>
      </c>
      <c r="C45" s="150" t="s">
        <v>682</v>
      </c>
      <c r="D45" s="57" t="s">
        <v>748</v>
      </c>
      <c r="E45" s="160" t="str">
        <f>IFERROR(VLOOKUP(A45,Estimate!A:Q,17,FALSE)," ")</f>
        <v xml:space="preserve"> </v>
      </c>
      <c r="F45" s="164" t="s">
        <v>682</v>
      </c>
      <c r="G45" s="164" t="s">
        <v>682</v>
      </c>
      <c r="H45" s="164" t="s">
        <v>682</v>
      </c>
      <c r="I45" s="164" t="s">
        <v>682</v>
      </c>
      <c r="J45" s="164" t="s">
        <v>682</v>
      </c>
      <c r="K45" s="160" t="s">
        <v>682</v>
      </c>
      <c r="L45" s="195" t="str">
        <f t="shared" si="12"/>
        <v xml:space="preserve"> </v>
      </c>
      <c r="M45" s="160" t="s">
        <v>682</v>
      </c>
      <c r="N45" s="195" t="str">
        <f t="shared" si="12"/>
        <v xml:space="preserve"> </v>
      </c>
      <c r="O45" s="160" t="s">
        <v>682</v>
      </c>
      <c r="P45" s="195" t="str">
        <f t="shared" si="13"/>
        <v xml:space="preserve"> </v>
      </c>
      <c r="Q45" s="160" t="s">
        <v>682</v>
      </c>
      <c r="R45" s="195" t="str">
        <f t="shared" si="13"/>
        <v xml:space="preserve"> </v>
      </c>
      <c r="S45" s="160" t="s">
        <v>682</v>
      </c>
      <c r="T45" s="195" t="str">
        <f t="shared" si="2"/>
        <v xml:space="preserve"> </v>
      </c>
      <c r="U45" s="160" t="s">
        <v>682</v>
      </c>
      <c r="V45" s="195" t="str">
        <f t="shared" si="3"/>
        <v xml:space="preserve"> </v>
      </c>
      <c r="W45" s="153"/>
      <c r="X45" s="153" t="str">
        <f t="shared" si="4"/>
        <v xml:space="preserve"> </v>
      </c>
      <c r="Y45" s="153" t="str">
        <f t="shared" si="5"/>
        <v xml:space="preserve"> </v>
      </c>
      <c r="Z45" s="153" t="str">
        <f t="shared" si="6"/>
        <v xml:space="preserve"> </v>
      </c>
      <c r="AA45" s="153" t="str">
        <f t="shared" si="7"/>
        <v xml:space="preserve"> </v>
      </c>
      <c r="AB45" s="153" t="str">
        <f t="shared" si="8"/>
        <v xml:space="preserve"> </v>
      </c>
      <c r="AC45" s="153" t="str">
        <f t="shared" si="9"/>
        <v xml:space="preserve"> </v>
      </c>
    </row>
    <row r="46" spans="1:29" ht="60" x14ac:dyDescent="0.25">
      <c r="B46" s="57">
        <v>8</v>
      </c>
      <c r="C46" s="150" t="s">
        <v>114</v>
      </c>
      <c r="D46" s="57" t="s">
        <v>748</v>
      </c>
      <c r="E46" s="160" t="str">
        <f>IFERROR(VLOOKUP(A46,Estimate!A:Q,17,FALSE)," ")</f>
        <v xml:space="preserve"> </v>
      </c>
      <c r="F46" s="164" t="s">
        <v>682</v>
      </c>
      <c r="G46" s="164" t="s">
        <v>682</v>
      </c>
      <c r="H46" s="164" t="s">
        <v>682</v>
      </c>
      <c r="I46" s="164" t="s">
        <v>682</v>
      </c>
      <c r="J46" s="164" t="s">
        <v>682</v>
      </c>
      <c r="K46" s="160" t="s">
        <v>682</v>
      </c>
      <c r="L46" s="195" t="str">
        <f t="shared" si="12"/>
        <v xml:space="preserve"> </v>
      </c>
      <c r="M46" s="160" t="s">
        <v>682</v>
      </c>
      <c r="N46" s="195" t="str">
        <f t="shared" si="12"/>
        <v xml:space="preserve"> </v>
      </c>
      <c r="O46" s="160" t="s">
        <v>682</v>
      </c>
      <c r="P46" s="195" t="str">
        <f t="shared" si="13"/>
        <v xml:space="preserve"> </v>
      </c>
      <c r="Q46" s="160" t="s">
        <v>682</v>
      </c>
      <c r="R46" s="195" t="str">
        <f t="shared" si="13"/>
        <v xml:space="preserve"> </v>
      </c>
      <c r="S46" s="160" t="s">
        <v>682</v>
      </c>
      <c r="T46" s="195" t="str">
        <f t="shared" si="2"/>
        <v xml:space="preserve"> </v>
      </c>
      <c r="U46" s="160" t="s">
        <v>682</v>
      </c>
      <c r="V46" s="195" t="str">
        <f t="shared" si="3"/>
        <v xml:space="preserve"> </v>
      </c>
      <c r="W46" s="153"/>
      <c r="X46" s="153" t="str">
        <f t="shared" si="4"/>
        <v xml:space="preserve"> </v>
      </c>
      <c r="Y46" s="153" t="str">
        <f t="shared" si="5"/>
        <v xml:space="preserve"> </v>
      </c>
      <c r="Z46" s="153" t="str">
        <f t="shared" si="6"/>
        <v xml:space="preserve"> </v>
      </c>
      <c r="AA46" s="153" t="str">
        <f t="shared" si="7"/>
        <v xml:space="preserve"> </v>
      </c>
      <c r="AB46" s="153" t="str">
        <f t="shared" si="8"/>
        <v xml:space="preserve"> </v>
      </c>
      <c r="AC46" s="153" t="str">
        <f t="shared" si="9"/>
        <v xml:space="preserve"> </v>
      </c>
    </row>
    <row r="47" spans="1:29" x14ac:dyDescent="0.25">
      <c r="A47" s="58">
        <v>30</v>
      </c>
      <c r="B47" s="57" t="s">
        <v>1214</v>
      </c>
      <c r="C47" s="150" t="s">
        <v>1235</v>
      </c>
      <c r="D47" s="57" t="s">
        <v>88</v>
      </c>
      <c r="E47" s="160">
        <f>IFERROR(VLOOKUP(A47,Estimate!A:Q,17,FALSE)," ")</f>
        <v>5198.4240000000009</v>
      </c>
      <c r="F47" s="164">
        <v>812</v>
      </c>
      <c r="G47" s="164">
        <v>812</v>
      </c>
      <c r="H47" s="164">
        <v>6.56</v>
      </c>
      <c r="I47" s="164">
        <v>5326.72</v>
      </c>
      <c r="J47" s="164">
        <v>5326.72</v>
      </c>
      <c r="L47" s="195">
        <f t="shared" si="12"/>
        <v>0</v>
      </c>
      <c r="N47" s="195">
        <f t="shared" si="12"/>
        <v>0</v>
      </c>
      <c r="O47" s="160">
        <v>812</v>
      </c>
      <c r="P47" s="195">
        <f t="shared" si="13"/>
        <v>1</v>
      </c>
      <c r="Q47" s="160">
        <v>812</v>
      </c>
      <c r="R47" s="195">
        <f t="shared" si="13"/>
        <v>1</v>
      </c>
      <c r="S47" s="160">
        <v>812</v>
      </c>
      <c r="T47" s="195">
        <f t="shared" si="2"/>
        <v>1</v>
      </c>
      <c r="U47" s="160">
        <v>812</v>
      </c>
      <c r="V47" s="195">
        <f t="shared" si="3"/>
        <v>1</v>
      </c>
      <c r="W47" s="153"/>
      <c r="X47" s="153">
        <f t="shared" si="4"/>
        <v>0</v>
      </c>
      <c r="Y47" s="153">
        <f t="shared" si="5"/>
        <v>0</v>
      </c>
      <c r="Z47" s="153">
        <f t="shared" si="6"/>
        <v>5326.7199999999993</v>
      </c>
      <c r="AA47" s="153">
        <f t="shared" si="7"/>
        <v>5326.7199999999993</v>
      </c>
      <c r="AB47" s="153">
        <f t="shared" si="8"/>
        <v>5326.7199999999993</v>
      </c>
      <c r="AC47" s="153">
        <f t="shared" si="9"/>
        <v>5326.7199999999993</v>
      </c>
    </row>
    <row r="48" spans="1:29" x14ac:dyDescent="0.25">
      <c r="A48" s="58">
        <v>31</v>
      </c>
      <c r="B48" s="57" t="s">
        <v>1216</v>
      </c>
      <c r="C48" s="150" t="s">
        <v>1236</v>
      </c>
      <c r="D48" s="57" t="s">
        <v>88</v>
      </c>
      <c r="E48" s="160">
        <f>IFERROR(VLOOKUP(A48,Estimate!A:Q,17,FALSE)," ")</f>
        <v>22720.698</v>
      </c>
      <c r="F48" s="164">
        <v>3549</v>
      </c>
      <c r="G48" s="164">
        <v>3549</v>
      </c>
      <c r="H48" s="164">
        <v>6.56</v>
      </c>
      <c r="I48" s="164">
        <v>23281.439999999999</v>
      </c>
      <c r="J48" s="164">
        <v>23281.439999999999</v>
      </c>
      <c r="L48" s="195">
        <f t="shared" si="12"/>
        <v>0</v>
      </c>
      <c r="N48" s="195">
        <f t="shared" si="12"/>
        <v>0</v>
      </c>
      <c r="O48" s="160">
        <v>3549</v>
      </c>
      <c r="P48" s="195">
        <f t="shared" si="13"/>
        <v>1</v>
      </c>
      <c r="Q48" s="160">
        <v>3549</v>
      </c>
      <c r="R48" s="195">
        <f t="shared" si="13"/>
        <v>1</v>
      </c>
      <c r="S48" s="160">
        <v>3549</v>
      </c>
      <c r="T48" s="195">
        <f t="shared" si="2"/>
        <v>1</v>
      </c>
      <c r="U48" s="160">
        <v>3549</v>
      </c>
      <c r="V48" s="195">
        <f t="shared" si="3"/>
        <v>1</v>
      </c>
      <c r="W48" s="153"/>
      <c r="X48" s="153">
        <f t="shared" si="4"/>
        <v>0</v>
      </c>
      <c r="Y48" s="153">
        <f t="shared" si="5"/>
        <v>0</v>
      </c>
      <c r="Z48" s="153">
        <f t="shared" si="6"/>
        <v>23281.439999999999</v>
      </c>
      <c r="AA48" s="153">
        <f t="shared" si="7"/>
        <v>23281.439999999999</v>
      </c>
      <c r="AB48" s="153">
        <f t="shared" si="8"/>
        <v>23281.439999999999</v>
      </c>
      <c r="AC48" s="153">
        <f t="shared" si="9"/>
        <v>23281.439999999999</v>
      </c>
    </row>
    <row r="49" spans="1:29" x14ac:dyDescent="0.25">
      <c r="B49" s="57" t="s">
        <v>704</v>
      </c>
      <c r="C49" s="150" t="s">
        <v>682</v>
      </c>
      <c r="D49" s="57" t="s">
        <v>748</v>
      </c>
      <c r="E49" s="160" t="str">
        <f>IFERROR(VLOOKUP(A49,Estimate!A:Q,17,FALSE)," ")</f>
        <v xml:space="preserve"> </v>
      </c>
      <c r="F49" s="164" t="s">
        <v>682</v>
      </c>
      <c r="G49" s="164" t="s">
        <v>682</v>
      </c>
      <c r="H49" s="164" t="s">
        <v>682</v>
      </c>
      <c r="I49" s="164" t="s">
        <v>682</v>
      </c>
      <c r="J49" s="164" t="s">
        <v>682</v>
      </c>
      <c r="K49" s="160" t="s">
        <v>682</v>
      </c>
      <c r="L49" s="195" t="str">
        <f t="shared" si="12"/>
        <v xml:space="preserve"> </v>
      </c>
      <c r="M49" s="160" t="s">
        <v>682</v>
      </c>
      <c r="N49" s="195" t="str">
        <f t="shared" si="12"/>
        <v xml:space="preserve"> </v>
      </c>
      <c r="O49" s="160" t="s">
        <v>682</v>
      </c>
      <c r="P49" s="195" t="str">
        <f t="shared" si="13"/>
        <v xml:space="preserve"> </v>
      </c>
      <c r="Q49" s="160" t="s">
        <v>682</v>
      </c>
      <c r="R49" s="195" t="str">
        <f t="shared" si="13"/>
        <v xml:space="preserve"> </v>
      </c>
      <c r="S49" s="160" t="s">
        <v>682</v>
      </c>
      <c r="T49" s="195" t="str">
        <f t="shared" si="2"/>
        <v xml:space="preserve"> </v>
      </c>
      <c r="U49" s="160" t="s">
        <v>682</v>
      </c>
      <c r="V49" s="195" t="str">
        <f t="shared" si="3"/>
        <v xml:space="preserve"> </v>
      </c>
      <c r="W49" s="153"/>
      <c r="X49" s="153" t="str">
        <f t="shared" si="4"/>
        <v xml:space="preserve"> </v>
      </c>
      <c r="Y49" s="153" t="str">
        <f t="shared" si="5"/>
        <v xml:space="preserve"> </v>
      </c>
      <c r="Z49" s="153" t="str">
        <f t="shared" si="6"/>
        <v xml:space="preserve"> </v>
      </c>
      <c r="AA49" s="153" t="str">
        <f t="shared" si="7"/>
        <v xml:space="preserve"> </v>
      </c>
      <c r="AB49" s="153" t="str">
        <f t="shared" si="8"/>
        <v xml:space="preserve"> </v>
      </c>
      <c r="AC49" s="153" t="str">
        <f t="shared" si="9"/>
        <v xml:space="preserve"> </v>
      </c>
    </row>
    <row r="50" spans="1:29" ht="60" x14ac:dyDescent="0.25">
      <c r="B50" s="57">
        <v>9</v>
      </c>
      <c r="C50" s="150" t="s">
        <v>119</v>
      </c>
      <c r="D50" s="57" t="s">
        <v>748</v>
      </c>
      <c r="E50" s="160" t="str">
        <f>IFERROR(VLOOKUP(A50,Estimate!A:Q,17,FALSE)," ")</f>
        <v xml:space="preserve"> </v>
      </c>
      <c r="F50" s="164" t="s">
        <v>682</v>
      </c>
      <c r="G50" s="164" t="s">
        <v>682</v>
      </c>
      <c r="H50" s="164" t="s">
        <v>682</v>
      </c>
      <c r="I50" s="164" t="s">
        <v>682</v>
      </c>
      <c r="J50" s="164" t="s">
        <v>682</v>
      </c>
      <c r="K50" s="160" t="s">
        <v>682</v>
      </c>
      <c r="L50" s="195" t="str">
        <f t="shared" si="12"/>
        <v xml:space="preserve"> </v>
      </c>
      <c r="M50" s="160" t="s">
        <v>682</v>
      </c>
      <c r="N50" s="195" t="str">
        <f t="shared" si="12"/>
        <v xml:space="preserve"> </v>
      </c>
      <c r="O50" s="160" t="s">
        <v>682</v>
      </c>
      <c r="P50" s="195" t="str">
        <f t="shared" si="13"/>
        <v xml:space="preserve"> </v>
      </c>
      <c r="Q50" s="160" t="s">
        <v>682</v>
      </c>
      <c r="R50" s="195" t="str">
        <f t="shared" si="13"/>
        <v xml:space="preserve"> </v>
      </c>
      <c r="S50" s="160" t="s">
        <v>682</v>
      </c>
      <c r="T50" s="195" t="str">
        <f t="shared" si="2"/>
        <v xml:space="preserve"> </v>
      </c>
      <c r="U50" s="160" t="s">
        <v>682</v>
      </c>
      <c r="V50" s="195" t="str">
        <f t="shared" si="3"/>
        <v xml:space="preserve"> </v>
      </c>
      <c r="W50" s="153"/>
      <c r="X50" s="153" t="str">
        <f t="shared" si="4"/>
        <v xml:space="preserve"> </v>
      </c>
      <c r="Y50" s="153" t="str">
        <f t="shared" si="5"/>
        <v xml:space="preserve"> </v>
      </c>
      <c r="Z50" s="153" t="str">
        <f t="shared" si="6"/>
        <v xml:space="preserve"> </v>
      </c>
      <c r="AA50" s="153" t="str">
        <f t="shared" si="7"/>
        <v xml:space="preserve"> </v>
      </c>
      <c r="AB50" s="153" t="str">
        <f t="shared" si="8"/>
        <v xml:space="preserve"> </v>
      </c>
      <c r="AC50" s="153" t="str">
        <f t="shared" si="9"/>
        <v xml:space="preserve"> </v>
      </c>
    </row>
    <row r="51" spans="1:29" x14ac:dyDescent="0.25">
      <c r="A51" s="58">
        <v>32</v>
      </c>
      <c r="B51" s="57" t="s">
        <v>1214</v>
      </c>
      <c r="C51" s="150" t="s">
        <v>1235</v>
      </c>
      <c r="D51" s="57" t="s">
        <v>88</v>
      </c>
      <c r="E51" s="160">
        <f>IFERROR(VLOOKUP(A51,Estimate!A:Q,17,FALSE)," ")</f>
        <v>13676.124</v>
      </c>
      <c r="F51" s="164">
        <v>3444</v>
      </c>
      <c r="G51" s="164">
        <v>3444</v>
      </c>
      <c r="H51" s="164">
        <v>4.07</v>
      </c>
      <c r="I51" s="164">
        <v>14017.08</v>
      </c>
      <c r="J51" s="164">
        <v>14017.08</v>
      </c>
      <c r="L51" s="195">
        <f t="shared" si="12"/>
        <v>0</v>
      </c>
      <c r="N51" s="195">
        <f t="shared" si="12"/>
        <v>0</v>
      </c>
      <c r="O51" s="160">
        <v>3444</v>
      </c>
      <c r="P51" s="195">
        <f t="shared" si="13"/>
        <v>1</v>
      </c>
      <c r="Q51" s="160">
        <v>3444</v>
      </c>
      <c r="R51" s="195">
        <f t="shared" si="13"/>
        <v>1</v>
      </c>
      <c r="S51" s="160">
        <v>3444</v>
      </c>
      <c r="T51" s="195">
        <f t="shared" si="2"/>
        <v>1</v>
      </c>
      <c r="U51" s="160">
        <v>3444</v>
      </c>
      <c r="V51" s="195">
        <f t="shared" si="3"/>
        <v>1</v>
      </c>
      <c r="W51" s="153"/>
      <c r="X51" s="153">
        <f t="shared" si="4"/>
        <v>0</v>
      </c>
      <c r="Y51" s="153">
        <f t="shared" si="5"/>
        <v>0</v>
      </c>
      <c r="Z51" s="153">
        <f t="shared" si="6"/>
        <v>14017.080000000002</v>
      </c>
      <c r="AA51" s="153">
        <f t="shared" si="7"/>
        <v>14017.080000000002</v>
      </c>
      <c r="AB51" s="153">
        <f t="shared" si="8"/>
        <v>14017.080000000002</v>
      </c>
      <c r="AC51" s="153">
        <f t="shared" si="9"/>
        <v>14017.080000000002</v>
      </c>
    </row>
    <row r="52" spans="1:29" x14ac:dyDescent="0.25">
      <c r="A52" s="58">
        <v>33</v>
      </c>
      <c r="B52" s="57" t="s">
        <v>1216</v>
      </c>
      <c r="C52" s="150" t="s">
        <v>1236</v>
      </c>
      <c r="D52" s="57" t="s">
        <v>88</v>
      </c>
      <c r="E52" s="160">
        <f>IFERROR(VLOOKUP(A52,Estimate!A:Q,17,FALSE)," ")</f>
        <v>59791.347000000002</v>
      </c>
      <c r="F52" s="164">
        <v>15057</v>
      </c>
      <c r="G52" s="164">
        <v>15057</v>
      </c>
      <c r="H52" s="164">
        <v>4.07</v>
      </c>
      <c r="I52" s="164">
        <v>61281.99</v>
      </c>
      <c r="J52" s="164">
        <v>61281.99</v>
      </c>
      <c r="L52" s="195">
        <f t="shared" si="12"/>
        <v>0</v>
      </c>
      <c r="N52" s="195">
        <f t="shared" si="12"/>
        <v>0</v>
      </c>
      <c r="O52" s="160">
        <v>7504</v>
      </c>
      <c r="P52" s="195">
        <f t="shared" si="13"/>
        <v>0.49837284983728497</v>
      </c>
      <c r="Q52" s="160">
        <v>7504</v>
      </c>
      <c r="R52" s="195">
        <f t="shared" si="13"/>
        <v>0.49837284983728497</v>
      </c>
      <c r="S52" s="160">
        <v>12977</v>
      </c>
      <c r="T52" s="195">
        <f t="shared" si="2"/>
        <v>0.86185827190011288</v>
      </c>
      <c r="U52" s="160">
        <v>12977</v>
      </c>
      <c r="V52" s="195">
        <f t="shared" si="3"/>
        <v>0.86185827190011288</v>
      </c>
      <c r="W52" s="153"/>
      <c r="X52" s="153">
        <f t="shared" si="4"/>
        <v>0</v>
      </c>
      <c r="Y52" s="153">
        <f t="shared" si="5"/>
        <v>0</v>
      </c>
      <c r="Z52" s="153">
        <f t="shared" si="6"/>
        <v>30541.280000000002</v>
      </c>
      <c r="AA52" s="153">
        <f t="shared" si="7"/>
        <v>30541.280000000002</v>
      </c>
      <c r="AB52" s="153">
        <f t="shared" si="8"/>
        <v>52816.390000000007</v>
      </c>
      <c r="AC52" s="153">
        <f t="shared" si="9"/>
        <v>52816.390000000007</v>
      </c>
    </row>
    <row r="53" spans="1:29" x14ac:dyDescent="0.25">
      <c r="B53" s="57" t="s">
        <v>704</v>
      </c>
      <c r="C53" s="150" t="s">
        <v>682</v>
      </c>
      <c r="D53" s="57" t="s">
        <v>748</v>
      </c>
      <c r="E53" s="160" t="str">
        <f>IFERROR(VLOOKUP(A53,Estimate!A:Q,17,FALSE)," ")</f>
        <v xml:space="preserve"> </v>
      </c>
      <c r="F53" s="164" t="s">
        <v>682</v>
      </c>
      <c r="G53" s="164" t="s">
        <v>682</v>
      </c>
      <c r="H53" s="164" t="s">
        <v>682</v>
      </c>
      <c r="I53" s="164" t="s">
        <v>682</v>
      </c>
      <c r="J53" s="164" t="s">
        <v>682</v>
      </c>
      <c r="K53" s="160" t="s">
        <v>682</v>
      </c>
      <c r="L53" s="195" t="str">
        <f t="shared" si="12"/>
        <v xml:space="preserve"> </v>
      </c>
      <c r="M53" s="160" t="s">
        <v>682</v>
      </c>
      <c r="N53" s="195" t="str">
        <f t="shared" si="12"/>
        <v xml:space="preserve"> </v>
      </c>
      <c r="O53" s="160" t="s">
        <v>682</v>
      </c>
      <c r="P53" s="195" t="str">
        <f t="shared" si="13"/>
        <v xml:space="preserve"> </v>
      </c>
      <c r="Q53" s="160" t="s">
        <v>682</v>
      </c>
      <c r="R53" s="195" t="str">
        <f t="shared" si="13"/>
        <v xml:space="preserve"> </v>
      </c>
      <c r="S53" s="160" t="s">
        <v>682</v>
      </c>
      <c r="T53" s="195" t="str">
        <f t="shared" si="2"/>
        <v xml:space="preserve"> </v>
      </c>
      <c r="U53" s="160" t="s">
        <v>682</v>
      </c>
      <c r="V53" s="195" t="str">
        <f t="shared" si="3"/>
        <v xml:space="preserve"> </v>
      </c>
      <c r="W53" s="153"/>
      <c r="X53" s="153" t="str">
        <f t="shared" si="4"/>
        <v xml:space="preserve"> </v>
      </c>
      <c r="Y53" s="153" t="str">
        <f t="shared" si="5"/>
        <v xml:space="preserve"> </v>
      </c>
      <c r="Z53" s="153" t="str">
        <f t="shared" si="6"/>
        <v xml:space="preserve"> </v>
      </c>
      <c r="AA53" s="153" t="str">
        <f t="shared" si="7"/>
        <v xml:space="preserve"> </v>
      </c>
      <c r="AB53" s="153" t="str">
        <f t="shared" si="8"/>
        <v xml:space="preserve"> </v>
      </c>
      <c r="AC53" s="153" t="str">
        <f t="shared" si="9"/>
        <v xml:space="preserve"> </v>
      </c>
    </row>
    <row r="54" spans="1:29" ht="45" x14ac:dyDescent="0.25">
      <c r="B54" s="57">
        <v>10</v>
      </c>
      <c r="C54" s="150" t="s">
        <v>124</v>
      </c>
      <c r="D54" s="57" t="s">
        <v>748</v>
      </c>
      <c r="E54" s="160" t="str">
        <f>IFERROR(VLOOKUP(A54,Estimate!A:Q,17,FALSE)," ")</f>
        <v xml:space="preserve"> </v>
      </c>
      <c r="F54" s="164" t="s">
        <v>682</v>
      </c>
      <c r="G54" s="164" t="s">
        <v>682</v>
      </c>
      <c r="H54" s="164" t="s">
        <v>682</v>
      </c>
      <c r="I54" s="164" t="s">
        <v>682</v>
      </c>
      <c r="J54" s="164" t="s">
        <v>682</v>
      </c>
      <c r="K54" s="160" t="s">
        <v>682</v>
      </c>
      <c r="L54" s="195" t="str">
        <f t="shared" si="12"/>
        <v xml:space="preserve"> </v>
      </c>
      <c r="M54" s="160" t="s">
        <v>682</v>
      </c>
      <c r="N54" s="195" t="str">
        <f t="shared" si="12"/>
        <v xml:space="preserve"> </v>
      </c>
      <c r="O54" s="160" t="s">
        <v>682</v>
      </c>
      <c r="P54" s="195" t="str">
        <f t="shared" si="13"/>
        <v xml:space="preserve"> </v>
      </c>
      <c r="Q54" s="160" t="s">
        <v>682</v>
      </c>
      <c r="R54" s="195" t="str">
        <f t="shared" si="13"/>
        <v xml:space="preserve"> </v>
      </c>
      <c r="S54" s="160" t="s">
        <v>682</v>
      </c>
      <c r="T54" s="195" t="str">
        <f t="shared" si="2"/>
        <v xml:space="preserve"> </v>
      </c>
      <c r="U54" s="160" t="s">
        <v>682</v>
      </c>
      <c r="V54" s="195" t="str">
        <f t="shared" si="3"/>
        <v xml:space="preserve"> </v>
      </c>
      <c r="W54" s="153"/>
      <c r="X54" s="153" t="str">
        <f t="shared" si="4"/>
        <v xml:space="preserve"> </v>
      </c>
      <c r="Y54" s="153" t="str">
        <f t="shared" si="5"/>
        <v xml:space="preserve"> </v>
      </c>
      <c r="Z54" s="153" t="str">
        <f t="shared" si="6"/>
        <v xml:space="preserve"> </v>
      </c>
      <c r="AA54" s="153" t="str">
        <f t="shared" si="7"/>
        <v xml:space="preserve"> </v>
      </c>
      <c r="AB54" s="153" t="str">
        <f t="shared" si="8"/>
        <v xml:space="preserve"> </v>
      </c>
      <c r="AC54" s="153" t="str">
        <f t="shared" si="9"/>
        <v xml:space="preserve"> </v>
      </c>
    </row>
    <row r="55" spans="1:29" ht="30" x14ac:dyDescent="0.25">
      <c r="A55" s="58">
        <v>34</v>
      </c>
      <c r="B55" s="57" t="s">
        <v>1214</v>
      </c>
      <c r="C55" s="150" t="s">
        <v>1237</v>
      </c>
      <c r="D55" s="57" t="s">
        <v>88</v>
      </c>
      <c r="E55" s="160">
        <f>IFERROR(VLOOKUP(A55,Estimate!A:Q,17,FALSE)," ")</f>
        <v>34546.837500000001</v>
      </c>
      <c r="F55" s="164">
        <v>1260</v>
      </c>
      <c r="G55" s="164">
        <v>1260</v>
      </c>
      <c r="H55" s="164">
        <v>28.1</v>
      </c>
      <c r="I55" s="164">
        <v>35406</v>
      </c>
      <c r="J55" s="164">
        <v>35406</v>
      </c>
      <c r="L55" s="195">
        <f t="shared" ref="L55:N70" si="14">IFERROR(K55/$G55," ")</f>
        <v>0</v>
      </c>
      <c r="N55" s="195">
        <f t="shared" si="14"/>
        <v>0</v>
      </c>
      <c r="P55" s="195">
        <f t="shared" ref="P55:R70" si="15">IFERROR(O55/$G55," ")</f>
        <v>0</v>
      </c>
      <c r="R55" s="195">
        <f t="shared" si="15"/>
        <v>0</v>
      </c>
      <c r="S55" s="160">
        <v>1260</v>
      </c>
      <c r="T55" s="195">
        <f t="shared" si="2"/>
        <v>1</v>
      </c>
      <c r="U55" s="160">
        <v>1260</v>
      </c>
      <c r="V55" s="195">
        <f t="shared" si="3"/>
        <v>1</v>
      </c>
      <c r="W55" s="153"/>
      <c r="X55" s="153">
        <f t="shared" si="4"/>
        <v>0</v>
      </c>
      <c r="Y55" s="153">
        <f t="shared" si="5"/>
        <v>0</v>
      </c>
      <c r="Z55" s="153">
        <f t="shared" si="6"/>
        <v>0</v>
      </c>
      <c r="AA55" s="153">
        <f t="shared" si="7"/>
        <v>0</v>
      </c>
      <c r="AB55" s="153">
        <f t="shared" si="8"/>
        <v>35406</v>
      </c>
      <c r="AC55" s="153">
        <f t="shared" si="9"/>
        <v>35406</v>
      </c>
    </row>
    <row r="56" spans="1:29" x14ac:dyDescent="0.25">
      <c r="B56" s="57" t="s">
        <v>704</v>
      </c>
      <c r="C56" s="150" t="s">
        <v>682</v>
      </c>
      <c r="D56" s="57" t="s">
        <v>748</v>
      </c>
      <c r="E56" s="160" t="str">
        <f>IFERROR(VLOOKUP(A56,Estimate!A:Q,17,FALSE)," ")</f>
        <v xml:space="preserve"> </v>
      </c>
      <c r="F56" s="164" t="s">
        <v>682</v>
      </c>
      <c r="G56" s="164" t="s">
        <v>682</v>
      </c>
      <c r="H56" s="164" t="s">
        <v>682</v>
      </c>
      <c r="I56" s="164" t="s">
        <v>682</v>
      </c>
      <c r="J56" s="164" t="s">
        <v>682</v>
      </c>
      <c r="K56" s="160" t="s">
        <v>682</v>
      </c>
      <c r="L56" s="195" t="str">
        <f t="shared" si="14"/>
        <v xml:space="preserve"> </v>
      </c>
      <c r="M56" s="160" t="s">
        <v>682</v>
      </c>
      <c r="N56" s="195" t="str">
        <f t="shared" si="14"/>
        <v xml:space="preserve"> </v>
      </c>
      <c r="O56" s="160" t="s">
        <v>682</v>
      </c>
      <c r="P56" s="195" t="str">
        <f t="shared" si="15"/>
        <v xml:space="preserve"> </v>
      </c>
      <c r="Q56" s="160" t="s">
        <v>682</v>
      </c>
      <c r="R56" s="195" t="str">
        <f t="shared" si="15"/>
        <v xml:space="preserve"> </v>
      </c>
      <c r="S56" s="160" t="s">
        <v>682</v>
      </c>
      <c r="T56" s="195" t="str">
        <f t="shared" si="2"/>
        <v xml:space="preserve"> </v>
      </c>
      <c r="U56" s="160" t="s">
        <v>682</v>
      </c>
      <c r="V56" s="195" t="str">
        <f t="shared" si="3"/>
        <v xml:space="preserve"> </v>
      </c>
      <c r="W56" s="153"/>
      <c r="X56" s="153" t="str">
        <f t="shared" si="4"/>
        <v xml:space="preserve"> </v>
      </c>
      <c r="Y56" s="153" t="str">
        <f t="shared" si="5"/>
        <v xml:space="preserve"> </v>
      </c>
      <c r="Z56" s="153" t="str">
        <f t="shared" si="6"/>
        <v xml:space="preserve"> </v>
      </c>
      <c r="AA56" s="153" t="str">
        <f t="shared" si="7"/>
        <v xml:space="preserve"> </v>
      </c>
      <c r="AB56" s="153" t="str">
        <f t="shared" si="8"/>
        <v xml:space="preserve"> </v>
      </c>
      <c r="AC56" s="153" t="str">
        <f t="shared" si="9"/>
        <v xml:space="preserve"> </v>
      </c>
    </row>
    <row r="57" spans="1:29" ht="30" x14ac:dyDescent="0.25">
      <c r="B57" s="57">
        <v>11</v>
      </c>
      <c r="C57" s="150" t="s">
        <v>129</v>
      </c>
      <c r="D57" s="57" t="s">
        <v>748</v>
      </c>
      <c r="E57" s="160" t="str">
        <f>IFERROR(VLOOKUP(A57,Estimate!A:Q,17,FALSE)," ")</f>
        <v xml:space="preserve"> </v>
      </c>
      <c r="F57" s="164" t="s">
        <v>682</v>
      </c>
      <c r="G57" s="164" t="s">
        <v>682</v>
      </c>
      <c r="H57" s="164" t="s">
        <v>682</v>
      </c>
      <c r="I57" s="164" t="s">
        <v>682</v>
      </c>
      <c r="J57" s="164" t="s">
        <v>682</v>
      </c>
      <c r="K57" s="160" t="s">
        <v>682</v>
      </c>
      <c r="L57" s="195" t="str">
        <f t="shared" si="14"/>
        <v xml:space="preserve"> </v>
      </c>
      <c r="M57" s="160" t="s">
        <v>682</v>
      </c>
      <c r="N57" s="195" t="str">
        <f t="shared" si="14"/>
        <v xml:space="preserve"> </v>
      </c>
      <c r="O57" s="160" t="s">
        <v>682</v>
      </c>
      <c r="P57" s="195" t="str">
        <f t="shared" si="15"/>
        <v xml:space="preserve"> </v>
      </c>
      <c r="Q57" s="160" t="s">
        <v>682</v>
      </c>
      <c r="R57" s="195" t="str">
        <f t="shared" si="15"/>
        <v xml:space="preserve"> </v>
      </c>
      <c r="S57" s="160" t="s">
        <v>682</v>
      </c>
      <c r="T57" s="195" t="str">
        <f t="shared" si="2"/>
        <v xml:space="preserve"> </v>
      </c>
      <c r="U57" s="160" t="s">
        <v>682</v>
      </c>
      <c r="V57" s="195" t="str">
        <f t="shared" si="3"/>
        <v xml:space="preserve"> </v>
      </c>
      <c r="W57" s="153"/>
      <c r="X57" s="153" t="str">
        <f t="shared" si="4"/>
        <v xml:space="preserve"> </v>
      </c>
      <c r="Y57" s="153" t="str">
        <f t="shared" si="5"/>
        <v xml:space="preserve"> </v>
      </c>
      <c r="Z57" s="153" t="str">
        <f t="shared" si="6"/>
        <v xml:space="preserve"> </v>
      </c>
      <c r="AA57" s="153" t="str">
        <f t="shared" si="7"/>
        <v xml:space="preserve"> </v>
      </c>
      <c r="AB57" s="153" t="str">
        <f t="shared" si="8"/>
        <v xml:space="preserve"> </v>
      </c>
      <c r="AC57" s="153" t="str">
        <f t="shared" si="9"/>
        <v xml:space="preserve"> </v>
      </c>
    </row>
    <row r="58" spans="1:29" ht="45" x14ac:dyDescent="0.25">
      <c r="A58" s="58">
        <v>35</v>
      </c>
      <c r="B58" s="57" t="s">
        <v>1214</v>
      </c>
      <c r="C58" s="150" t="s">
        <v>1238</v>
      </c>
      <c r="D58" s="57" t="s">
        <v>18</v>
      </c>
      <c r="E58" s="160">
        <f>IFERROR(VLOOKUP(A58,Estimate!A:Q,17,FALSE)," ")</f>
        <v>723.8</v>
      </c>
      <c r="F58" s="164">
        <v>1</v>
      </c>
      <c r="G58" s="164">
        <v>1</v>
      </c>
      <c r="H58" s="164">
        <v>917.55</v>
      </c>
      <c r="I58" s="164">
        <v>917.55</v>
      </c>
      <c r="J58" s="164">
        <v>917.55</v>
      </c>
      <c r="L58" s="195">
        <f t="shared" si="14"/>
        <v>0</v>
      </c>
      <c r="N58" s="195">
        <f t="shared" si="14"/>
        <v>0</v>
      </c>
      <c r="P58" s="195">
        <f t="shared" si="15"/>
        <v>0</v>
      </c>
      <c r="Q58" s="160">
        <v>1</v>
      </c>
      <c r="R58" s="195">
        <f t="shared" si="15"/>
        <v>1</v>
      </c>
      <c r="S58" s="160">
        <v>1</v>
      </c>
      <c r="T58" s="195">
        <f t="shared" si="2"/>
        <v>1</v>
      </c>
      <c r="U58" s="160">
        <v>1</v>
      </c>
      <c r="V58" s="195">
        <f t="shared" si="3"/>
        <v>1</v>
      </c>
      <c r="W58" s="153"/>
      <c r="X58" s="153">
        <f t="shared" si="4"/>
        <v>0</v>
      </c>
      <c r="Y58" s="153">
        <f t="shared" si="5"/>
        <v>0</v>
      </c>
      <c r="Z58" s="153">
        <f t="shared" si="6"/>
        <v>0</v>
      </c>
      <c r="AA58" s="153">
        <f t="shared" si="7"/>
        <v>917.55</v>
      </c>
      <c r="AB58" s="153">
        <f t="shared" si="8"/>
        <v>917.55</v>
      </c>
      <c r="AC58" s="153">
        <f t="shared" si="9"/>
        <v>917.55</v>
      </c>
    </row>
    <row r="59" spans="1:29" x14ac:dyDescent="0.25">
      <c r="B59" s="57" t="s">
        <v>704</v>
      </c>
      <c r="C59" s="150" t="s">
        <v>682</v>
      </c>
      <c r="D59" s="57" t="s">
        <v>748</v>
      </c>
      <c r="E59" s="160" t="str">
        <f>IFERROR(VLOOKUP(A59,Estimate!A:Q,17,FALSE)," ")</f>
        <v xml:space="preserve"> </v>
      </c>
      <c r="F59" s="164" t="s">
        <v>682</v>
      </c>
      <c r="G59" s="164" t="s">
        <v>682</v>
      </c>
      <c r="H59" s="164" t="s">
        <v>682</v>
      </c>
      <c r="I59" s="164" t="s">
        <v>682</v>
      </c>
      <c r="J59" s="164" t="s">
        <v>682</v>
      </c>
      <c r="K59" s="160" t="s">
        <v>682</v>
      </c>
      <c r="L59" s="195" t="str">
        <f t="shared" si="14"/>
        <v xml:space="preserve"> </v>
      </c>
      <c r="M59" s="160" t="s">
        <v>682</v>
      </c>
      <c r="N59" s="195" t="str">
        <f t="shared" si="14"/>
        <v xml:space="preserve"> </v>
      </c>
      <c r="O59" s="160" t="s">
        <v>682</v>
      </c>
      <c r="P59" s="195" t="str">
        <f t="shared" si="15"/>
        <v xml:space="preserve"> </v>
      </c>
      <c r="Q59" s="160" t="s">
        <v>682</v>
      </c>
      <c r="R59" s="195" t="str">
        <f t="shared" si="15"/>
        <v xml:space="preserve"> </v>
      </c>
      <c r="S59" s="160" t="s">
        <v>682</v>
      </c>
      <c r="T59" s="195" t="str">
        <f t="shared" si="2"/>
        <v xml:space="preserve"> </v>
      </c>
      <c r="U59" s="160" t="s">
        <v>682</v>
      </c>
      <c r="V59" s="195" t="str">
        <f t="shared" si="3"/>
        <v xml:space="preserve"> </v>
      </c>
      <c r="W59" s="153"/>
      <c r="X59" s="153" t="str">
        <f t="shared" si="4"/>
        <v xml:space="preserve"> </v>
      </c>
      <c r="Y59" s="153" t="str">
        <f t="shared" si="5"/>
        <v xml:space="preserve"> </v>
      </c>
      <c r="Z59" s="153" t="str">
        <f t="shared" si="6"/>
        <v xml:space="preserve"> </v>
      </c>
      <c r="AA59" s="153" t="str">
        <f t="shared" si="7"/>
        <v xml:space="preserve"> </v>
      </c>
      <c r="AB59" s="153" t="str">
        <f t="shared" si="8"/>
        <v xml:space="preserve"> </v>
      </c>
      <c r="AC59" s="153" t="str">
        <f t="shared" si="9"/>
        <v xml:space="preserve"> </v>
      </c>
    </row>
    <row r="60" spans="1:29" x14ac:dyDescent="0.25">
      <c r="B60" s="57">
        <v>12</v>
      </c>
      <c r="C60" s="150" t="s">
        <v>132</v>
      </c>
      <c r="D60" s="57" t="s">
        <v>748</v>
      </c>
      <c r="E60" s="160" t="str">
        <f>IFERROR(VLOOKUP(A60,Estimate!A:Q,17,FALSE)," ")</f>
        <v xml:space="preserve"> </v>
      </c>
      <c r="F60" s="164" t="s">
        <v>682</v>
      </c>
      <c r="G60" s="164" t="s">
        <v>682</v>
      </c>
      <c r="H60" s="164" t="s">
        <v>682</v>
      </c>
      <c r="I60" s="164" t="s">
        <v>682</v>
      </c>
      <c r="J60" s="164" t="s">
        <v>682</v>
      </c>
      <c r="K60" s="160" t="s">
        <v>682</v>
      </c>
      <c r="L60" s="195" t="str">
        <f t="shared" si="14"/>
        <v xml:space="preserve"> </v>
      </c>
      <c r="M60" s="160" t="s">
        <v>682</v>
      </c>
      <c r="N60" s="195" t="str">
        <f t="shared" si="14"/>
        <v xml:space="preserve"> </v>
      </c>
      <c r="O60" s="160" t="s">
        <v>682</v>
      </c>
      <c r="P60" s="195" t="str">
        <f t="shared" si="15"/>
        <v xml:space="preserve"> </v>
      </c>
      <c r="Q60" s="160" t="s">
        <v>682</v>
      </c>
      <c r="R60" s="195" t="str">
        <f t="shared" si="15"/>
        <v xml:space="preserve"> </v>
      </c>
      <c r="S60" s="160" t="s">
        <v>682</v>
      </c>
      <c r="T60" s="195" t="str">
        <f t="shared" si="2"/>
        <v xml:space="preserve"> </v>
      </c>
      <c r="U60" s="160" t="s">
        <v>682</v>
      </c>
      <c r="V60" s="195" t="str">
        <f t="shared" si="3"/>
        <v xml:space="preserve"> </v>
      </c>
      <c r="W60" s="153"/>
      <c r="X60" s="153" t="str">
        <f t="shared" si="4"/>
        <v xml:space="preserve"> </v>
      </c>
      <c r="Y60" s="153" t="str">
        <f t="shared" si="5"/>
        <v xml:space="preserve"> </v>
      </c>
      <c r="Z60" s="153" t="str">
        <f t="shared" si="6"/>
        <v xml:space="preserve"> </v>
      </c>
      <c r="AA60" s="153" t="str">
        <f t="shared" si="7"/>
        <v xml:space="preserve"> </v>
      </c>
      <c r="AB60" s="153" t="str">
        <f t="shared" si="8"/>
        <v xml:space="preserve"> </v>
      </c>
      <c r="AC60" s="153" t="str">
        <f t="shared" si="9"/>
        <v xml:space="preserve"> </v>
      </c>
    </row>
    <row r="61" spans="1:29" ht="45" x14ac:dyDescent="0.25">
      <c r="A61" s="58">
        <v>36</v>
      </c>
      <c r="B61" s="57" t="s">
        <v>1214</v>
      </c>
      <c r="C61" s="150" t="s">
        <v>1239</v>
      </c>
      <c r="D61" s="57" t="s">
        <v>18</v>
      </c>
      <c r="E61" s="160">
        <f>IFERROR(VLOOKUP(A61,Estimate!A:Q,17,FALSE)," ")</f>
        <v>1014.8</v>
      </c>
      <c r="F61" s="164">
        <v>1</v>
      </c>
      <c r="G61" s="164">
        <v>1</v>
      </c>
      <c r="H61" s="164">
        <v>1286.44</v>
      </c>
      <c r="I61" s="164">
        <v>1286.44</v>
      </c>
      <c r="J61" s="164">
        <v>1286.44</v>
      </c>
      <c r="L61" s="195">
        <f t="shared" si="14"/>
        <v>0</v>
      </c>
      <c r="N61" s="195">
        <f t="shared" si="14"/>
        <v>0</v>
      </c>
      <c r="P61" s="195">
        <f t="shared" si="15"/>
        <v>0</v>
      </c>
      <c r="R61" s="195">
        <f t="shared" si="15"/>
        <v>0</v>
      </c>
      <c r="T61" s="195">
        <f t="shared" si="2"/>
        <v>0</v>
      </c>
      <c r="V61" s="195">
        <f t="shared" si="3"/>
        <v>0</v>
      </c>
      <c r="W61" s="153"/>
      <c r="X61" s="153">
        <f t="shared" si="4"/>
        <v>0</v>
      </c>
      <c r="Y61" s="153">
        <f t="shared" si="5"/>
        <v>0</v>
      </c>
      <c r="Z61" s="153">
        <f t="shared" si="6"/>
        <v>0</v>
      </c>
      <c r="AA61" s="153">
        <f t="shared" si="7"/>
        <v>0</v>
      </c>
      <c r="AB61" s="153">
        <f t="shared" si="8"/>
        <v>0</v>
      </c>
      <c r="AC61" s="153">
        <f t="shared" si="9"/>
        <v>0</v>
      </c>
    </row>
    <row r="62" spans="1:29" x14ac:dyDescent="0.25">
      <c r="B62" s="57" t="s">
        <v>704</v>
      </c>
      <c r="C62" s="150" t="s">
        <v>682</v>
      </c>
      <c r="D62" s="57" t="s">
        <v>748</v>
      </c>
      <c r="E62" s="160" t="str">
        <f>IFERROR(VLOOKUP(A62,Estimate!A:Q,17,FALSE)," ")</f>
        <v xml:space="preserve"> </v>
      </c>
      <c r="F62" s="164" t="s">
        <v>682</v>
      </c>
      <c r="G62" s="164" t="s">
        <v>682</v>
      </c>
      <c r="H62" s="164" t="s">
        <v>682</v>
      </c>
      <c r="I62" s="164" t="s">
        <v>682</v>
      </c>
      <c r="J62" s="164" t="s">
        <v>682</v>
      </c>
      <c r="K62" s="160" t="s">
        <v>682</v>
      </c>
      <c r="L62" s="195" t="str">
        <f t="shared" si="14"/>
        <v xml:space="preserve"> </v>
      </c>
      <c r="M62" s="160" t="s">
        <v>682</v>
      </c>
      <c r="N62" s="195" t="str">
        <f t="shared" si="14"/>
        <v xml:space="preserve"> </v>
      </c>
      <c r="O62" s="160" t="s">
        <v>682</v>
      </c>
      <c r="P62" s="195" t="str">
        <f t="shared" si="15"/>
        <v xml:space="preserve"> </v>
      </c>
      <c r="Q62" s="160" t="s">
        <v>682</v>
      </c>
      <c r="R62" s="195" t="str">
        <f t="shared" si="15"/>
        <v xml:space="preserve"> </v>
      </c>
      <c r="S62" s="160" t="s">
        <v>682</v>
      </c>
      <c r="T62" s="195" t="str">
        <f t="shared" si="2"/>
        <v xml:space="preserve"> </v>
      </c>
      <c r="U62" s="160" t="s">
        <v>682</v>
      </c>
      <c r="V62" s="195" t="str">
        <f t="shared" si="3"/>
        <v xml:space="preserve"> </v>
      </c>
      <c r="W62" s="153"/>
      <c r="X62" s="153" t="str">
        <f t="shared" si="4"/>
        <v xml:space="preserve"> </v>
      </c>
      <c r="Y62" s="153" t="str">
        <f t="shared" si="5"/>
        <v xml:space="preserve"> </v>
      </c>
      <c r="Z62" s="153" t="str">
        <f t="shared" si="6"/>
        <v xml:space="preserve"> </v>
      </c>
      <c r="AA62" s="153" t="str">
        <f t="shared" si="7"/>
        <v xml:space="preserve"> </v>
      </c>
      <c r="AB62" s="153" t="str">
        <f t="shared" si="8"/>
        <v xml:space="preserve"> </v>
      </c>
      <c r="AC62" s="153" t="str">
        <f t="shared" si="9"/>
        <v xml:space="preserve"> </v>
      </c>
    </row>
    <row r="63" spans="1:29" x14ac:dyDescent="0.25">
      <c r="B63" s="57">
        <v>13</v>
      </c>
      <c r="C63" s="150" t="s">
        <v>135</v>
      </c>
      <c r="D63" s="57" t="s">
        <v>748</v>
      </c>
      <c r="E63" s="160" t="str">
        <f>IFERROR(VLOOKUP(A63,Estimate!A:Q,17,FALSE)," ")</f>
        <v xml:space="preserve"> </v>
      </c>
      <c r="F63" s="164" t="s">
        <v>682</v>
      </c>
      <c r="G63" s="164" t="s">
        <v>682</v>
      </c>
      <c r="H63" s="164" t="s">
        <v>682</v>
      </c>
      <c r="I63" s="164" t="s">
        <v>682</v>
      </c>
      <c r="J63" s="164" t="s">
        <v>682</v>
      </c>
      <c r="K63" s="160" t="s">
        <v>682</v>
      </c>
      <c r="L63" s="195" t="str">
        <f t="shared" si="14"/>
        <v xml:space="preserve"> </v>
      </c>
      <c r="M63" s="160" t="s">
        <v>682</v>
      </c>
      <c r="N63" s="195" t="str">
        <f t="shared" si="14"/>
        <v xml:space="preserve"> </v>
      </c>
      <c r="O63" s="160" t="s">
        <v>682</v>
      </c>
      <c r="P63" s="195" t="str">
        <f t="shared" si="15"/>
        <v xml:space="preserve"> </v>
      </c>
      <c r="Q63" s="160" t="s">
        <v>682</v>
      </c>
      <c r="R63" s="195" t="str">
        <f t="shared" si="15"/>
        <v xml:space="preserve"> </v>
      </c>
      <c r="S63" s="160" t="s">
        <v>682</v>
      </c>
      <c r="T63" s="195" t="str">
        <f t="shared" si="2"/>
        <v xml:space="preserve"> </v>
      </c>
      <c r="U63" s="160" t="s">
        <v>682</v>
      </c>
      <c r="V63" s="195" t="str">
        <f t="shared" si="3"/>
        <v xml:space="preserve"> </v>
      </c>
      <c r="W63" s="153"/>
      <c r="X63" s="153" t="str">
        <f t="shared" si="4"/>
        <v xml:space="preserve"> </v>
      </c>
      <c r="Y63" s="153" t="str">
        <f t="shared" si="5"/>
        <v xml:space="preserve"> </v>
      </c>
      <c r="Z63" s="153" t="str">
        <f t="shared" si="6"/>
        <v xml:space="preserve"> </v>
      </c>
      <c r="AA63" s="153" t="str">
        <f t="shared" si="7"/>
        <v xml:space="preserve"> </v>
      </c>
      <c r="AB63" s="153" t="str">
        <f t="shared" si="8"/>
        <v xml:space="preserve"> </v>
      </c>
      <c r="AC63" s="153" t="str">
        <f t="shared" si="9"/>
        <v xml:space="preserve"> </v>
      </c>
    </row>
    <row r="64" spans="1:29" ht="45" x14ac:dyDescent="0.25">
      <c r="A64" s="58">
        <v>37</v>
      </c>
      <c r="B64" s="57" t="s">
        <v>1214</v>
      </c>
      <c r="C64" s="150" t="s">
        <v>1240</v>
      </c>
      <c r="D64" s="57" t="s">
        <v>18</v>
      </c>
      <c r="E64" s="160">
        <f>IFERROR(VLOOKUP(A64,Estimate!A:Q,17,FALSE)," ")</f>
        <v>1014.8</v>
      </c>
      <c r="F64" s="164">
        <v>1</v>
      </c>
      <c r="G64" s="164">
        <v>1</v>
      </c>
      <c r="H64" s="164">
        <v>1286.44</v>
      </c>
      <c r="I64" s="164">
        <v>1286.44</v>
      </c>
      <c r="J64" s="164">
        <v>1286.44</v>
      </c>
      <c r="L64" s="195">
        <f t="shared" si="14"/>
        <v>0</v>
      </c>
      <c r="N64" s="195">
        <f t="shared" si="14"/>
        <v>0</v>
      </c>
      <c r="P64" s="195">
        <f t="shared" si="15"/>
        <v>0</v>
      </c>
      <c r="R64" s="195">
        <f t="shared" si="15"/>
        <v>0</v>
      </c>
      <c r="T64" s="195">
        <f t="shared" si="2"/>
        <v>0</v>
      </c>
      <c r="V64" s="195">
        <f t="shared" si="3"/>
        <v>0</v>
      </c>
      <c r="W64" s="153"/>
      <c r="X64" s="153">
        <f t="shared" si="4"/>
        <v>0</v>
      </c>
      <c r="Y64" s="153">
        <f t="shared" si="5"/>
        <v>0</v>
      </c>
      <c r="Z64" s="153">
        <f t="shared" si="6"/>
        <v>0</v>
      </c>
      <c r="AA64" s="153">
        <f t="shared" si="7"/>
        <v>0</v>
      </c>
      <c r="AB64" s="153">
        <f t="shared" si="8"/>
        <v>0</v>
      </c>
      <c r="AC64" s="153">
        <f t="shared" si="9"/>
        <v>0</v>
      </c>
    </row>
    <row r="65" spans="1:29" x14ac:dyDescent="0.25">
      <c r="B65" s="57" t="s">
        <v>704</v>
      </c>
      <c r="C65" s="150" t="s">
        <v>682</v>
      </c>
      <c r="D65" s="57" t="s">
        <v>748</v>
      </c>
      <c r="E65" s="160" t="str">
        <f>IFERROR(VLOOKUP(A65,Estimate!A:Q,17,FALSE)," ")</f>
        <v xml:space="preserve"> </v>
      </c>
      <c r="F65" s="164" t="s">
        <v>682</v>
      </c>
      <c r="G65" s="164" t="s">
        <v>682</v>
      </c>
      <c r="H65" s="164" t="s">
        <v>682</v>
      </c>
      <c r="I65" s="164" t="s">
        <v>682</v>
      </c>
      <c r="J65" s="164" t="s">
        <v>682</v>
      </c>
      <c r="K65" s="160" t="s">
        <v>682</v>
      </c>
      <c r="L65" s="195" t="str">
        <f t="shared" si="14"/>
        <v xml:space="preserve"> </v>
      </c>
      <c r="M65" s="160" t="s">
        <v>682</v>
      </c>
      <c r="N65" s="195" t="str">
        <f t="shared" si="14"/>
        <v xml:space="preserve"> </v>
      </c>
      <c r="O65" s="160" t="s">
        <v>682</v>
      </c>
      <c r="P65" s="195" t="str">
        <f t="shared" si="15"/>
        <v xml:space="preserve"> </v>
      </c>
      <c r="Q65" s="160" t="s">
        <v>682</v>
      </c>
      <c r="R65" s="195" t="str">
        <f t="shared" si="15"/>
        <v xml:space="preserve"> </v>
      </c>
      <c r="S65" s="160" t="s">
        <v>682</v>
      </c>
      <c r="T65" s="195" t="str">
        <f t="shared" si="2"/>
        <v xml:space="preserve"> </v>
      </c>
      <c r="U65" s="160" t="s">
        <v>682</v>
      </c>
      <c r="V65" s="195" t="str">
        <f t="shared" si="3"/>
        <v xml:space="preserve"> </v>
      </c>
      <c r="W65" s="153"/>
      <c r="X65" s="153" t="str">
        <f t="shared" si="4"/>
        <v xml:space="preserve"> </v>
      </c>
      <c r="Y65" s="153" t="str">
        <f t="shared" si="5"/>
        <v xml:space="preserve"> </v>
      </c>
      <c r="Z65" s="153" t="str">
        <f t="shared" si="6"/>
        <v xml:space="preserve"> </v>
      </c>
      <c r="AA65" s="153" t="str">
        <f t="shared" si="7"/>
        <v xml:space="preserve"> </v>
      </c>
      <c r="AB65" s="153" t="str">
        <f t="shared" si="8"/>
        <v xml:space="preserve"> </v>
      </c>
      <c r="AC65" s="153" t="str">
        <f t="shared" si="9"/>
        <v xml:space="preserve"> </v>
      </c>
    </row>
    <row r="66" spans="1:29" x14ac:dyDescent="0.25">
      <c r="B66" s="57">
        <v>14</v>
      </c>
      <c r="C66" s="150" t="s">
        <v>138</v>
      </c>
      <c r="D66" s="57" t="s">
        <v>748</v>
      </c>
      <c r="E66" s="160" t="str">
        <f>IFERROR(VLOOKUP(A66,Estimate!A:Q,17,FALSE)," ")</f>
        <v xml:space="preserve"> </v>
      </c>
      <c r="F66" s="164" t="s">
        <v>682</v>
      </c>
      <c r="G66" s="164" t="s">
        <v>682</v>
      </c>
      <c r="H66" s="164" t="s">
        <v>682</v>
      </c>
      <c r="I66" s="164" t="s">
        <v>682</v>
      </c>
      <c r="J66" s="164" t="s">
        <v>682</v>
      </c>
      <c r="K66" s="160" t="s">
        <v>682</v>
      </c>
      <c r="L66" s="195" t="str">
        <f t="shared" si="14"/>
        <v xml:space="preserve"> </v>
      </c>
      <c r="M66" s="160" t="s">
        <v>682</v>
      </c>
      <c r="N66" s="195" t="str">
        <f t="shared" si="14"/>
        <v xml:space="preserve"> </v>
      </c>
      <c r="O66" s="160" t="s">
        <v>682</v>
      </c>
      <c r="P66" s="195" t="str">
        <f t="shared" si="15"/>
        <v xml:space="preserve"> </v>
      </c>
      <c r="Q66" s="160" t="s">
        <v>682</v>
      </c>
      <c r="R66" s="195" t="str">
        <f t="shared" si="15"/>
        <v xml:space="preserve"> </v>
      </c>
      <c r="S66" s="160" t="s">
        <v>682</v>
      </c>
      <c r="T66" s="195" t="str">
        <f t="shared" si="2"/>
        <v xml:space="preserve"> </v>
      </c>
      <c r="U66" s="160" t="s">
        <v>682</v>
      </c>
      <c r="V66" s="195" t="str">
        <f t="shared" si="3"/>
        <v xml:space="preserve"> </v>
      </c>
      <c r="W66" s="153"/>
      <c r="X66" s="153" t="str">
        <f t="shared" si="4"/>
        <v xml:space="preserve"> </v>
      </c>
      <c r="Y66" s="153" t="str">
        <f t="shared" si="5"/>
        <v xml:space="preserve"> </v>
      </c>
      <c r="Z66" s="153" t="str">
        <f t="shared" si="6"/>
        <v xml:space="preserve"> </v>
      </c>
      <c r="AA66" s="153" t="str">
        <f t="shared" si="7"/>
        <v xml:space="preserve"> </v>
      </c>
      <c r="AB66" s="153" t="str">
        <f t="shared" si="8"/>
        <v xml:space="preserve"> </v>
      </c>
      <c r="AC66" s="153" t="str">
        <f t="shared" si="9"/>
        <v xml:space="preserve"> </v>
      </c>
    </row>
    <row r="67" spans="1:29" x14ac:dyDescent="0.25">
      <c r="A67" s="58">
        <v>38</v>
      </c>
      <c r="B67" s="57" t="s">
        <v>1214</v>
      </c>
      <c r="C67" s="150" t="s">
        <v>1241</v>
      </c>
      <c r="D67" s="57" t="s">
        <v>88</v>
      </c>
      <c r="E67" s="160">
        <f>IFERROR(VLOOKUP(A67,Estimate!A:Q,17,FALSE)," ")</f>
        <v>21352.567500000001</v>
      </c>
      <c r="F67" s="164">
        <v>27830</v>
      </c>
      <c r="G67" s="164">
        <v>27830</v>
      </c>
      <c r="H67" s="164">
        <v>0.97</v>
      </c>
      <c r="I67" s="164">
        <v>26995.1</v>
      </c>
      <c r="J67" s="164">
        <v>26995.1</v>
      </c>
      <c r="L67" s="195">
        <f t="shared" si="14"/>
        <v>0</v>
      </c>
      <c r="N67" s="195">
        <f t="shared" si="14"/>
        <v>0</v>
      </c>
      <c r="P67" s="195">
        <f t="shared" si="15"/>
        <v>0</v>
      </c>
      <c r="R67" s="195">
        <f t="shared" si="15"/>
        <v>0</v>
      </c>
      <c r="S67" s="160">
        <v>27830</v>
      </c>
      <c r="T67" s="195">
        <f t="shared" si="2"/>
        <v>1</v>
      </c>
      <c r="U67" s="160">
        <v>27830</v>
      </c>
      <c r="V67" s="195">
        <f t="shared" si="3"/>
        <v>1</v>
      </c>
      <c r="W67" s="153"/>
      <c r="X67" s="153">
        <f t="shared" si="4"/>
        <v>0</v>
      </c>
      <c r="Y67" s="153">
        <f t="shared" si="5"/>
        <v>0</v>
      </c>
      <c r="Z67" s="153">
        <f t="shared" si="6"/>
        <v>0</v>
      </c>
      <c r="AA67" s="153">
        <f t="shared" si="7"/>
        <v>0</v>
      </c>
      <c r="AB67" s="153">
        <f t="shared" si="8"/>
        <v>26995.1</v>
      </c>
      <c r="AC67" s="153">
        <f t="shared" si="9"/>
        <v>26995.1</v>
      </c>
    </row>
    <row r="68" spans="1:29" ht="30" x14ac:dyDescent="0.25">
      <c r="A68" s="58">
        <v>39</v>
      </c>
      <c r="B68" s="57" t="s">
        <v>1216</v>
      </c>
      <c r="C68" s="150" t="s">
        <v>141</v>
      </c>
      <c r="D68" s="57" t="s">
        <v>88</v>
      </c>
      <c r="E68" s="160">
        <f>IFERROR(VLOOKUP(A68,Estimate!A:Q,17,FALSE)," ")</f>
        <v>27731.050000000003</v>
      </c>
      <c r="F68" s="164">
        <v>27830</v>
      </c>
      <c r="G68" s="164">
        <v>27830</v>
      </c>
      <c r="H68" s="164">
        <v>1.26</v>
      </c>
      <c r="I68" s="164">
        <v>35065.800000000003</v>
      </c>
      <c r="J68" s="164">
        <v>35065.800000000003</v>
      </c>
      <c r="L68" s="195">
        <f t="shared" si="14"/>
        <v>0</v>
      </c>
      <c r="N68" s="195">
        <f t="shared" si="14"/>
        <v>0</v>
      </c>
      <c r="P68" s="195">
        <f t="shared" si="15"/>
        <v>0</v>
      </c>
      <c r="R68" s="195">
        <f t="shared" si="15"/>
        <v>0</v>
      </c>
      <c r="T68" s="195">
        <f t="shared" si="2"/>
        <v>0</v>
      </c>
      <c r="V68" s="195">
        <f t="shared" si="3"/>
        <v>0</v>
      </c>
      <c r="W68" s="153"/>
      <c r="X68" s="153">
        <f t="shared" si="4"/>
        <v>0</v>
      </c>
      <c r="Y68" s="153">
        <f t="shared" si="5"/>
        <v>0</v>
      </c>
      <c r="Z68" s="153">
        <f t="shared" si="6"/>
        <v>0</v>
      </c>
      <c r="AA68" s="153">
        <f t="shared" si="7"/>
        <v>0</v>
      </c>
      <c r="AB68" s="153">
        <f t="shared" si="8"/>
        <v>0</v>
      </c>
      <c r="AC68" s="153">
        <f t="shared" si="9"/>
        <v>0</v>
      </c>
    </row>
    <row r="69" spans="1:29" x14ac:dyDescent="0.25">
      <c r="A69" s="58">
        <v>40</v>
      </c>
      <c r="B69" s="57" t="s">
        <v>1231</v>
      </c>
      <c r="C69" s="150" t="s">
        <v>144</v>
      </c>
      <c r="D69" s="57" t="s">
        <v>145</v>
      </c>
      <c r="E69" s="160">
        <f>IFERROR(VLOOKUP(A69,Estimate!A:Q,17,FALSE)," ")</f>
        <v>10842.666666666668</v>
      </c>
      <c r="F69" s="164">
        <v>40</v>
      </c>
      <c r="G69" s="164">
        <v>40</v>
      </c>
      <c r="H69" s="164">
        <v>343.63</v>
      </c>
      <c r="I69" s="164">
        <v>13745.2</v>
      </c>
      <c r="J69" s="164">
        <v>13745.2</v>
      </c>
      <c r="L69" s="195">
        <f t="shared" si="14"/>
        <v>0</v>
      </c>
      <c r="N69" s="195">
        <f t="shared" si="14"/>
        <v>0</v>
      </c>
      <c r="P69" s="195">
        <f t="shared" si="15"/>
        <v>0</v>
      </c>
      <c r="R69" s="195">
        <f t="shared" si="15"/>
        <v>0</v>
      </c>
      <c r="T69" s="195">
        <f t="shared" si="2"/>
        <v>0</v>
      </c>
      <c r="V69" s="195">
        <f t="shared" si="3"/>
        <v>0</v>
      </c>
      <c r="W69" s="153"/>
      <c r="X69" s="153">
        <f t="shared" si="4"/>
        <v>0</v>
      </c>
      <c r="Y69" s="153">
        <f t="shared" si="5"/>
        <v>0</v>
      </c>
      <c r="Z69" s="153">
        <f t="shared" si="6"/>
        <v>0</v>
      </c>
      <c r="AA69" s="153">
        <f t="shared" si="7"/>
        <v>0</v>
      </c>
      <c r="AB69" s="153">
        <f t="shared" si="8"/>
        <v>0</v>
      </c>
      <c r="AC69" s="153">
        <f t="shared" si="9"/>
        <v>0</v>
      </c>
    </row>
    <row r="70" spans="1:29" x14ac:dyDescent="0.25">
      <c r="B70" s="57">
        <v>15</v>
      </c>
      <c r="C70" s="150" t="s">
        <v>148</v>
      </c>
      <c r="D70" s="57" t="s">
        <v>748</v>
      </c>
      <c r="E70" s="160" t="str">
        <f>IFERROR(VLOOKUP(A70,Estimate!A:Q,17,FALSE)," ")</f>
        <v xml:space="preserve"> </v>
      </c>
      <c r="F70" s="164" t="s">
        <v>682</v>
      </c>
      <c r="G70" s="164" t="s">
        <v>682</v>
      </c>
      <c r="H70" s="164" t="s">
        <v>682</v>
      </c>
      <c r="I70" s="164" t="s">
        <v>682</v>
      </c>
      <c r="J70" s="164" t="s">
        <v>682</v>
      </c>
      <c r="K70" s="160" t="s">
        <v>682</v>
      </c>
      <c r="L70" s="195" t="str">
        <f t="shared" si="14"/>
        <v xml:space="preserve"> </v>
      </c>
      <c r="M70" s="160" t="s">
        <v>682</v>
      </c>
      <c r="N70" s="195" t="str">
        <f t="shared" si="14"/>
        <v xml:space="preserve"> </v>
      </c>
      <c r="O70" s="160" t="s">
        <v>682</v>
      </c>
      <c r="P70" s="195" t="str">
        <f t="shared" si="15"/>
        <v xml:space="preserve"> </v>
      </c>
      <c r="Q70" s="160" t="s">
        <v>682</v>
      </c>
      <c r="R70" s="195" t="str">
        <f t="shared" si="15"/>
        <v xml:space="preserve"> </v>
      </c>
      <c r="S70" s="160" t="s">
        <v>682</v>
      </c>
      <c r="T70" s="195" t="str">
        <f t="shared" si="2"/>
        <v xml:space="preserve"> </v>
      </c>
      <c r="U70" s="160" t="s">
        <v>682</v>
      </c>
      <c r="V70" s="195" t="str">
        <f t="shared" si="3"/>
        <v xml:space="preserve"> </v>
      </c>
      <c r="W70" s="153"/>
      <c r="X70" s="153" t="str">
        <f t="shared" si="4"/>
        <v xml:space="preserve"> </v>
      </c>
      <c r="Y70" s="153" t="str">
        <f t="shared" si="5"/>
        <v xml:space="preserve"> </v>
      </c>
      <c r="Z70" s="153" t="str">
        <f t="shared" si="6"/>
        <v xml:space="preserve"> </v>
      </c>
      <c r="AA70" s="153" t="str">
        <f t="shared" si="7"/>
        <v xml:space="preserve"> </v>
      </c>
      <c r="AB70" s="153" t="str">
        <f t="shared" si="8"/>
        <v xml:space="preserve"> </v>
      </c>
      <c r="AC70" s="153" t="str">
        <f t="shared" si="9"/>
        <v xml:space="preserve"> </v>
      </c>
    </row>
    <row r="71" spans="1:29" ht="45" x14ac:dyDescent="0.25">
      <c r="A71" s="58">
        <v>41</v>
      </c>
      <c r="B71" s="57" t="s">
        <v>1214</v>
      </c>
      <c r="C71" s="150" t="s">
        <v>150</v>
      </c>
      <c r="D71" s="57" t="s">
        <v>145</v>
      </c>
      <c r="E71" s="160">
        <f>IFERROR(VLOOKUP(A71,Estimate!A:Q,17,FALSE)," ")</f>
        <v>2000</v>
      </c>
      <c r="F71" s="164">
        <v>40</v>
      </c>
      <c r="G71" s="164">
        <v>40</v>
      </c>
      <c r="H71" s="164">
        <v>63.38</v>
      </c>
      <c r="I71" s="164">
        <v>2535.1999999999998</v>
      </c>
      <c r="J71" s="164">
        <v>2535.1999999999998</v>
      </c>
      <c r="L71" s="195">
        <f t="shared" ref="L71:N86" si="16">IFERROR(K71/$G71," ")</f>
        <v>0</v>
      </c>
      <c r="N71" s="195">
        <f t="shared" si="16"/>
        <v>0</v>
      </c>
      <c r="P71" s="195">
        <f t="shared" ref="P71:R86" si="17">IFERROR(O71/$G71," ")</f>
        <v>0</v>
      </c>
      <c r="Q71" s="160">
        <v>40</v>
      </c>
      <c r="R71" s="195">
        <f t="shared" si="17"/>
        <v>1</v>
      </c>
      <c r="S71" s="160">
        <v>40</v>
      </c>
      <c r="T71" s="195">
        <f t="shared" ref="T71:T134" si="18">IFERROR(S71/$G71," ")</f>
        <v>1</v>
      </c>
      <c r="U71" s="160">
        <v>40</v>
      </c>
      <c r="V71" s="195">
        <f t="shared" ref="V71:V134" si="19">IFERROR(U71/$G71," ")</f>
        <v>1</v>
      </c>
      <c r="W71" s="153"/>
      <c r="X71" s="153">
        <f t="shared" ref="X71:X134" si="20">IFERROR(K71*$H71," ")</f>
        <v>0</v>
      </c>
      <c r="Y71" s="153">
        <f t="shared" ref="Y71:Y134" si="21">IFERROR(M71*$H71," ")</f>
        <v>0</v>
      </c>
      <c r="Z71" s="153">
        <f t="shared" ref="Z71:Z134" si="22">IFERROR(O71*$H71," ")</f>
        <v>0</v>
      </c>
      <c r="AA71" s="153">
        <f t="shared" ref="AA71:AA134" si="23">IFERROR(Q71*$H71," ")</f>
        <v>2535.2000000000003</v>
      </c>
      <c r="AB71" s="153">
        <f t="shared" ref="AB71:AB134" si="24">IFERROR(S71*$H71," ")</f>
        <v>2535.2000000000003</v>
      </c>
      <c r="AC71" s="153">
        <f t="shared" ref="AC71:AC134" si="25">IFERROR(U71*$H71," ")</f>
        <v>2535.2000000000003</v>
      </c>
    </row>
    <row r="72" spans="1:29" x14ac:dyDescent="0.25">
      <c r="A72" s="58">
        <v>42</v>
      </c>
      <c r="B72" s="57" t="s">
        <v>1216</v>
      </c>
      <c r="C72" s="150" t="s">
        <v>153</v>
      </c>
      <c r="D72" s="57" t="s">
        <v>145</v>
      </c>
      <c r="E72" s="160">
        <f>IFERROR(VLOOKUP(A72,Estimate!A:Q,17,FALSE)," ")</f>
        <v>957.6</v>
      </c>
      <c r="F72" s="164">
        <v>2</v>
      </c>
      <c r="G72" s="164">
        <v>2</v>
      </c>
      <c r="H72" s="164">
        <v>606.97</v>
      </c>
      <c r="I72" s="164">
        <v>1213.94</v>
      </c>
      <c r="J72" s="164">
        <v>1213.94</v>
      </c>
      <c r="L72" s="195">
        <f t="shared" si="16"/>
        <v>0</v>
      </c>
      <c r="N72" s="195">
        <f t="shared" si="16"/>
        <v>0</v>
      </c>
      <c r="P72" s="195">
        <f t="shared" si="17"/>
        <v>0</v>
      </c>
      <c r="Q72" s="160">
        <v>2</v>
      </c>
      <c r="R72" s="195">
        <f t="shared" si="17"/>
        <v>1</v>
      </c>
      <c r="S72" s="160">
        <v>2</v>
      </c>
      <c r="T72" s="195">
        <f t="shared" si="18"/>
        <v>1</v>
      </c>
      <c r="U72" s="160">
        <v>2</v>
      </c>
      <c r="V72" s="195">
        <f t="shared" si="19"/>
        <v>1</v>
      </c>
      <c r="W72" s="153"/>
      <c r="X72" s="153">
        <f t="shared" si="20"/>
        <v>0</v>
      </c>
      <c r="Y72" s="153">
        <f t="shared" si="21"/>
        <v>0</v>
      </c>
      <c r="Z72" s="153">
        <f t="shared" si="22"/>
        <v>0</v>
      </c>
      <c r="AA72" s="153">
        <f t="shared" si="23"/>
        <v>1213.94</v>
      </c>
      <c r="AB72" s="153">
        <f t="shared" si="24"/>
        <v>1213.94</v>
      </c>
      <c r="AC72" s="153">
        <f t="shared" si="25"/>
        <v>1213.94</v>
      </c>
    </row>
    <row r="73" spans="1:29" x14ac:dyDescent="0.25">
      <c r="A73" s="58">
        <v>43</v>
      </c>
      <c r="B73" s="57" t="s">
        <v>1231</v>
      </c>
      <c r="C73" s="150" t="s">
        <v>156</v>
      </c>
      <c r="D73" s="57" t="s">
        <v>18</v>
      </c>
      <c r="E73" s="160">
        <f>IFERROR(VLOOKUP(A73,Estimate!A:Q,17,FALSE)," ")</f>
        <v>338.8</v>
      </c>
      <c r="F73" s="164">
        <v>1</v>
      </c>
      <c r="G73" s="164">
        <v>1</v>
      </c>
      <c r="H73" s="164">
        <v>429.49</v>
      </c>
      <c r="I73" s="164">
        <v>429.49</v>
      </c>
      <c r="J73" s="164">
        <v>429.49</v>
      </c>
      <c r="L73" s="195">
        <f t="shared" si="16"/>
        <v>0</v>
      </c>
      <c r="N73" s="195">
        <f t="shared" si="16"/>
        <v>0</v>
      </c>
      <c r="P73" s="195">
        <f t="shared" si="17"/>
        <v>0</v>
      </c>
      <c r="Q73" s="160">
        <v>1</v>
      </c>
      <c r="R73" s="195">
        <f t="shared" si="17"/>
        <v>1</v>
      </c>
      <c r="S73" s="160">
        <v>1</v>
      </c>
      <c r="T73" s="195">
        <f t="shared" si="18"/>
        <v>1</v>
      </c>
      <c r="U73" s="160">
        <v>1</v>
      </c>
      <c r="V73" s="195">
        <f t="shared" si="19"/>
        <v>1</v>
      </c>
      <c r="W73" s="153"/>
      <c r="X73" s="153">
        <f t="shared" si="20"/>
        <v>0</v>
      </c>
      <c r="Y73" s="153">
        <f t="shared" si="21"/>
        <v>0</v>
      </c>
      <c r="Z73" s="153">
        <f t="shared" si="22"/>
        <v>0</v>
      </c>
      <c r="AA73" s="153">
        <f t="shared" si="23"/>
        <v>429.49</v>
      </c>
      <c r="AB73" s="153">
        <f t="shared" si="24"/>
        <v>429.49</v>
      </c>
      <c r="AC73" s="153">
        <f t="shared" si="25"/>
        <v>429.49</v>
      </c>
    </row>
    <row r="74" spans="1:29" ht="60" x14ac:dyDescent="0.25">
      <c r="A74" s="58">
        <v>44</v>
      </c>
      <c r="B74" s="57" t="s">
        <v>1232</v>
      </c>
      <c r="C74" s="150" t="s">
        <v>158</v>
      </c>
      <c r="D74" s="57" t="s">
        <v>145</v>
      </c>
      <c r="E74" s="160">
        <f>IFERROR(VLOOKUP(A74,Estimate!A:Q,17,FALSE)," ")</f>
        <v>28000</v>
      </c>
      <c r="F74" s="164">
        <v>4</v>
      </c>
      <c r="G74" s="164">
        <v>4</v>
      </c>
      <c r="H74" s="164">
        <v>7000</v>
      </c>
      <c r="I74" s="164">
        <v>28000</v>
      </c>
      <c r="J74" s="164">
        <v>28000</v>
      </c>
      <c r="L74" s="195">
        <f t="shared" si="16"/>
        <v>0</v>
      </c>
      <c r="N74" s="195">
        <f t="shared" si="16"/>
        <v>0</v>
      </c>
      <c r="P74" s="195">
        <f t="shared" si="17"/>
        <v>0</v>
      </c>
      <c r="R74" s="195">
        <f t="shared" si="17"/>
        <v>0</v>
      </c>
      <c r="T74" s="195">
        <f t="shared" si="18"/>
        <v>0</v>
      </c>
      <c r="V74" s="195">
        <f t="shared" si="19"/>
        <v>0</v>
      </c>
      <c r="W74" s="153"/>
      <c r="X74" s="153">
        <f t="shared" si="20"/>
        <v>0</v>
      </c>
      <c r="Y74" s="153">
        <f t="shared" si="21"/>
        <v>0</v>
      </c>
      <c r="Z74" s="153">
        <f t="shared" si="22"/>
        <v>0</v>
      </c>
      <c r="AA74" s="153">
        <f t="shared" si="23"/>
        <v>0</v>
      </c>
      <c r="AB74" s="153">
        <f t="shared" si="24"/>
        <v>0</v>
      </c>
      <c r="AC74" s="153">
        <f t="shared" si="25"/>
        <v>0</v>
      </c>
    </row>
    <row r="75" spans="1:29" x14ac:dyDescent="0.25">
      <c r="B75" s="57" t="s">
        <v>704</v>
      </c>
      <c r="C75" s="150" t="s">
        <v>682</v>
      </c>
      <c r="D75" s="57" t="s">
        <v>748</v>
      </c>
      <c r="E75" s="160" t="str">
        <f>IFERROR(VLOOKUP(A75,Estimate!A:Q,17,FALSE)," ")</f>
        <v xml:space="preserve"> </v>
      </c>
      <c r="F75" s="164" t="s">
        <v>682</v>
      </c>
      <c r="G75" s="164" t="s">
        <v>682</v>
      </c>
      <c r="H75" s="164" t="s">
        <v>682</v>
      </c>
      <c r="I75" s="164" t="s">
        <v>682</v>
      </c>
      <c r="J75" s="164" t="s">
        <v>682</v>
      </c>
      <c r="K75" s="160" t="s">
        <v>682</v>
      </c>
      <c r="L75" s="195" t="str">
        <f t="shared" si="16"/>
        <v xml:space="preserve"> </v>
      </c>
      <c r="M75" s="160" t="s">
        <v>682</v>
      </c>
      <c r="N75" s="195" t="str">
        <f t="shared" si="16"/>
        <v xml:space="preserve"> </v>
      </c>
      <c r="O75" s="160" t="s">
        <v>682</v>
      </c>
      <c r="P75" s="195" t="str">
        <f t="shared" si="17"/>
        <v xml:space="preserve"> </v>
      </c>
      <c r="Q75" s="160" t="s">
        <v>682</v>
      </c>
      <c r="R75" s="195" t="str">
        <f t="shared" si="17"/>
        <v xml:space="preserve"> </v>
      </c>
      <c r="S75" s="160" t="s">
        <v>682</v>
      </c>
      <c r="T75" s="195" t="str">
        <f t="shared" si="18"/>
        <v xml:space="preserve"> </v>
      </c>
      <c r="U75" s="160" t="s">
        <v>682</v>
      </c>
      <c r="V75" s="195" t="str">
        <f t="shared" si="19"/>
        <v xml:space="preserve"> </v>
      </c>
      <c r="W75" s="153"/>
      <c r="X75" s="153" t="str">
        <f t="shared" si="20"/>
        <v xml:space="preserve"> </v>
      </c>
      <c r="Y75" s="153" t="str">
        <f t="shared" si="21"/>
        <v xml:space="preserve"> </v>
      </c>
      <c r="Z75" s="153" t="str">
        <f t="shared" si="22"/>
        <v xml:space="preserve"> </v>
      </c>
      <c r="AA75" s="153" t="str">
        <f t="shared" si="23"/>
        <v xml:space="preserve"> </v>
      </c>
      <c r="AB75" s="153" t="str">
        <f t="shared" si="24"/>
        <v xml:space="preserve"> </v>
      </c>
      <c r="AC75" s="153" t="str">
        <f t="shared" si="25"/>
        <v xml:space="preserve"> </v>
      </c>
    </row>
    <row r="76" spans="1:29" x14ac:dyDescent="0.25">
      <c r="B76" s="57">
        <v>16</v>
      </c>
      <c r="C76" s="150" t="s">
        <v>1242</v>
      </c>
      <c r="D76" s="57" t="s">
        <v>1243</v>
      </c>
      <c r="E76" s="160" t="str">
        <f>IFERROR(VLOOKUP(A76,Estimate!A:Q,17,FALSE)," ")</f>
        <v xml:space="preserve"> </v>
      </c>
      <c r="F76" s="164">
        <v>1</v>
      </c>
      <c r="G76" s="164">
        <v>1</v>
      </c>
      <c r="H76" s="164">
        <v>20000</v>
      </c>
      <c r="I76" s="164">
        <v>20000</v>
      </c>
      <c r="J76" s="164">
        <v>20000</v>
      </c>
      <c r="L76" s="195">
        <f t="shared" si="16"/>
        <v>0</v>
      </c>
      <c r="N76" s="195">
        <f t="shared" si="16"/>
        <v>0</v>
      </c>
      <c r="P76" s="195">
        <f t="shared" si="17"/>
        <v>0</v>
      </c>
      <c r="R76" s="195">
        <f t="shared" si="17"/>
        <v>0</v>
      </c>
      <c r="T76" s="195">
        <f t="shared" si="18"/>
        <v>0</v>
      </c>
      <c r="V76" s="195">
        <f t="shared" si="19"/>
        <v>0</v>
      </c>
      <c r="W76" s="153"/>
      <c r="X76" s="153">
        <f t="shared" si="20"/>
        <v>0</v>
      </c>
      <c r="Y76" s="153">
        <f t="shared" si="21"/>
        <v>0</v>
      </c>
      <c r="Z76" s="153">
        <f t="shared" si="22"/>
        <v>0</v>
      </c>
      <c r="AA76" s="153">
        <f t="shared" si="23"/>
        <v>0</v>
      </c>
      <c r="AB76" s="153">
        <f t="shared" si="24"/>
        <v>0</v>
      </c>
      <c r="AC76" s="153">
        <f t="shared" si="25"/>
        <v>0</v>
      </c>
    </row>
    <row r="77" spans="1:29" x14ac:dyDescent="0.25">
      <c r="B77" s="57" t="s">
        <v>704</v>
      </c>
      <c r="C77" s="150" t="s">
        <v>682</v>
      </c>
      <c r="D77" s="57" t="s">
        <v>748</v>
      </c>
      <c r="E77" s="160" t="str">
        <f>IFERROR(VLOOKUP(A77,Estimate!A:Q,17,FALSE)," ")</f>
        <v xml:space="preserve"> </v>
      </c>
      <c r="F77" s="164" t="s">
        <v>682</v>
      </c>
      <c r="G77" s="164" t="s">
        <v>682</v>
      </c>
      <c r="H77" s="164" t="s">
        <v>682</v>
      </c>
      <c r="I77" s="164" t="s">
        <v>682</v>
      </c>
      <c r="J77" s="164" t="s">
        <v>682</v>
      </c>
      <c r="K77" s="160" t="s">
        <v>682</v>
      </c>
      <c r="L77" s="195" t="str">
        <f t="shared" si="16"/>
        <v xml:space="preserve"> </v>
      </c>
      <c r="M77" s="160" t="s">
        <v>682</v>
      </c>
      <c r="N77" s="195" t="str">
        <f t="shared" si="16"/>
        <v xml:space="preserve"> </v>
      </c>
      <c r="O77" s="160" t="s">
        <v>682</v>
      </c>
      <c r="P77" s="195" t="str">
        <f t="shared" si="17"/>
        <v xml:space="preserve"> </v>
      </c>
      <c r="Q77" s="160" t="s">
        <v>682</v>
      </c>
      <c r="R77" s="195" t="str">
        <f t="shared" si="17"/>
        <v xml:space="preserve"> </v>
      </c>
      <c r="S77" s="160" t="s">
        <v>682</v>
      </c>
      <c r="T77" s="195" t="str">
        <f t="shared" si="18"/>
        <v xml:space="preserve"> </v>
      </c>
      <c r="U77" s="160" t="s">
        <v>682</v>
      </c>
      <c r="V77" s="195" t="str">
        <f t="shared" si="19"/>
        <v xml:space="preserve"> </v>
      </c>
      <c r="W77" s="153"/>
      <c r="X77" s="153" t="str">
        <f t="shared" si="20"/>
        <v xml:space="preserve"> </v>
      </c>
      <c r="Y77" s="153" t="str">
        <f t="shared" si="21"/>
        <v xml:space="preserve"> </v>
      </c>
      <c r="Z77" s="153" t="str">
        <f t="shared" si="22"/>
        <v xml:space="preserve"> </v>
      </c>
      <c r="AA77" s="153" t="str">
        <f t="shared" si="23"/>
        <v xml:space="preserve"> </v>
      </c>
      <c r="AB77" s="153" t="str">
        <f t="shared" si="24"/>
        <v xml:space="preserve"> </v>
      </c>
      <c r="AC77" s="153" t="str">
        <f t="shared" si="25"/>
        <v xml:space="preserve"> </v>
      </c>
    </row>
    <row r="78" spans="1:29" x14ac:dyDescent="0.25">
      <c r="B78" s="57" t="s">
        <v>704</v>
      </c>
      <c r="C78" s="150" t="s">
        <v>682</v>
      </c>
      <c r="D78" s="57" t="s">
        <v>748</v>
      </c>
      <c r="E78" s="160" t="str">
        <f>IFERROR(VLOOKUP(A78,Estimate!A:Q,17,FALSE)," ")</f>
        <v xml:space="preserve"> </v>
      </c>
      <c r="F78" s="164" t="s">
        <v>682</v>
      </c>
      <c r="G78" s="164" t="s">
        <v>682</v>
      </c>
      <c r="H78" s="164" t="s">
        <v>682</v>
      </c>
      <c r="I78" s="164" t="s">
        <v>682</v>
      </c>
      <c r="J78" s="164" t="s">
        <v>682</v>
      </c>
      <c r="K78" s="160" t="s">
        <v>682</v>
      </c>
      <c r="L78" s="195" t="str">
        <f t="shared" si="16"/>
        <v xml:space="preserve"> </v>
      </c>
      <c r="M78" s="160" t="s">
        <v>682</v>
      </c>
      <c r="N78" s="195" t="str">
        <f t="shared" si="16"/>
        <v xml:space="preserve"> </v>
      </c>
      <c r="O78" s="160" t="s">
        <v>682</v>
      </c>
      <c r="P78" s="195" t="str">
        <f t="shared" si="17"/>
        <v xml:space="preserve"> </v>
      </c>
      <c r="Q78" s="160" t="s">
        <v>682</v>
      </c>
      <c r="R78" s="195" t="str">
        <f t="shared" si="17"/>
        <v xml:space="preserve"> </v>
      </c>
      <c r="S78" s="160" t="s">
        <v>682</v>
      </c>
      <c r="T78" s="195" t="str">
        <f t="shared" si="18"/>
        <v xml:space="preserve"> </v>
      </c>
      <c r="U78" s="160" t="s">
        <v>682</v>
      </c>
      <c r="V78" s="195" t="str">
        <f t="shared" si="19"/>
        <v xml:space="preserve"> </v>
      </c>
      <c r="W78" s="153"/>
      <c r="X78" s="153" t="str">
        <f t="shared" si="20"/>
        <v xml:space="preserve"> </v>
      </c>
      <c r="Y78" s="153" t="str">
        <f t="shared" si="21"/>
        <v xml:space="preserve"> </v>
      </c>
      <c r="Z78" s="153" t="str">
        <f t="shared" si="22"/>
        <v xml:space="preserve"> </v>
      </c>
      <c r="AA78" s="153" t="str">
        <f t="shared" si="23"/>
        <v xml:space="preserve"> </v>
      </c>
      <c r="AB78" s="153" t="str">
        <f t="shared" si="24"/>
        <v xml:space="preserve"> </v>
      </c>
      <c r="AC78" s="153" t="str">
        <f t="shared" si="25"/>
        <v xml:space="preserve"> </v>
      </c>
    </row>
    <row r="79" spans="1:29" x14ac:dyDescent="0.25">
      <c r="B79" s="57" t="s">
        <v>704</v>
      </c>
      <c r="C79" s="150" t="s">
        <v>682</v>
      </c>
      <c r="D79" s="57" t="s">
        <v>748</v>
      </c>
      <c r="E79" s="160" t="str">
        <f>IFERROR(VLOOKUP(A79,Estimate!A:Q,17,FALSE)," ")</f>
        <v xml:space="preserve"> </v>
      </c>
      <c r="F79" s="164" t="s">
        <v>682</v>
      </c>
      <c r="G79" s="164" t="s">
        <v>682</v>
      </c>
      <c r="H79" s="164" t="s">
        <v>682</v>
      </c>
      <c r="I79" s="164" t="s">
        <v>682</v>
      </c>
      <c r="J79" s="164" t="s">
        <v>682</v>
      </c>
      <c r="K79" s="160" t="s">
        <v>682</v>
      </c>
      <c r="L79" s="195" t="str">
        <f t="shared" si="16"/>
        <v xml:space="preserve"> </v>
      </c>
      <c r="M79" s="160" t="s">
        <v>682</v>
      </c>
      <c r="N79" s="195" t="str">
        <f t="shared" si="16"/>
        <v xml:space="preserve"> </v>
      </c>
      <c r="O79" s="160" t="s">
        <v>682</v>
      </c>
      <c r="P79" s="195" t="str">
        <f t="shared" si="17"/>
        <v xml:space="preserve"> </v>
      </c>
      <c r="Q79" s="160" t="s">
        <v>682</v>
      </c>
      <c r="R79" s="195" t="str">
        <f t="shared" si="17"/>
        <v xml:space="preserve"> </v>
      </c>
      <c r="S79" s="160" t="s">
        <v>682</v>
      </c>
      <c r="T79" s="195" t="str">
        <f t="shared" si="18"/>
        <v xml:space="preserve"> </v>
      </c>
      <c r="U79" s="160" t="s">
        <v>682</v>
      </c>
      <c r="V79" s="195" t="str">
        <f t="shared" si="19"/>
        <v xml:space="preserve"> </v>
      </c>
      <c r="W79" s="153"/>
      <c r="X79" s="153" t="str">
        <f t="shared" si="20"/>
        <v xml:space="preserve"> </v>
      </c>
      <c r="Y79" s="153" t="str">
        <f t="shared" si="21"/>
        <v xml:space="preserve"> </v>
      </c>
      <c r="Z79" s="153" t="str">
        <f t="shared" si="22"/>
        <v xml:space="preserve"> </v>
      </c>
      <c r="AA79" s="153" t="str">
        <f t="shared" si="23"/>
        <v xml:space="preserve"> </v>
      </c>
      <c r="AB79" s="153" t="str">
        <f t="shared" si="24"/>
        <v xml:space="preserve"> </v>
      </c>
      <c r="AC79" s="153" t="str">
        <f t="shared" si="25"/>
        <v xml:space="preserve"> </v>
      </c>
    </row>
    <row r="80" spans="1:29" x14ac:dyDescent="0.25">
      <c r="B80" s="57" t="s">
        <v>704</v>
      </c>
      <c r="C80" s="150" t="s">
        <v>161</v>
      </c>
      <c r="D80" s="57" t="s">
        <v>748</v>
      </c>
      <c r="E80" s="160" t="str">
        <f>IFERROR(VLOOKUP(A80,Estimate!A:Q,17,FALSE)," ")</f>
        <v xml:space="preserve"> </v>
      </c>
      <c r="F80" s="164" t="s">
        <v>682</v>
      </c>
      <c r="G80" s="164" t="s">
        <v>682</v>
      </c>
      <c r="H80" s="164" t="s">
        <v>682</v>
      </c>
      <c r="I80" s="164" t="s">
        <v>682</v>
      </c>
      <c r="J80" s="164" t="s">
        <v>682</v>
      </c>
      <c r="K80" s="160" t="s">
        <v>682</v>
      </c>
      <c r="L80" s="195" t="str">
        <f t="shared" si="16"/>
        <v xml:space="preserve"> </v>
      </c>
      <c r="M80" s="160" t="s">
        <v>682</v>
      </c>
      <c r="N80" s="195" t="str">
        <f t="shared" si="16"/>
        <v xml:space="preserve"> </v>
      </c>
      <c r="O80" s="160" t="s">
        <v>682</v>
      </c>
      <c r="P80" s="195" t="str">
        <f t="shared" si="17"/>
        <v xml:space="preserve"> </v>
      </c>
      <c r="Q80" s="160" t="s">
        <v>682</v>
      </c>
      <c r="R80" s="195" t="str">
        <f t="shared" si="17"/>
        <v xml:space="preserve"> </v>
      </c>
      <c r="S80" s="160" t="s">
        <v>682</v>
      </c>
      <c r="T80" s="195" t="str">
        <f t="shared" si="18"/>
        <v xml:space="preserve"> </v>
      </c>
      <c r="U80" s="160" t="s">
        <v>682</v>
      </c>
      <c r="V80" s="195" t="str">
        <f t="shared" si="19"/>
        <v xml:space="preserve"> </v>
      </c>
      <c r="W80" s="153"/>
      <c r="X80" s="153" t="str">
        <f t="shared" si="20"/>
        <v xml:space="preserve"> </v>
      </c>
      <c r="Y80" s="153" t="str">
        <f t="shared" si="21"/>
        <v xml:space="preserve"> </v>
      </c>
      <c r="Z80" s="153" t="str">
        <f t="shared" si="22"/>
        <v xml:space="preserve"> </v>
      </c>
      <c r="AA80" s="153" t="str">
        <f t="shared" si="23"/>
        <v xml:space="preserve"> </v>
      </c>
      <c r="AB80" s="153" t="str">
        <f t="shared" si="24"/>
        <v xml:space="preserve"> </v>
      </c>
      <c r="AC80" s="153" t="str">
        <f t="shared" si="25"/>
        <v xml:space="preserve"> </v>
      </c>
    </row>
    <row r="81" spans="1:29" ht="30" x14ac:dyDescent="0.25">
      <c r="B81" s="57">
        <v>1</v>
      </c>
      <c r="C81" s="150" t="s">
        <v>163</v>
      </c>
      <c r="D81" s="57" t="s">
        <v>748</v>
      </c>
      <c r="E81" s="160" t="str">
        <f>IFERROR(VLOOKUP(A81,Estimate!A:Q,17,FALSE)," ")</f>
        <v xml:space="preserve"> </v>
      </c>
      <c r="F81" s="164" t="s">
        <v>682</v>
      </c>
      <c r="G81" s="164" t="s">
        <v>682</v>
      </c>
      <c r="H81" s="164" t="s">
        <v>682</v>
      </c>
      <c r="I81" s="164" t="s">
        <v>682</v>
      </c>
      <c r="J81" s="164" t="s">
        <v>682</v>
      </c>
      <c r="K81" s="160" t="s">
        <v>682</v>
      </c>
      <c r="L81" s="195" t="str">
        <f t="shared" si="16"/>
        <v xml:space="preserve"> </v>
      </c>
      <c r="M81" s="160" t="s">
        <v>682</v>
      </c>
      <c r="N81" s="195" t="str">
        <f t="shared" si="16"/>
        <v xml:space="preserve"> </v>
      </c>
      <c r="O81" s="160" t="s">
        <v>682</v>
      </c>
      <c r="P81" s="195" t="str">
        <f t="shared" si="17"/>
        <v xml:space="preserve"> </v>
      </c>
      <c r="Q81" s="160" t="s">
        <v>682</v>
      </c>
      <c r="R81" s="195" t="str">
        <f t="shared" si="17"/>
        <v xml:space="preserve"> </v>
      </c>
      <c r="S81" s="160" t="s">
        <v>682</v>
      </c>
      <c r="T81" s="195" t="str">
        <f t="shared" si="18"/>
        <v xml:space="preserve"> </v>
      </c>
      <c r="U81" s="160" t="s">
        <v>682</v>
      </c>
      <c r="V81" s="195" t="str">
        <f t="shared" si="19"/>
        <v xml:space="preserve"> </v>
      </c>
      <c r="W81" s="153"/>
      <c r="X81" s="153" t="str">
        <f t="shared" si="20"/>
        <v xml:space="preserve"> </v>
      </c>
      <c r="Y81" s="153" t="str">
        <f t="shared" si="21"/>
        <v xml:space="preserve"> </v>
      </c>
      <c r="Z81" s="153" t="str">
        <f t="shared" si="22"/>
        <v xml:space="preserve"> </v>
      </c>
      <c r="AA81" s="153" t="str">
        <f t="shared" si="23"/>
        <v xml:space="preserve"> </v>
      </c>
      <c r="AB81" s="153" t="str">
        <f t="shared" si="24"/>
        <v xml:space="preserve"> </v>
      </c>
      <c r="AC81" s="153" t="str">
        <f t="shared" si="25"/>
        <v xml:space="preserve"> </v>
      </c>
    </row>
    <row r="82" spans="1:29" ht="45" x14ac:dyDescent="0.25">
      <c r="A82" s="58">
        <v>45</v>
      </c>
      <c r="B82" s="57" t="s">
        <v>1214</v>
      </c>
      <c r="C82" s="150" t="s">
        <v>1244</v>
      </c>
      <c r="D82" s="57" t="s">
        <v>32</v>
      </c>
      <c r="E82" s="160">
        <f>IFERROR(VLOOKUP(A82,Estimate!A:Q,17,FALSE)," ")</f>
        <v>1297.3510000000001</v>
      </c>
      <c r="F82" s="164">
        <v>1.22</v>
      </c>
      <c r="G82" s="164">
        <v>1.22</v>
      </c>
      <c r="H82" s="164">
        <v>1644.63</v>
      </c>
      <c r="I82" s="164">
        <v>2006.45</v>
      </c>
      <c r="J82" s="164">
        <v>2006.4485999999999</v>
      </c>
      <c r="K82" s="160">
        <v>1.22</v>
      </c>
      <c r="L82" s="195">
        <f t="shared" si="16"/>
        <v>1</v>
      </c>
      <c r="M82" s="160">
        <v>1.22</v>
      </c>
      <c r="N82" s="195">
        <f t="shared" si="16"/>
        <v>1</v>
      </c>
      <c r="O82" s="160">
        <v>1.22</v>
      </c>
      <c r="P82" s="195">
        <f t="shared" si="17"/>
        <v>1</v>
      </c>
      <c r="Q82" s="160">
        <v>1.22</v>
      </c>
      <c r="R82" s="195">
        <f t="shared" si="17"/>
        <v>1</v>
      </c>
      <c r="S82" s="160">
        <v>1.22</v>
      </c>
      <c r="T82" s="195">
        <f t="shared" si="18"/>
        <v>1</v>
      </c>
      <c r="U82" s="160">
        <v>1.22</v>
      </c>
      <c r="V82" s="195">
        <f t="shared" si="19"/>
        <v>1</v>
      </c>
      <c r="W82" s="153"/>
      <c r="X82" s="153">
        <f t="shared" si="20"/>
        <v>2006.4486000000002</v>
      </c>
      <c r="Y82" s="153">
        <f t="shared" si="21"/>
        <v>2006.4486000000002</v>
      </c>
      <c r="Z82" s="153">
        <f t="shared" si="22"/>
        <v>2006.4486000000002</v>
      </c>
      <c r="AA82" s="153">
        <f t="shared" si="23"/>
        <v>2006.4486000000002</v>
      </c>
      <c r="AB82" s="153">
        <f t="shared" si="24"/>
        <v>2006.4486000000002</v>
      </c>
      <c r="AC82" s="153">
        <f t="shared" si="25"/>
        <v>2006.4486000000002</v>
      </c>
    </row>
    <row r="83" spans="1:29" ht="30" x14ac:dyDescent="0.25">
      <c r="A83" s="58">
        <v>46</v>
      </c>
      <c r="B83" s="57" t="s">
        <v>1216</v>
      </c>
      <c r="C83" s="150" t="s">
        <v>173</v>
      </c>
      <c r="D83" s="57" t="s">
        <v>145</v>
      </c>
      <c r="E83" s="160">
        <f>IFERROR(VLOOKUP(A83,Estimate!A:Q,17,FALSE)," ")</f>
        <v>1257.8</v>
      </c>
      <c r="F83" s="164">
        <v>1</v>
      </c>
      <c r="G83" s="164">
        <v>1</v>
      </c>
      <c r="H83" s="164">
        <v>1594.49</v>
      </c>
      <c r="I83" s="164">
        <v>1594.49</v>
      </c>
      <c r="J83" s="164">
        <v>1594.49</v>
      </c>
      <c r="L83" s="195">
        <f t="shared" si="16"/>
        <v>0</v>
      </c>
      <c r="M83" s="160">
        <v>1</v>
      </c>
      <c r="N83" s="195">
        <f t="shared" si="16"/>
        <v>1</v>
      </c>
      <c r="O83" s="160">
        <v>1</v>
      </c>
      <c r="P83" s="195">
        <f t="shared" si="17"/>
        <v>1</v>
      </c>
      <c r="Q83" s="160">
        <v>1</v>
      </c>
      <c r="R83" s="195">
        <f t="shared" si="17"/>
        <v>1</v>
      </c>
      <c r="S83" s="160">
        <v>1</v>
      </c>
      <c r="T83" s="195">
        <f t="shared" si="18"/>
        <v>1</v>
      </c>
      <c r="U83" s="160">
        <v>1</v>
      </c>
      <c r="V83" s="195">
        <f t="shared" si="19"/>
        <v>1</v>
      </c>
      <c r="W83" s="153"/>
      <c r="X83" s="153">
        <f t="shared" si="20"/>
        <v>0</v>
      </c>
      <c r="Y83" s="153">
        <f t="shared" si="21"/>
        <v>1594.49</v>
      </c>
      <c r="Z83" s="153">
        <f t="shared" si="22"/>
        <v>1594.49</v>
      </c>
      <c r="AA83" s="153">
        <f t="shared" si="23"/>
        <v>1594.49</v>
      </c>
      <c r="AB83" s="153">
        <f t="shared" si="24"/>
        <v>1594.49</v>
      </c>
      <c r="AC83" s="153">
        <f t="shared" si="25"/>
        <v>1594.49</v>
      </c>
    </row>
    <row r="84" spans="1:29" x14ac:dyDescent="0.25">
      <c r="B84" s="57" t="s">
        <v>704</v>
      </c>
      <c r="C84" s="150" t="s">
        <v>682</v>
      </c>
      <c r="D84" s="57" t="s">
        <v>748</v>
      </c>
      <c r="E84" s="160" t="str">
        <f>IFERROR(VLOOKUP(A84,Estimate!A:Q,17,FALSE)," ")</f>
        <v xml:space="preserve"> </v>
      </c>
      <c r="F84" s="164" t="s">
        <v>682</v>
      </c>
      <c r="G84" s="164" t="s">
        <v>682</v>
      </c>
      <c r="H84" s="164" t="s">
        <v>682</v>
      </c>
      <c r="I84" s="164" t="s">
        <v>682</v>
      </c>
      <c r="J84" s="164" t="s">
        <v>682</v>
      </c>
      <c r="K84" s="160" t="s">
        <v>682</v>
      </c>
      <c r="L84" s="195" t="str">
        <f t="shared" si="16"/>
        <v xml:space="preserve"> </v>
      </c>
      <c r="M84" s="160" t="s">
        <v>682</v>
      </c>
      <c r="N84" s="195" t="str">
        <f t="shared" si="16"/>
        <v xml:space="preserve"> </v>
      </c>
      <c r="O84" s="160" t="s">
        <v>682</v>
      </c>
      <c r="P84" s="195" t="str">
        <f t="shared" si="17"/>
        <v xml:space="preserve"> </v>
      </c>
      <c r="Q84" s="160" t="s">
        <v>682</v>
      </c>
      <c r="R84" s="195" t="str">
        <f t="shared" si="17"/>
        <v xml:space="preserve"> </v>
      </c>
      <c r="S84" s="160" t="s">
        <v>682</v>
      </c>
      <c r="T84" s="195" t="str">
        <f t="shared" si="18"/>
        <v xml:space="preserve"> </v>
      </c>
      <c r="U84" s="160" t="s">
        <v>682</v>
      </c>
      <c r="V84" s="195" t="str">
        <f t="shared" si="19"/>
        <v xml:space="preserve"> </v>
      </c>
      <c r="W84" s="153"/>
      <c r="X84" s="153" t="str">
        <f t="shared" si="20"/>
        <v xml:space="preserve"> </v>
      </c>
      <c r="Y84" s="153" t="str">
        <f t="shared" si="21"/>
        <v xml:space="preserve"> </v>
      </c>
      <c r="Z84" s="153" t="str">
        <f t="shared" si="22"/>
        <v xml:space="preserve"> </v>
      </c>
      <c r="AA84" s="153" t="str">
        <f t="shared" si="23"/>
        <v xml:space="preserve"> </v>
      </c>
      <c r="AB84" s="153" t="str">
        <f t="shared" si="24"/>
        <v xml:space="preserve"> </v>
      </c>
      <c r="AC84" s="153" t="str">
        <f t="shared" si="25"/>
        <v xml:space="preserve"> </v>
      </c>
    </row>
    <row r="85" spans="1:29" ht="30" x14ac:dyDescent="0.25">
      <c r="B85" s="57">
        <v>2</v>
      </c>
      <c r="C85" s="150" t="s">
        <v>176</v>
      </c>
      <c r="D85" s="57" t="s">
        <v>748</v>
      </c>
      <c r="E85" s="160" t="str">
        <f>IFERROR(VLOOKUP(A85,Estimate!A:Q,17,FALSE)," ")</f>
        <v xml:space="preserve"> </v>
      </c>
      <c r="F85" s="164" t="s">
        <v>682</v>
      </c>
      <c r="G85" s="164" t="s">
        <v>682</v>
      </c>
      <c r="H85" s="164" t="s">
        <v>682</v>
      </c>
      <c r="I85" s="164" t="s">
        <v>682</v>
      </c>
      <c r="J85" s="164" t="s">
        <v>682</v>
      </c>
      <c r="K85" s="160" t="s">
        <v>682</v>
      </c>
      <c r="L85" s="195" t="str">
        <f t="shared" si="16"/>
        <v xml:space="preserve"> </v>
      </c>
      <c r="M85" s="160" t="s">
        <v>682</v>
      </c>
      <c r="N85" s="195" t="str">
        <f t="shared" si="16"/>
        <v xml:space="preserve"> </v>
      </c>
      <c r="O85" s="160" t="s">
        <v>682</v>
      </c>
      <c r="P85" s="195" t="str">
        <f t="shared" si="17"/>
        <v xml:space="preserve"> </v>
      </c>
      <c r="Q85" s="160" t="s">
        <v>682</v>
      </c>
      <c r="R85" s="195" t="str">
        <f t="shared" si="17"/>
        <v xml:space="preserve"> </v>
      </c>
      <c r="S85" s="160" t="s">
        <v>682</v>
      </c>
      <c r="T85" s="195" t="str">
        <f t="shared" si="18"/>
        <v xml:space="preserve"> </v>
      </c>
      <c r="U85" s="160" t="s">
        <v>682</v>
      </c>
      <c r="V85" s="195" t="str">
        <f t="shared" si="19"/>
        <v xml:space="preserve"> </v>
      </c>
      <c r="W85" s="153"/>
      <c r="X85" s="153" t="str">
        <f t="shared" si="20"/>
        <v xml:space="preserve"> </v>
      </c>
      <c r="Y85" s="153" t="str">
        <f t="shared" si="21"/>
        <v xml:space="preserve"> </v>
      </c>
      <c r="Z85" s="153" t="str">
        <f t="shared" si="22"/>
        <v xml:space="preserve"> </v>
      </c>
      <c r="AA85" s="153" t="str">
        <f t="shared" si="23"/>
        <v xml:space="preserve"> </v>
      </c>
      <c r="AB85" s="153" t="str">
        <f t="shared" si="24"/>
        <v xml:space="preserve"> </v>
      </c>
      <c r="AC85" s="153" t="str">
        <f t="shared" si="25"/>
        <v xml:space="preserve"> </v>
      </c>
    </row>
    <row r="86" spans="1:29" ht="45" x14ac:dyDescent="0.25">
      <c r="A86" s="58">
        <v>47</v>
      </c>
      <c r="B86" s="57" t="s">
        <v>1214</v>
      </c>
      <c r="C86" s="150" t="s">
        <v>1245</v>
      </c>
      <c r="D86" s="57" t="s">
        <v>32</v>
      </c>
      <c r="E86" s="160">
        <f>IFERROR(VLOOKUP(A86,Estimate!A:Q,17,FALSE)," ")</f>
        <v>1344.9309999999998</v>
      </c>
      <c r="F86" s="164">
        <v>1.22</v>
      </c>
      <c r="G86" s="164">
        <v>1.22</v>
      </c>
      <c r="H86" s="164">
        <v>2718.95</v>
      </c>
      <c r="I86" s="164">
        <v>3317.12</v>
      </c>
      <c r="J86" s="164">
        <v>3317.1190000000001</v>
      </c>
      <c r="K86" s="160">
        <v>1.22</v>
      </c>
      <c r="L86" s="195">
        <f t="shared" si="16"/>
        <v>1</v>
      </c>
      <c r="M86" s="160">
        <v>1.22</v>
      </c>
      <c r="N86" s="195">
        <f t="shared" si="16"/>
        <v>1</v>
      </c>
      <c r="O86" s="160">
        <v>1.22</v>
      </c>
      <c r="P86" s="195">
        <f t="shared" si="17"/>
        <v>1</v>
      </c>
      <c r="Q86" s="160">
        <v>1.22</v>
      </c>
      <c r="R86" s="195">
        <f t="shared" si="17"/>
        <v>1</v>
      </c>
      <c r="S86" s="160">
        <v>1.22</v>
      </c>
      <c r="T86" s="195">
        <f t="shared" si="18"/>
        <v>1</v>
      </c>
      <c r="U86" s="160">
        <v>1.22</v>
      </c>
      <c r="V86" s="195">
        <f t="shared" si="19"/>
        <v>1</v>
      </c>
      <c r="W86" s="153"/>
      <c r="X86" s="153">
        <f t="shared" si="20"/>
        <v>3317.1189999999997</v>
      </c>
      <c r="Y86" s="153">
        <f t="shared" si="21"/>
        <v>3317.1189999999997</v>
      </c>
      <c r="Z86" s="153">
        <f t="shared" si="22"/>
        <v>3317.1189999999997</v>
      </c>
      <c r="AA86" s="153">
        <f t="shared" si="23"/>
        <v>3317.1189999999997</v>
      </c>
      <c r="AB86" s="153">
        <f t="shared" si="24"/>
        <v>3317.1189999999997</v>
      </c>
      <c r="AC86" s="153">
        <f t="shared" si="25"/>
        <v>3317.1189999999997</v>
      </c>
    </row>
    <row r="87" spans="1:29" ht="30" x14ac:dyDescent="0.25">
      <c r="A87" s="58">
        <v>48</v>
      </c>
      <c r="B87" s="57" t="s">
        <v>1216</v>
      </c>
      <c r="C87" s="150" t="s">
        <v>179</v>
      </c>
      <c r="D87" s="57" t="s">
        <v>145</v>
      </c>
      <c r="E87" s="160">
        <f>IFERROR(VLOOKUP(A87,Estimate!A:Q,17,FALSE)," ")</f>
        <v>2338.85</v>
      </c>
      <c r="F87" s="164">
        <v>1</v>
      </c>
      <c r="G87" s="164">
        <v>1</v>
      </c>
      <c r="H87" s="164">
        <v>2964.92</v>
      </c>
      <c r="I87" s="164">
        <v>2964.92</v>
      </c>
      <c r="J87" s="164">
        <v>2964.92</v>
      </c>
      <c r="L87" s="195">
        <f t="shared" ref="L87:N102" si="26">IFERROR(K87/$G87," ")</f>
        <v>0</v>
      </c>
      <c r="M87" s="160">
        <v>1</v>
      </c>
      <c r="N87" s="195">
        <f t="shared" si="26"/>
        <v>1</v>
      </c>
      <c r="O87" s="160">
        <v>1</v>
      </c>
      <c r="P87" s="195">
        <f t="shared" ref="P87:R102" si="27">IFERROR(O87/$G87," ")</f>
        <v>1</v>
      </c>
      <c r="Q87" s="160">
        <v>1</v>
      </c>
      <c r="R87" s="195">
        <f t="shared" si="27"/>
        <v>1</v>
      </c>
      <c r="S87" s="160">
        <v>1</v>
      </c>
      <c r="T87" s="195">
        <f t="shared" si="18"/>
        <v>1</v>
      </c>
      <c r="U87" s="160">
        <v>1</v>
      </c>
      <c r="V87" s="195">
        <f t="shared" si="19"/>
        <v>1</v>
      </c>
      <c r="W87" s="153"/>
      <c r="X87" s="153">
        <f t="shared" si="20"/>
        <v>0</v>
      </c>
      <c r="Y87" s="153">
        <f t="shared" si="21"/>
        <v>2964.92</v>
      </c>
      <c r="Z87" s="153">
        <f t="shared" si="22"/>
        <v>2964.92</v>
      </c>
      <c r="AA87" s="153">
        <f t="shared" si="23"/>
        <v>2964.92</v>
      </c>
      <c r="AB87" s="153">
        <f t="shared" si="24"/>
        <v>2964.92</v>
      </c>
      <c r="AC87" s="153">
        <f t="shared" si="25"/>
        <v>2964.92</v>
      </c>
    </row>
    <row r="88" spans="1:29" x14ac:dyDescent="0.25">
      <c r="B88" s="57" t="s">
        <v>704</v>
      </c>
      <c r="C88" s="150" t="s">
        <v>682</v>
      </c>
      <c r="D88" s="57" t="s">
        <v>748</v>
      </c>
      <c r="E88" s="160" t="str">
        <f>IFERROR(VLOOKUP(A88,Estimate!A:Q,17,FALSE)," ")</f>
        <v xml:space="preserve"> </v>
      </c>
      <c r="F88" s="164" t="s">
        <v>682</v>
      </c>
      <c r="G88" s="164" t="s">
        <v>682</v>
      </c>
      <c r="H88" s="164" t="s">
        <v>682</v>
      </c>
      <c r="I88" s="164" t="s">
        <v>682</v>
      </c>
      <c r="J88" s="164" t="s">
        <v>682</v>
      </c>
      <c r="K88" s="160" t="s">
        <v>682</v>
      </c>
      <c r="L88" s="195" t="str">
        <f t="shared" si="26"/>
        <v xml:space="preserve"> </v>
      </c>
      <c r="M88" s="160" t="s">
        <v>682</v>
      </c>
      <c r="N88" s="195" t="str">
        <f t="shared" si="26"/>
        <v xml:space="preserve"> </v>
      </c>
      <c r="O88" s="160" t="s">
        <v>682</v>
      </c>
      <c r="P88" s="195" t="str">
        <f t="shared" si="27"/>
        <v xml:space="preserve"> </v>
      </c>
      <c r="Q88" s="160" t="s">
        <v>682</v>
      </c>
      <c r="R88" s="195" t="str">
        <f t="shared" si="27"/>
        <v xml:space="preserve"> </v>
      </c>
      <c r="S88" s="160" t="s">
        <v>682</v>
      </c>
      <c r="T88" s="195" t="str">
        <f t="shared" si="18"/>
        <v xml:space="preserve"> </v>
      </c>
      <c r="U88" s="160" t="s">
        <v>682</v>
      </c>
      <c r="V88" s="195" t="str">
        <f t="shared" si="19"/>
        <v xml:space="preserve"> </v>
      </c>
      <c r="W88" s="153"/>
      <c r="X88" s="153" t="str">
        <f t="shared" si="20"/>
        <v xml:space="preserve"> </v>
      </c>
      <c r="Y88" s="153" t="str">
        <f t="shared" si="21"/>
        <v xml:space="preserve"> </v>
      </c>
      <c r="Z88" s="153" t="str">
        <f t="shared" si="22"/>
        <v xml:space="preserve"> </v>
      </c>
      <c r="AA88" s="153" t="str">
        <f t="shared" si="23"/>
        <v xml:space="preserve"> </v>
      </c>
      <c r="AB88" s="153" t="str">
        <f t="shared" si="24"/>
        <v xml:space="preserve"> </v>
      </c>
      <c r="AC88" s="153" t="str">
        <f t="shared" si="25"/>
        <v xml:space="preserve"> </v>
      </c>
    </row>
    <row r="89" spans="1:29" ht="30" x14ac:dyDescent="0.25">
      <c r="B89" s="57">
        <v>3</v>
      </c>
      <c r="C89" s="150" t="s">
        <v>184</v>
      </c>
      <c r="D89" s="57" t="s">
        <v>748</v>
      </c>
      <c r="E89" s="160" t="str">
        <f>IFERROR(VLOOKUP(A89,Estimate!A:Q,17,FALSE)," ")</f>
        <v xml:space="preserve"> </v>
      </c>
      <c r="F89" s="164" t="s">
        <v>682</v>
      </c>
      <c r="G89" s="164" t="s">
        <v>682</v>
      </c>
      <c r="H89" s="164" t="s">
        <v>682</v>
      </c>
      <c r="I89" s="164" t="s">
        <v>682</v>
      </c>
      <c r="J89" s="164" t="s">
        <v>682</v>
      </c>
      <c r="K89" s="160" t="s">
        <v>682</v>
      </c>
      <c r="L89" s="195" t="str">
        <f t="shared" si="26"/>
        <v xml:space="preserve"> </v>
      </c>
      <c r="M89" s="160" t="s">
        <v>682</v>
      </c>
      <c r="N89" s="195" t="str">
        <f t="shared" si="26"/>
        <v xml:space="preserve"> </v>
      </c>
      <c r="O89" s="160" t="s">
        <v>682</v>
      </c>
      <c r="P89" s="195" t="str">
        <f t="shared" si="27"/>
        <v xml:space="preserve"> </v>
      </c>
      <c r="Q89" s="160" t="s">
        <v>682</v>
      </c>
      <c r="R89" s="195" t="str">
        <f t="shared" si="27"/>
        <v xml:space="preserve"> </v>
      </c>
      <c r="S89" s="160" t="s">
        <v>682</v>
      </c>
      <c r="T89" s="195" t="str">
        <f t="shared" si="18"/>
        <v xml:space="preserve"> </v>
      </c>
      <c r="U89" s="160" t="s">
        <v>682</v>
      </c>
      <c r="V89" s="195" t="str">
        <f t="shared" si="19"/>
        <v xml:space="preserve"> </v>
      </c>
      <c r="W89" s="153"/>
      <c r="X89" s="153" t="str">
        <f t="shared" si="20"/>
        <v xml:space="preserve"> </v>
      </c>
      <c r="Y89" s="153" t="str">
        <f t="shared" si="21"/>
        <v xml:space="preserve"> </v>
      </c>
      <c r="Z89" s="153" t="str">
        <f t="shared" si="22"/>
        <v xml:space="preserve"> </v>
      </c>
      <c r="AA89" s="153" t="str">
        <f t="shared" si="23"/>
        <v xml:space="preserve"> </v>
      </c>
      <c r="AB89" s="153" t="str">
        <f t="shared" si="24"/>
        <v xml:space="preserve"> </v>
      </c>
      <c r="AC89" s="153" t="str">
        <f t="shared" si="25"/>
        <v xml:space="preserve"> </v>
      </c>
    </row>
    <row r="90" spans="1:29" ht="45" x14ac:dyDescent="0.25">
      <c r="A90" s="58">
        <v>49</v>
      </c>
      <c r="B90" s="57" t="s">
        <v>1214</v>
      </c>
      <c r="C90" s="150" t="s">
        <v>1246</v>
      </c>
      <c r="D90" s="57" t="s">
        <v>32</v>
      </c>
      <c r="E90" s="160">
        <f>IFERROR(VLOOKUP(A90,Estimate!A:Q,17,FALSE)," ")</f>
        <v>20898.888739999999</v>
      </c>
      <c r="F90" s="164">
        <v>2.44</v>
      </c>
      <c r="G90" s="164">
        <v>2.44</v>
      </c>
      <c r="H90" s="164">
        <v>10857.8</v>
      </c>
      <c r="I90" s="164">
        <v>26493.03</v>
      </c>
      <c r="J90" s="164">
        <v>26493.031999999999</v>
      </c>
      <c r="L90" s="195">
        <f t="shared" si="26"/>
        <v>0</v>
      </c>
      <c r="M90" s="160">
        <v>2.44</v>
      </c>
      <c r="N90" s="195">
        <f t="shared" si="26"/>
        <v>1</v>
      </c>
      <c r="O90" s="160">
        <v>2.44</v>
      </c>
      <c r="P90" s="195">
        <f t="shared" si="27"/>
        <v>1</v>
      </c>
      <c r="Q90" s="160">
        <v>2.44</v>
      </c>
      <c r="R90" s="195">
        <f t="shared" si="27"/>
        <v>1</v>
      </c>
      <c r="S90" s="160">
        <v>2.44</v>
      </c>
      <c r="T90" s="195">
        <f t="shared" si="18"/>
        <v>1</v>
      </c>
      <c r="U90" s="160">
        <v>2.44</v>
      </c>
      <c r="V90" s="195">
        <f t="shared" si="19"/>
        <v>1</v>
      </c>
      <c r="W90" s="153"/>
      <c r="X90" s="153">
        <f t="shared" si="20"/>
        <v>0</v>
      </c>
      <c r="Y90" s="153">
        <f t="shared" si="21"/>
        <v>26493.031999999999</v>
      </c>
      <c r="Z90" s="153">
        <f t="shared" si="22"/>
        <v>26493.031999999999</v>
      </c>
      <c r="AA90" s="153">
        <f t="shared" si="23"/>
        <v>26493.031999999999</v>
      </c>
      <c r="AB90" s="153">
        <f t="shared" si="24"/>
        <v>26493.031999999999</v>
      </c>
      <c r="AC90" s="153">
        <f t="shared" si="25"/>
        <v>26493.031999999999</v>
      </c>
    </row>
    <row r="91" spans="1:29" ht="45" x14ac:dyDescent="0.25">
      <c r="A91" s="58">
        <v>50</v>
      </c>
      <c r="B91" s="57" t="s">
        <v>1216</v>
      </c>
      <c r="C91" s="150" t="s">
        <v>200</v>
      </c>
      <c r="D91" s="57" t="s">
        <v>32</v>
      </c>
      <c r="E91" s="160">
        <f>IFERROR(VLOOKUP(A91,Estimate!A:Q,17,FALSE)," ")</f>
        <v>64286.638186666249</v>
      </c>
      <c r="F91" s="164">
        <v>12.2</v>
      </c>
      <c r="G91" s="164">
        <v>12.2</v>
      </c>
      <c r="H91" s="164">
        <v>6679.84</v>
      </c>
      <c r="I91" s="164">
        <v>81494.05</v>
      </c>
      <c r="J91" s="164">
        <v>81494.047999999995</v>
      </c>
      <c r="L91" s="195">
        <f t="shared" si="26"/>
        <v>0</v>
      </c>
      <c r="M91" s="160">
        <v>12.2</v>
      </c>
      <c r="N91" s="195">
        <f t="shared" si="26"/>
        <v>1</v>
      </c>
      <c r="O91" s="160">
        <v>12.2</v>
      </c>
      <c r="P91" s="195">
        <f t="shared" si="27"/>
        <v>1</v>
      </c>
      <c r="Q91" s="160">
        <v>12.2</v>
      </c>
      <c r="R91" s="195">
        <f t="shared" si="27"/>
        <v>1</v>
      </c>
      <c r="S91" s="160">
        <v>12.2</v>
      </c>
      <c r="T91" s="195">
        <f t="shared" si="18"/>
        <v>1</v>
      </c>
      <c r="U91" s="160">
        <v>12.2</v>
      </c>
      <c r="V91" s="195">
        <f t="shared" si="19"/>
        <v>1</v>
      </c>
      <c r="W91" s="153"/>
      <c r="X91" s="153">
        <f t="shared" si="20"/>
        <v>0</v>
      </c>
      <c r="Y91" s="153">
        <f t="shared" si="21"/>
        <v>81494.047999999995</v>
      </c>
      <c r="Z91" s="153">
        <f t="shared" si="22"/>
        <v>81494.047999999995</v>
      </c>
      <c r="AA91" s="153">
        <f t="shared" si="23"/>
        <v>81494.047999999995</v>
      </c>
      <c r="AB91" s="153">
        <f t="shared" si="24"/>
        <v>81494.047999999995</v>
      </c>
      <c r="AC91" s="153">
        <f t="shared" si="25"/>
        <v>81494.047999999995</v>
      </c>
    </row>
    <row r="92" spans="1:29" ht="60" x14ac:dyDescent="0.25">
      <c r="A92" s="58">
        <v>51</v>
      </c>
      <c r="B92" s="57" t="s">
        <v>1231</v>
      </c>
      <c r="C92" s="150" t="s">
        <v>202</v>
      </c>
      <c r="D92" s="57" t="s">
        <v>145</v>
      </c>
      <c r="E92" s="160">
        <f>IFERROR(VLOOKUP(A92,Estimate!A:Q,17,FALSE)," ")</f>
        <v>2161.4</v>
      </c>
      <c r="F92" s="164">
        <v>2</v>
      </c>
      <c r="G92" s="164">
        <v>2</v>
      </c>
      <c r="H92" s="164">
        <v>2294.88</v>
      </c>
      <c r="I92" s="164">
        <v>4589.76</v>
      </c>
      <c r="J92" s="164">
        <v>4589.76</v>
      </c>
      <c r="L92" s="195">
        <f t="shared" si="26"/>
        <v>0</v>
      </c>
      <c r="M92" s="160">
        <v>2</v>
      </c>
      <c r="N92" s="195">
        <f t="shared" si="26"/>
        <v>1</v>
      </c>
      <c r="O92" s="160">
        <v>2</v>
      </c>
      <c r="P92" s="195">
        <f t="shared" si="27"/>
        <v>1</v>
      </c>
      <c r="Q92" s="160">
        <v>2</v>
      </c>
      <c r="R92" s="195">
        <f t="shared" si="27"/>
        <v>1</v>
      </c>
      <c r="S92" s="160">
        <v>2</v>
      </c>
      <c r="T92" s="195">
        <f t="shared" si="18"/>
        <v>1</v>
      </c>
      <c r="U92" s="160">
        <v>2</v>
      </c>
      <c r="V92" s="195">
        <f t="shared" si="19"/>
        <v>1</v>
      </c>
      <c r="W92" s="153"/>
      <c r="X92" s="153">
        <f t="shared" si="20"/>
        <v>0</v>
      </c>
      <c r="Y92" s="153">
        <f t="shared" si="21"/>
        <v>4589.76</v>
      </c>
      <c r="Z92" s="153">
        <f t="shared" si="22"/>
        <v>4589.76</v>
      </c>
      <c r="AA92" s="153">
        <f t="shared" si="23"/>
        <v>4589.76</v>
      </c>
      <c r="AB92" s="153">
        <f t="shared" si="24"/>
        <v>4589.76</v>
      </c>
      <c r="AC92" s="153">
        <f t="shared" si="25"/>
        <v>4589.76</v>
      </c>
    </row>
    <row r="93" spans="1:29" ht="45" x14ac:dyDescent="0.25">
      <c r="A93" s="58">
        <v>52</v>
      </c>
      <c r="B93" s="57" t="s">
        <v>1232</v>
      </c>
      <c r="C93" s="150" t="s">
        <v>205</v>
      </c>
      <c r="D93" s="57" t="s">
        <v>18</v>
      </c>
      <c r="E93" s="160">
        <f>IFERROR(VLOOKUP(A93,Estimate!A:Q,17,FALSE)," ")</f>
        <v>1661.4</v>
      </c>
      <c r="F93" s="164">
        <v>1</v>
      </c>
      <c r="G93" s="164">
        <v>1</v>
      </c>
      <c r="H93" s="164">
        <v>2105.6999999999998</v>
      </c>
      <c r="I93" s="164">
        <v>2105.6999999999998</v>
      </c>
      <c r="J93" s="164">
        <v>2105.6999999999998</v>
      </c>
      <c r="L93" s="195">
        <f t="shared" si="26"/>
        <v>0</v>
      </c>
      <c r="M93" s="160">
        <v>1</v>
      </c>
      <c r="N93" s="195">
        <f t="shared" si="26"/>
        <v>1</v>
      </c>
      <c r="O93" s="160">
        <v>1</v>
      </c>
      <c r="P93" s="195">
        <f t="shared" si="27"/>
        <v>1</v>
      </c>
      <c r="Q93" s="160">
        <v>1</v>
      </c>
      <c r="R93" s="195">
        <f t="shared" si="27"/>
        <v>1</v>
      </c>
      <c r="S93" s="160">
        <v>1</v>
      </c>
      <c r="T93" s="195">
        <f t="shared" si="18"/>
        <v>1</v>
      </c>
      <c r="U93" s="160">
        <v>1</v>
      </c>
      <c r="V93" s="195">
        <f t="shared" si="19"/>
        <v>1</v>
      </c>
      <c r="W93" s="153"/>
      <c r="X93" s="153">
        <f t="shared" si="20"/>
        <v>0</v>
      </c>
      <c r="Y93" s="153">
        <f t="shared" si="21"/>
        <v>2105.6999999999998</v>
      </c>
      <c r="Z93" s="153">
        <f t="shared" si="22"/>
        <v>2105.6999999999998</v>
      </c>
      <c r="AA93" s="153">
        <f t="shared" si="23"/>
        <v>2105.6999999999998</v>
      </c>
      <c r="AB93" s="153">
        <f t="shared" si="24"/>
        <v>2105.6999999999998</v>
      </c>
      <c r="AC93" s="153">
        <f t="shared" si="25"/>
        <v>2105.6999999999998</v>
      </c>
    </row>
    <row r="94" spans="1:29" ht="60" x14ac:dyDescent="0.25">
      <c r="A94" s="58">
        <v>53</v>
      </c>
      <c r="B94" s="57" t="s">
        <v>1219</v>
      </c>
      <c r="C94" s="150" t="s">
        <v>207</v>
      </c>
      <c r="D94" s="57" t="s">
        <v>18</v>
      </c>
      <c r="E94" s="160">
        <f>IFERROR(VLOOKUP(A94,Estimate!A:Q,17,FALSE)," ")</f>
        <v>3372.6</v>
      </c>
      <c r="F94" s="164">
        <v>1</v>
      </c>
      <c r="G94" s="164">
        <v>1</v>
      </c>
      <c r="H94" s="164">
        <v>4275.38</v>
      </c>
      <c r="I94" s="164">
        <v>4275.38</v>
      </c>
      <c r="J94" s="164">
        <v>4275.38</v>
      </c>
      <c r="L94" s="195">
        <f t="shared" si="26"/>
        <v>0</v>
      </c>
      <c r="N94" s="195">
        <f t="shared" si="26"/>
        <v>0</v>
      </c>
      <c r="O94" s="160">
        <v>1</v>
      </c>
      <c r="P94" s="195">
        <f t="shared" si="27"/>
        <v>1</v>
      </c>
      <c r="Q94" s="160">
        <v>1</v>
      </c>
      <c r="R94" s="195">
        <f t="shared" si="27"/>
        <v>1</v>
      </c>
      <c r="S94" s="160">
        <v>1</v>
      </c>
      <c r="T94" s="195">
        <f t="shared" si="18"/>
        <v>1</v>
      </c>
      <c r="U94" s="160">
        <v>1</v>
      </c>
      <c r="V94" s="195">
        <f t="shared" si="19"/>
        <v>1</v>
      </c>
      <c r="W94" s="153"/>
      <c r="X94" s="153">
        <f t="shared" si="20"/>
        <v>0</v>
      </c>
      <c r="Y94" s="153">
        <f t="shared" si="21"/>
        <v>0</v>
      </c>
      <c r="Z94" s="153">
        <f t="shared" si="22"/>
        <v>4275.38</v>
      </c>
      <c r="AA94" s="153">
        <f t="shared" si="23"/>
        <v>4275.38</v>
      </c>
      <c r="AB94" s="153">
        <f t="shared" si="24"/>
        <v>4275.38</v>
      </c>
      <c r="AC94" s="153">
        <f t="shared" si="25"/>
        <v>4275.38</v>
      </c>
    </row>
    <row r="95" spans="1:29" x14ac:dyDescent="0.25">
      <c r="B95" s="57" t="s">
        <v>704</v>
      </c>
      <c r="C95" s="150" t="s">
        <v>682</v>
      </c>
      <c r="D95" s="57" t="s">
        <v>748</v>
      </c>
      <c r="E95" s="160" t="str">
        <f>IFERROR(VLOOKUP(A95,Estimate!A:Q,17,FALSE)," ")</f>
        <v xml:space="preserve"> </v>
      </c>
      <c r="F95" s="164" t="s">
        <v>682</v>
      </c>
      <c r="G95" s="164" t="s">
        <v>682</v>
      </c>
      <c r="H95" s="164" t="s">
        <v>682</v>
      </c>
      <c r="I95" s="164" t="s">
        <v>682</v>
      </c>
      <c r="J95" s="164" t="s">
        <v>682</v>
      </c>
      <c r="K95" s="160" t="s">
        <v>682</v>
      </c>
      <c r="L95" s="195" t="str">
        <f t="shared" si="26"/>
        <v xml:space="preserve"> </v>
      </c>
      <c r="M95" s="160" t="s">
        <v>682</v>
      </c>
      <c r="N95" s="195" t="str">
        <f t="shared" si="26"/>
        <v xml:space="preserve"> </v>
      </c>
      <c r="O95" s="160" t="s">
        <v>682</v>
      </c>
      <c r="P95" s="195" t="str">
        <f t="shared" si="27"/>
        <v xml:space="preserve"> </v>
      </c>
      <c r="Q95" s="160" t="s">
        <v>682</v>
      </c>
      <c r="R95" s="195" t="str">
        <f t="shared" si="27"/>
        <v xml:space="preserve"> </v>
      </c>
      <c r="S95" s="160" t="s">
        <v>682</v>
      </c>
      <c r="T95" s="195" t="str">
        <f t="shared" si="18"/>
        <v xml:space="preserve"> </v>
      </c>
      <c r="U95" s="160" t="s">
        <v>682</v>
      </c>
      <c r="V95" s="195" t="str">
        <f t="shared" si="19"/>
        <v xml:space="preserve"> </v>
      </c>
      <c r="W95" s="153"/>
      <c r="X95" s="153" t="str">
        <f t="shared" si="20"/>
        <v xml:space="preserve"> </v>
      </c>
      <c r="Y95" s="153" t="str">
        <f t="shared" si="21"/>
        <v xml:space="preserve"> </v>
      </c>
      <c r="Z95" s="153" t="str">
        <f t="shared" si="22"/>
        <v xml:space="preserve"> </v>
      </c>
      <c r="AA95" s="153" t="str">
        <f t="shared" si="23"/>
        <v xml:space="preserve"> </v>
      </c>
      <c r="AB95" s="153" t="str">
        <f t="shared" si="24"/>
        <v xml:space="preserve"> </v>
      </c>
      <c r="AC95" s="153" t="str">
        <f t="shared" si="25"/>
        <v xml:space="preserve"> </v>
      </c>
    </row>
    <row r="96" spans="1:29" ht="30" x14ac:dyDescent="0.25">
      <c r="B96" s="57">
        <v>4</v>
      </c>
      <c r="C96" s="150" t="s">
        <v>209</v>
      </c>
      <c r="D96" s="57" t="s">
        <v>748</v>
      </c>
      <c r="E96" s="160" t="str">
        <f>IFERROR(VLOOKUP(A96,Estimate!A:Q,17,FALSE)," ")</f>
        <v xml:space="preserve"> </v>
      </c>
      <c r="F96" s="164" t="s">
        <v>682</v>
      </c>
      <c r="G96" s="164" t="s">
        <v>682</v>
      </c>
      <c r="H96" s="164" t="s">
        <v>682</v>
      </c>
      <c r="I96" s="164" t="s">
        <v>682</v>
      </c>
      <c r="J96" s="164" t="s">
        <v>682</v>
      </c>
      <c r="K96" s="160" t="s">
        <v>682</v>
      </c>
      <c r="L96" s="195" t="str">
        <f t="shared" si="26"/>
        <v xml:space="preserve"> </v>
      </c>
      <c r="M96" s="160" t="s">
        <v>682</v>
      </c>
      <c r="N96" s="195" t="str">
        <f t="shared" si="26"/>
        <v xml:space="preserve"> </v>
      </c>
      <c r="O96" s="160" t="s">
        <v>682</v>
      </c>
      <c r="P96" s="195" t="str">
        <f t="shared" si="27"/>
        <v xml:space="preserve"> </v>
      </c>
      <c r="Q96" s="160" t="s">
        <v>682</v>
      </c>
      <c r="R96" s="195" t="str">
        <f t="shared" si="27"/>
        <v xml:space="preserve"> </v>
      </c>
      <c r="S96" s="160" t="s">
        <v>682</v>
      </c>
      <c r="T96" s="195" t="str">
        <f t="shared" si="18"/>
        <v xml:space="preserve"> </v>
      </c>
      <c r="U96" s="160" t="s">
        <v>682</v>
      </c>
      <c r="V96" s="195" t="str">
        <f t="shared" si="19"/>
        <v xml:space="preserve"> </v>
      </c>
      <c r="W96" s="153"/>
      <c r="X96" s="153" t="str">
        <f t="shared" si="20"/>
        <v xml:space="preserve"> </v>
      </c>
      <c r="Y96" s="153" t="str">
        <f t="shared" si="21"/>
        <v xml:space="preserve"> </v>
      </c>
      <c r="Z96" s="153" t="str">
        <f t="shared" si="22"/>
        <v xml:space="preserve"> </v>
      </c>
      <c r="AA96" s="153" t="str">
        <f t="shared" si="23"/>
        <v xml:space="preserve"> </v>
      </c>
      <c r="AB96" s="153" t="str">
        <f t="shared" si="24"/>
        <v xml:space="preserve"> </v>
      </c>
      <c r="AC96" s="153" t="str">
        <f t="shared" si="25"/>
        <v xml:space="preserve"> </v>
      </c>
    </row>
    <row r="97" spans="1:29" ht="45" x14ac:dyDescent="0.25">
      <c r="A97" s="58">
        <v>54</v>
      </c>
      <c r="B97" s="57" t="s">
        <v>1214</v>
      </c>
      <c r="C97" s="150" t="s">
        <v>1247</v>
      </c>
      <c r="D97" s="57" t="s">
        <v>32</v>
      </c>
      <c r="E97" s="160">
        <f>IFERROR(VLOOKUP(A97,Estimate!A:Q,17,FALSE)," ")</f>
        <v>2118.8739999999998</v>
      </c>
      <c r="F97" s="164">
        <v>1.22</v>
      </c>
      <c r="G97" s="164">
        <v>1.22</v>
      </c>
      <c r="H97" s="164">
        <v>2718.95</v>
      </c>
      <c r="I97" s="164">
        <v>3317.12</v>
      </c>
      <c r="J97" s="164">
        <v>3317.1190000000001</v>
      </c>
      <c r="K97" s="160">
        <v>1.22</v>
      </c>
      <c r="L97" s="195">
        <f t="shared" si="26"/>
        <v>1</v>
      </c>
      <c r="M97" s="160">
        <v>1.22</v>
      </c>
      <c r="N97" s="195">
        <f t="shared" si="26"/>
        <v>1</v>
      </c>
      <c r="O97" s="160">
        <v>1.22</v>
      </c>
      <c r="P97" s="195">
        <f t="shared" si="27"/>
        <v>1</v>
      </c>
      <c r="Q97" s="160">
        <v>1.22</v>
      </c>
      <c r="R97" s="195">
        <f t="shared" si="27"/>
        <v>1</v>
      </c>
      <c r="S97" s="160">
        <v>1.22</v>
      </c>
      <c r="T97" s="195">
        <f t="shared" si="18"/>
        <v>1</v>
      </c>
      <c r="U97" s="160">
        <v>1.22</v>
      </c>
      <c r="V97" s="195">
        <f t="shared" si="19"/>
        <v>1</v>
      </c>
      <c r="W97" s="153"/>
      <c r="X97" s="153">
        <f t="shared" si="20"/>
        <v>3317.1189999999997</v>
      </c>
      <c r="Y97" s="153">
        <f t="shared" si="21"/>
        <v>3317.1189999999997</v>
      </c>
      <c r="Z97" s="153">
        <f t="shared" si="22"/>
        <v>3317.1189999999997</v>
      </c>
      <c r="AA97" s="153">
        <f t="shared" si="23"/>
        <v>3317.1189999999997</v>
      </c>
      <c r="AB97" s="153">
        <f t="shared" si="24"/>
        <v>3317.1189999999997</v>
      </c>
      <c r="AC97" s="153">
        <f t="shared" si="25"/>
        <v>3317.1189999999997</v>
      </c>
    </row>
    <row r="98" spans="1:29" ht="30" x14ac:dyDescent="0.25">
      <c r="A98" s="58">
        <v>55</v>
      </c>
      <c r="B98" s="57" t="s">
        <v>1216</v>
      </c>
      <c r="C98" s="150" t="s">
        <v>212</v>
      </c>
      <c r="D98" s="57" t="s">
        <v>145</v>
      </c>
      <c r="E98" s="160">
        <f>IFERROR(VLOOKUP(A98,Estimate!A:Q,17,FALSE)," ")</f>
        <v>2338.85</v>
      </c>
      <c r="F98" s="164">
        <v>1</v>
      </c>
      <c r="G98" s="164">
        <v>1</v>
      </c>
      <c r="H98" s="164">
        <v>2964.92</v>
      </c>
      <c r="I98" s="164">
        <v>2964.92</v>
      </c>
      <c r="J98" s="164">
        <v>2964.92</v>
      </c>
      <c r="L98" s="195">
        <f t="shared" si="26"/>
        <v>0</v>
      </c>
      <c r="M98" s="160">
        <v>1</v>
      </c>
      <c r="N98" s="195">
        <f t="shared" si="26"/>
        <v>1</v>
      </c>
      <c r="O98" s="160">
        <v>1</v>
      </c>
      <c r="P98" s="195">
        <f t="shared" si="27"/>
        <v>1</v>
      </c>
      <c r="Q98" s="160">
        <v>1</v>
      </c>
      <c r="R98" s="195">
        <f t="shared" si="27"/>
        <v>1</v>
      </c>
      <c r="S98" s="160">
        <v>1</v>
      </c>
      <c r="T98" s="195">
        <f t="shared" si="18"/>
        <v>1</v>
      </c>
      <c r="U98" s="160">
        <v>1</v>
      </c>
      <c r="V98" s="195">
        <f t="shared" si="19"/>
        <v>1</v>
      </c>
      <c r="W98" s="153"/>
      <c r="X98" s="153">
        <f t="shared" si="20"/>
        <v>0</v>
      </c>
      <c r="Y98" s="153">
        <f t="shared" si="21"/>
        <v>2964.92</v>
      </c>
      <c r="Z98" s="153">
        <f t="shared" si="22"/>
        <v>2964.92</v>
      </c>
      <c r="AA98" s="153">
        <f t="shared" si="23"/>
        <v>2964.92</v>
      </c>
      <c r="AB98" s="153">
        <f t="shared" si="24"/>
        <v>2964.92</v>
      </c>
      <c r="AC98" s="153">
        <f t="shared" si="25"/>
        <v>2964.92</v>
      </c>
    </row>
    <row r="99" spans="1:29" x14ac:dyDescent="0.25">
      <c r="B99" s="57" t="s">
        <v>704</v>
      </c>
      <c r="C99" s="150" t="s">
        <v>682</v>
      </c>
      <c r="D99" s="57" t="s">
        <v>748</v>
      </c>
      <c r="E99" s="160" t="str">
        <f>IFERROR(VLOOKUP(A99,Estimate!A:Q,17,FALSE)," ")</f>
        <v xml:space="preserve"> </v>
      </c>
      <c r="F99" s="164" t="s">
        <v>682</v>
      </c>
      <c r="G99" s="164" t="s">
        <v>682</v>
      </c>
      <c r="H99" s="164" t="s">
        <v>682</v>
      </c>
      <c r="I99" s="164" t="s">
        <v>682</v>
      </c>
      <c r="J99" s="164" t="s">
        <v>682</v>
      </c>
      <c r="K99" s="160" t="s">
        <v>682</v>
      </c>
      <c r="L99" s="195" t="str">
        <f t="shared" si="26"/>
        <v xml:space="preserve"> </v>
      </c>
      <c r="M99" s="160" t="s">
        <v>682</v>
      </c>
      <c r="N99" s="195" t="str">
        <f t="shared" si="26"/>
        <v xml:space="preserve"> </v>
      </c>
      <c r="O99" s="160" t="s">
        <v>682</v>
      </c>
      <c r="P99" s="195" t="str">
        <f t="shared" si="27"/>
        <v xml:space="preserve"> </v>
      </c>
      <c r="Q99" s="160" t="s">
        <v>682</v>
      </c>
      <c r="R99" s="195" t="str">
        <f t="shared" si="27"/>
        <v xml:space="preserve"> </v>
      </c>
      <c r="S99" s="160" t="s">
        <v>682</v>
      </c>
      <c r="T99" s="195" t="str">
        <f t="shared" si="18"/>
        <v xml:space="preserve"> </v>
      </c>
      <c r="U99" s="160" t="s">
        <v>682</v>
      </c>
      <c r="V99" s="195" t="str">
        <f t="shared" si="19"/>
        <v xml:space="preserve"> </v>
      </c>
      <c r="W99" s="153"/>
      <c r="X99" s="153" t="str">
        <f t="shared" si="20"/>
        <v xml:space="preserve"> </v>
      </c>
      <c r="Y99" s="153" t="str">
        <f t="shared" si="21"/>
        <v xml:space="preserve"> </v>
      </c>
      <c r="Z99" s="153" t="str">
        <f t="shared" si="22"/>
        <v xml:space="preserve"> </v>
      </c>
      <c r="AA99" s="153" t="str">
        <f t="shared" si="23"/>
        <v xml:space="preserve"> </v>
      </c>
      <c r="AB99" s="153" t="str">
        <f t="shared" si="24"/>
        <v xml:space="preserve"> </v>
      </c>
      <c r="AC99" s="153" t="str">
        <f t="shared" si="25"/>
        <v xml:space="preserve"> </v>
      </c>
    </row>
    <row r="100" spans="1:29" ht="30" x14ac:dyDescent="0.25">
      <c r="B100" s="57">
        <v>5</v>
      </c>
      <c r="C100" s="150" t="s">
        <v>214</v>
      </c>
      <c r="D100" s="57" t="s">
        <v>748</v>
      </c>
      <c r="E100" s="160" t="str">
        <f>IFERROR(VLOOKUP(A100,Estimate!A:Q,17,FALSE)," ")</f>
        <v xml:space="preserve"> </v>
      </c>
      <c r="F100" s="164" t="s">
        <v>682</v>
      </c>
      <c r="G100" s="164" t="s">
        <v>682</v>
      </c>
      <c r="H100" s="164" t="s">
        <v>682</v>
      </c>
      <c r="I100" s="164" t="s">
        <v>682</v>
      </c>
      <c r="J100" s="164" t="s">
        <v>682</v>
      </c>
      <c r="K100" s="160" t="s">
        <v>682</v>
      </c>
      <c r="L100" s="195" t="str">
        <f t="shared" si="26"/>
        <v xml:space="preserve"> </v>
      </c>
      <c r="M100" s="160" t="s">
        <v>682</v>
      </c>
      <c r="N100" s="195" t="str">
        <f t="shared" si="26"/>
        <v xml:space="preserve"> </v>
      </c>
      <c r="O100" s="160" t="s">
        <v>682</v>
      </c>
      <c r="P100" s="195" t="str">
        <f t="shared" si="27"/>
        <v xml:space="preserve"> </v>
      </c>
      <c r="Q100" s="160" t="s">
        <v>682</v>
      </c>
      <c r="R100" s="195" t="str">
        <f t="shared" si="27"/>
        <v xml:space="preserve"> </v>
      </c>
      <c r="S100" s="160" t="s">
        <v>682</v>
      </c>
      <c r="T100" s="195" t="str">
        <f t="shared" si="18"/>
        <v xml:space="preserve"> </v>
      </c>
      <c r="U100" s="160" t="s">
        <v>682</v>
      </c>
      <c r="V100" s="195" t="str">
        <f t="shared" si="19"/>
        <v xml:space="preserve"> </v>
      </c>
      <c r="W100" s="153"/>
      <c r="X100" s="153" t="str">
        <f t="shared" si="20"/>
        <v xml:space="preserve"> </v>
      </c>
      <c r="Y100" s="153" t="str">
        <f t="shared" si="21"/>
        <v xml:space="preserve"> </v>
      </c>
      <c r="Z100" s="153" t="str">
        <f t="shared" si="22"/>
        <v xml:space="preserve"> </v>
      </c>
      <c r="AA100" s="153" t="str">
        <f t="shared" si="23"/>
        <v xml:space="preserve"> </v>
      </c>
      <c r="AB100" s="153" t="str">
        <f t="shared" si="24"/>
        <v xml:space="preserve"> </v>
      </c>
      <c r="AC100" s="153" t="str">
        <f t="shared" si="25"/>
        <v xml:space="preserve"> </v>
      </c>
    </row>
    <row r="101" spans="1:29" ht="45" x14ac:dyDescent="0.25">
      <c r="A101" s="58">
        <v>56</v>
      </c>
      <c r="B101" s="57" t="s">
        <v>1214</v>
      </c>
      <c r="C101" s="150" t="s">
        <v>1248</v>
      </c>
      <c r="D101" s="57" t="s">
        <v>32</v>
      </c>
      <c r="E101" s="160">
        <f>IFERROR(VLOOKUP(A101,Estimate!A:Q,17,FALSE)," ")</f>
        <v>2078.3919999999998</v>
      </c>
      <c r="F101" s="164">
        <v>1.22</v>
      </c>
      <c r="G101" s="164">
        <v>1.22</v>
      </c>
      <c r="H101" s="164">
        <v>2718.95</v>
      </c>
      <c r="I101" s="164">
        <v>3317.12</v>
      </c>
      <c r="J101" s="164">
        <v>3317.1190000000001</v>
      </c>
      <c r="K101" s="160">
        <v>1.22</v>
      </c>
      <c r="L101" s="195">
        <f t="shared" si="26"/>
        <v>1</v>
      </c>
      <c r="M101" s="160">
        <v>1.22</v>
      </c>
      <c r="N101" s="195">
        <f t="shared" si="26"/>
        <v>1</v>
      </c>
      <c r="O101" s="160">
        <v>1.22</v>
      </c>
      <c r="P101" s="195">
        <f t="shared" si="27"/>
        <v>1</v>
      </c>
      <c r="Q101" s="160">
        <v>1.22</v>
      </c>
      <c r="R101" s="195">
        <f t="shared" si="27"/>
        <v>1</v>
      </c>
      <c r="S101" s="160">
        <v>1.22</v>
      </c>
      <c r="T101" s="195">
        <f t="shared" si="18"/>
        <v>1</v>
      </c>
      <c r="U101" s="160">
        <v>1.22</v>
      </c>
      <c r="V101" s="195">
        <f t="shared" si="19"/>
        <v>1</v>
      </c>
      <c r="W101" s="153"/>
      <c r="X101" s="153">
        <f t="shared" si="20"/>
        <v>3317.1189999999997</v>
      </c>
      <c r="Y101" s="153">
        <f t="shared" si="21"/>
        <v>3317.1189999999997</v>
      </c>
      <c r="Z101" s="153">
        <f t="shared" si="22"/>
        <v>3317.1189999999997</v>
      </c>
      <c r="AA101" s="153">
        <f t="shared" si="23"/>
        <v>3317.1189999999997</v>
      </c>
      <c r="AB101" s="153">
        <f t="shared" si="24"/>
        <v>3317.1189999999997</v>
      </c>
      <c r="AC101" s="153">
        <f t="shared" si="25"/>
        <v>3317.1189999999997</v>
      </c>
    </row>
    <row r="102" spans="1:29" ht="30" x14ac:dyDescent="0.25">
      <c r="A102" s="58">
        <v>57</v>
      </c>
      <c r="B102" s="57" t="s">
        <v>1216</v>
      </c>
      <c r="C102" s="150" t="s">
        <v>179</v>
      </c>
      <c r="D102" s="57" t="s">
        <v>145</v>
      </c>
      <c r="E102" s="160">
        <f>IFERROR(VLOOKUP(A102,Estimate!A:Q,17,FALSE)," ")</f>
        <v>2338.85</v>
      </c>
      <c r="F102" s="164">
        <v>1</v>
      </c>
      <c r="G102" s="164">
        <v>1</v>
      </c>
      <c r="H102" s="164">
        <v>2964.92</v>
      </c>
      <c r="I102" s="164">
        <v>2964.92</v>
      </c>
      <c r="J102" s="164">
        <v>2964.92</v>
      </c>
      <c r="L102" s="195">
        <f t="shared" si="26"/>
        <v>0</v>
      </c>
      <c r="N102" s="195">
        <f t="shared" si="26"/>
        <v>0</v>
      </c>
      <c r="O102" s="160">
        <v>1</v>
      </c>
      <c r="P102" s="195">
        <f t="shared" si="27"/>
        <v>1</v>
      </c>
      <c r="Q102" s="160">
        <v>1</v>
      </c>
      <c r="R102" s="195">
        <f t="shared" si="27"/>
        <v>1</v>
      </c>
      <c r="S102" s="160">
        <v>1</v>
      </c>
      <c r="T102" s="195">
        <f t="shared" si="18"/>
        <v>1</v>
      </c>
      <c r="U102" s="160">
        <v>1</v>
      </c>
      <c r="V102" s="195">
        <f t="shared" si="19"/>
        <v>1</v>
      </c>
      <c r="W102" s="153"/>
      <c r="X102" s="153">
        <f t="shared" si="20"/>
        <v>0</v>
      </c>
      <c r="Y102" s="153">
        <f t="shared" si="21"/>
        <v>0</v>
      </c>
      <c r="Z102" s="153">
        <f t="shared" si="22"/>
        <v>2964.92</v>
      </c>
      <c r="AA102" s="153">
        <f t="shared" si="23"/>
        <v>2964.92</v>
      </c>
      <c r="AB102" s="153">
        <f t="shared" si="24"/>
        <v>2964.92</v>
      </c>
      <c r="AC102" s="153">
        <f t="shared" si="25"/>
        <v>2964.92</v>
      </c>
    </row>
    <row r="103" spans="1:29" x14ac:dyDescent="0.25">
      <c r="B103" s="57" t="s">
        <v>704</v>
      </c>
      <c r="C103" s="150" t="s">
        <v>682</v>
      </c>
      <c r="D103" s="57" t="s">
        <v>748</v>
      </c>
      <c r="E103" s="160" t="str">
        <f>IFERROR(VLOOKUP(A103,Estimate!A:Q,17,FALSE)," ")</f>
        <v xml:space="preserve"> </v>
      </c>
      <c r="F103" s="164" t="s">
        <v>682</v>
      </c>
      <c r="G103" s="164" t="s">
        <v>682</v>
      </c>
      <c r="H103" s="164" t="s">
        <v>682</v>
      </c>
      <c r="I103" s="164" t="s">
        <v>682</v>
      </c>
      <c r="J103" s="164" t="s">
        <v>682</v>
      </c>
      <c r="K103" s="160" t="s">
        <v>682</v>
      </c>
      <c r="L103" s="195" t="str">
        <f t="shared" ref="L103:N118" si="28">IFERROR(K103/$G103," ")</f>
        <v xml:space="preserve"> </v>
      </c>
      <c r="M103" s="160" t="s">
        <v>682</v>
      </c>
      <c r="N103" s="195" t="str">
        <f t="shared" si="28"/>
        <v xml:space="preserve"> </v>
      </c>
      <c r="O103" s="160" t="s">
        <v>682</v>
      </c>
      <c r="P103" s="195" t="str">
        <f t="shared" ref="P103:R118" si="29">IFERROR(O103/$G103," ")</f>
        <v xml:space="preserve"> </v>
      </c>
      <c r="Q103" s="160" t="s">
        <v>682</v>
      </c>
      <c r="R103" s="195" t="str">
        <f t="shared" si="29"/>
        <v xml:space="preserve"> </v>
      </c>
      <c r="S103" s="160" t="s">
        <v>682</v>
      </c>
      <c r="T103" s="195" t="str">
        <f t="shared" si="18"/>
        <v xml:space="preserve"> </v>
      </c>
      <c r="U103" s="160" t="s">
        <v>682</v>
      </c>
      <c r="V103" s="195" t="str">
        <f t="shared" si="19"/>
        <v xml:space="preserve"> </v>
      </c>
      <c r="W103" s="153"/>
      <c r="X103" s="153" t="str">
        <f t="shared" si="20"/>
        <v xml:space="preserve"> </v>
      </c>
      <c r="Y103" s="153" t="str">
        <f t="shared" si="21"/>
        <v xml:space="preserve"> </v>
      </c>
      <c r="Z103" s="153" t="str">
        <f t="shared" si="22"/>
        <v xml:space="preserve"> </v>
      </c>
      <c r="AA103" s="153" t="str">
        <f t="shared" si="23"/>
        <v xml:space="preserve"> </v>
      </c>
      <c r="AB103" s="153" t="str">
        <f t="shared" si="24"/>
        <v xml:space="preserve"> </v>
      </c>
      <c r="AC103" s="153" t="str">
        <f t="shared" si="25"/>
        <v xml:space="preserve"> </v>
      </c>
    </row>
    <row r="104" spans="1:29" ht="30" x14ac:dyDescent="0.25">
      <c r="B104" s="57">
        <v>6</v>
      </c>
      <c r="C104" s="150" t="s">
        <v>218</v>
      </c>
      <c r="D104" s="57" t="s">
        <v>748</v>
      </c>
      <c r="E104" s="160" t="str">
        <f>IFERROR(VLOOKUP(A104,Estimate!A:Q,17,FALSE)," ")</f>
        <v xml:space="preserve"> </v>
      </c>
      <c r="F104" s="164" t="s">
        <v>682</v>
      </c>
      <c r="G104" s="164" t="s">
        <v>682</v>
      </c>
      <c r="H104" s="164" t="s">
        <v>682</v>
      </c>
      <c r="I104" s="164" t="s">
        <v>682</v>
      </c>
      <c r="J104" s="164" t="s">
        <v>682</v>
      </c>
      <c r="K104" s="160" t="s">
        <v>682</v>
      </c>
      <c r="L104" s="195" t="str">
        <f t="shared" si="28"/>
        <v xml:space="preserve"> </v>
      </c>
      <c r="M104" s="160" t="s">
        <v>682</v>
      </c>
      <c r="N104" s="195" t="str">
        <f t="shared" si="28"/>
        <v xml:space="preserve"> </v>
      </c>
      <c r="O104" s="160" t="s">
        <v>682</v>
      </c>
      <c r="P104" s="195" t="str">
        <f t="shared" si="29"/>
        <v xml:space="preserve"> </v>
      </c>
      <c r="Q104" s="160" t="s">
        <v>682</v>
      </c>
      <c r="R104" s="195" t="str">
        <f t="shared" si="29"/>
        <v xml:space="preserve"> </v>
      </c>
      <c r="S104" s="160" t="s">
        <v>682</v>
      </c>
      <c r="T104" s="195" t="str">
        <f t="shared" si="18"/>
        <v xml:space="preserve"> </v>
      </c>
      <c r="U104" s="160" t="s">
        <v>682</v>
      </c>
      <c r="V104" s="195" t="str">
        <f t="shared" si="19"/>
        <v xml:space="preserve"> </v>
      </c>
      <c r="W104" s="153"/>
      <c r="X104" s="153" t="str">
        <f t="shared" si="20"/>
        <v xml:space="preserve"> </v>
      </c>
      <c r="Y104" s="153" t="str">
        <f t="shared" si="21"/>
        <v xml:space="preserve"> </v>
      </c>
      <c r="Z104" s="153" t="str">
        <f t="shared" si="22"/>
        <v xml:space="preserve"> </v>
      </c>
      <c r="AA104" s="153" t="str">
        <f t="shared" si="23"/>
        <v xml:space="preserve"> </v>
      </c>
      <c r="AB104" s="153" t="str">
        <f t="shared" si="24"/>
        <v xml:space="preserve"> </v>
      </c>
      <c r="AC104" s="153" t="str">
        <f t="shared" si="25"/>
        <v xml:space="preserve"> </v>
      </c>
    </row>
    <row r="105" spans="1:29" ht="45" x14ac:dyDescent="0.25">
      <c r="A105" s="58">
        <v>58</v>
      </c>
      <c r="B105" s="57" t="s">
        <v>1214</v>
      </c>
      <c r="C105" s="150" t="s">
        <v>1249</v>
      </c>
      <c r="D105" s="57" t="s">
        <v>32</v>
      </c>
      <c r="E105" s="160">
        <f>IFERROR(VLOOKUP(A105,Estimate!A:Q,17,FALSE)," ")</f>
        <v>1306.844623</v>
      </c>
      <c r="F105" s="164">
        <v>1.22</v>
      </c>
      <c r="G105" s="164">
        <v>1.22</v>
      </c>
      <c r="H105" s="164">
        <v>1689.56</v>
      </c>
      <c r="I105" s="164">
        <v>2061.2600000000002</v>
      </c>
      <c r="J105" s="164">
        <v>2061.2631999999999</v>
      </c>
      <c r="K105" s="160">
        <v>1.22</v>
      </c>
      <c r="L105" s="195">
        <f t="shared" si="28"/>
        <v>1</v>
      </c>
      <c r="M105" s="160">
        <v>1.22</v>
      </c>
      <c r="N105" s="195">
        <f t="shared" si="28"/>
        <v>1</v>
      </c>
      <c r="O105" s="160">
        <v>1.22</v>
      </c>
      <c r="P105" s="195">
        <f t="shared" si="29"/>
        <v>1</v>
      </c>
      <c r="Q105" s="160">
        <v>1.22</v>
      </c>
      <c r="R105" s="195">
        <f t="shared" si="29"/>
        <v>1</v>
      </c>
      <c r="S105" s="160">
        <v>1.22</v>
      </c>
      <c r="T105" s="195">
        <f t="shared" si="18"/>
        <v>1</v>
      </c>
      <c r="U105" s="160">
        <v>1.22</v>
      </c>
      <c r="V105" s="195">
        <f t="shared" si="19"/>
        <v>1</v>
      </c>
      <c r="W105" s="153"/>
      <c r="X105" s="153">
        <f t="shared" si="20"/>
        <v>2061.2631999999999</v>
      </c>
      <c r="Y105" s="153">
        <f t="shared" si="21"/>
        <v>2061.2631999999999</v>
      </c>
      <c r="Z105" s="153">
        <f t="shared" si="22"/>
        <v>2061.2631999999999</v>
      </c>
      <c r="AA105" s="153">
        <f t="shared" si="23"/>
        <v>2061.2631999999999</v>
      </c>
      <c r="AB105" s="153">
        <f t="shared" si="24"/>
        <v>2061.2631999999999</v>
      </c>
      <c r="AC105" s="153">
        <f t="shared" si="25"/>
        <v>2061.2631999999999</v>
      </c>
    </row>
    <row r="106" spans="1:29" ht="30" x14ac:dyDescent="0.25">
      <c r="A106" s="58">
        <v>59</v>
      </c>
      <c r="B106" s="57" t="s">
        <v>1216</v>
      </c>
      <c r="C106" s="150" t="s">
        <v>221</v>
      </c>
      <c r="D106" s="57" t="s">
        <v>145</v>
      </c>
      <c r="E106" s="160">
        <f>IFERROR(VLOOKUP(A106,Estimate!A:Q,17,FALSE)," ")</f>
        <v>1257.8</v>
      </c>
      <c r="F106" s="164">
        <v>1</v>
      </c>
      <c r="G106" s="164">
        <v>1</v>
      </c>
      <c r="H106" s="164">
        <v>1594.49</v>
      </c>
      <c r="I106" s="164">
        <v>1594.49</v>
      </c>
      <c r="J106" s="164">
        <v>1594.49</v>
      </c>
      <c r="L106" s="195">
        <f t="shared" si="28"/>
        <v>0</v>
      </c>
      <c r="M106" s="160">
        <v>1</v>
      </c>
      <c r="N106" s="195">
        <f t="shared" si="28"/>
        <v>1</v>
      </c>
      <c r="O106" s="160">
        <v>1</v>
      </c>
      <c r="P106" s="195">
        <f t="shared" si="29"/>
        <v>1</v>
      </c>
      <c r="Q106" s="160">
        <v>1</v>
      </c>
      <c r="R106" s="195">
        <f t="shared" si="29"/>
        <v>1</v>
      </c>
      <c r="S106" s="160">
        <v>1</v>
      </c>
      <c r="T106" s="195">
        <f t="shared" si="18"/>
        <v>1</v>
      </c>
      <c r="U106" s="160">
        <v>1</v>
      </c>
      <c r="V106" s="195">
        <f t="shared" si="19"/>
        <v>1</v>
      </c>
      <c r="W106" s="153"/>
      <c r="X106" s="153">
        <f t="shared" si="20"/>
        <v>0</v>
      </c>
      <c r="Y106" s="153">
        <f t="shared" si="21"/>
        <v>1594.49</v>
      </c>
      <c r="Z106" s="153">
        <f t="shared" si="22"/>
        <v>1594.49</v>
      </c>
      <c r="AA106" s="153">
        <f t="shared" si="23"/>
        <v>1594.49</v>
      </c>
      <c r="AB106" s="153">
        <f t="shared" si="24"/>
        <v>1594.49</v>
      </c>
      <c r="AC106" s="153">
        <f t="shared" si="25"/>
        <v>1594.49</v>
      </c>
    </row>
    <row r="107" spans="1:29" x14ac:dyDescent="0.25">
      <c r="B107" s="57" t="s">
        <v>704</v>
      </c>
      <c r="C107" s="150" t="s">
        <v>682</v>
      </c>
      <c r="D107" s="57" t="s">
        <v>748</v>
      </c>
      <c r="E107" s="160" t="str">
        <f>IFERROR(VLOOKUP(A107,Estimate!A:Q,17,FALSE)," ")</f>
        <v xml:space="preserve"> </v>
      </c>
      <c r="F107" s="164" t="s">
        <v>682</v>
      </c>
      <c r="G107" s="164" t="s">
        <v>682</v>
      </c>
      <c r="H107" s="164" t="s">
        <v>682</v>
      </c>
      <c r="I107" s="164" t="s">
        <v>682</v>
      </c>
      <c r="J107" s="164" t="s">
        <v>682</v>
      </c>
      <c r="K107" s="160" t="s">
        <v>682</v>
      </c>
      <c r="L107" s="195" t="str">
        <f t="shared" si="28"/>
        <v xml:space="preserve"> </v>
      </c>
      <c r="M107" s="160" t="s">
        <v>682</v>
      </c>
      <c r="N107" s="195" t="str">
        <f t="shared" si="28"/>
        <v xml:space="preserve"> </v>
      </c>
      <c r="O107" s="160" t="s">
        <v>682</v>
      </c>
      <c r="P107" s="195" t="str">
        <f t="shared" si="29"/>
        <v xml:space="preserve"> </v>
      </c>
      <c r="Q107" s="160" t="s">
        <v>682</v>
      </c>
      <c r="R107" s="195" t="str">
        <f t="shared" si="29"/>
        <v xml:space="preserve"> </v>
      </c>
      <c r="S107" s="160" t="s">
        <v>682</v>
      </c>
      <c r="T107" s="195" t="str">
        <f t="shared" si="18"/>
        <v xml:space="preserve"> </v>
      </c>
      <c r="U107" s="160" t="s">
        <v>682</v>
      </c>
      <c r="V107" s="195" t="str">
        <f t="shared" si="19"/>
        <v xml:space="preserve"> </v>
      </c>
      <c r="W107" s="153"/>
      <c r="X107" s="153" t="str">
        <f t="shared" si="20"/>
        <v xml:space="preserve"> </v>
      </c>
      <c r="Y107" s="153" t="str">
        <f t="shared" si="21"/>
        <v xml:space="preserve"> </v>
      </c>
      <c r="Z107" s="153" t="str">
        <f t="shared" si="22"/>
        <v xml:space="preserve"> </v>
      </c>
      <c r="AA107" s="153" t="str">
        <f t="shared" si="23"/>
        <v xml:space="preserve"> </v>
      </c>
      <c r="AB107" s="153" t="str">
        <f t="shared" si="24"/>
        <v xml:space="preserve"> </v>
      </c>
      <c r="AC107" s="153" t="str">
        <f t="shared" si="25"/>
        <v xml:space="preserve"> </v>
      </c>
    </row>
    <row r="108" spans="1:29" ht="30" x14ac:dyDescent="0.25">
      <c r="B108" s="57">
        <v>7</v>
      </c>
      <c r="C108" s="150" t="s">
        <v>223</v>
      </c>
      <c r="D108" s="57" t="s">
        <v>748</v>
      </c>
      <c r="E108" s="160" t="str">
        <f>IFERROR(VLOOKUP(A108,Estimate!A:Q,17,FALSE)," ")</f>
        <v xml:space="preserve"> </v>
      </c>
      <c r="F108" s="164" t="s">
        <v>682</v>
      </c>
      <c r="G108" s="164" t="s">
        <v>682</v>
      </c>
      <c r="H108" s="164" t="s">
        <v>682</v>
      </c>
      <c r="I108" s="164" t="s">
        <v>682</v>
      </c>
      <c r="J108" s="164" t="s">
        <v>682</v>
      </c>
      <c r="K108" s="160" t="s">
        <v>682</v>
      </c>
      <c r="L108" s="195" t="str">
        <f t="shared" si="28"/>
        <v xml:space="preserve"> </v>
      </c>
      <c r="M108" s="160" t="s">
        <v>682</v>
      </c>
      <c r="N108" s="195" t="str">
        <f t="shared" si="28"/>
        <v xml:space="preserve"> </v>
      </c>
      <c r="O108" s="160" t="s">
        <v>682</v>
      </c>
      <c r="P108" s="195" t="str">
        <f t="shared" si="29"/>
        <v xml:space="preserve"> </v>
      </c>
      <c r="Q108" s="160" t="s">
        <v>682</v>
      </c>
      <c r="R108" s="195" t="str">
        <f t="shared" si="29"/>
        <v xml:space="preserve"> </v>
      </c>
      <c r="S108" s="160" t="s">
        <v>682</v>
      </c>
      <c r="T108" s="195" t="str">
        <f t="shared" si="18"/>
        <v xml:space="preserve"> </v>
      </c>
      <c r="U108" s="160" t="s">
        <v>682</v>
      </c>
      <c r="V108" s="195" t="str">
        <f t="shared" si="19"/>
        <v xml:space="preserve"> </v>
      </c>
      <c r="W108" s="153"/>
      <c r="X108" s="153" t="str">
        <f t="shared" si="20"/>
        <v xml:space="preserve"> </v>
      </c>
      <c r="Y108" s="153" t="str">
        <f t="shared" si="21"/>
        <v xml:space="preserve"> </v>
      </c>
      <c r="Z108" s="153" t="str">
        <f t="shared" si="22"/>
        <v xml:space="preserve"> </v>
      </c>
      <c r="AA108" s="153" t="str">
        <f t="shared" si="23"/>
        <v xml:space="preserve"> </v>
      </c>
      <c r="AB108" s="153" t="str">
        <f t="shared" si="24"/>
        <v xml:space="preserve"> </v>
      </c>
      <c r="AC108" s="153" t="str">
        <f t="shared" si="25"/>
        <v xml:space="preserve"> </v>
      </c>
    </row>
    <row r="109" spans="1:29" ht="45" x14ac:dyDescent="0.25">
      <c r="A109" s="58">
        <v>60</v>
      </c>
      <c r="B109" s="57" t="s">
        <v>1214</v>
      </c>
      <c r="C109" s="150" t="s">
        <v>1250</v>
      </c>
      <c r="D109" s="57" t="s">
        <v>32</v>
      </c>
      <c r="E109" s="160">
        <f>IFERROR(VLOOKUP(A109,Estimate!A:Q,17,FALSE)," ")</f>
        <v>2147.6136978016934</v>
      </c>
      <c r="F109" s="164">
        <v>1.22</v>
      </c>
      <c r="G109" s="164">
        <v>1.22</v>
      </c>
      <c r="H109" s="164">
        <v>2720.94</v>
      </c>
      <c r="I109" s="164">
        <v>3319.55</v>
      </c>
      <c r="J109" s="164">
        <v>3319.5468000000001</v>
      </c>
      <c r="K109" s="160">
        <v>1.22</v>
      </c>
      <c r="L109" s="195">
        <f t="shared" si="28"/>
        <v>1</v>
      </c>
      <c r="M109" s="160">
        <v>1.22</v>
      </c>
      <c r="N109" s="195">
        <f t="shared" si="28"/>
        <v>1</v>
      </c>
      <c r="O109" s="160">
        <v>1.22</v>
      </c>
      <c r="P109" s="195">
        <f t="shared" si="29"/>
        <v>1</v>
      </c>
      <c r="Q109" s="160">
        <v>1.22</v>
      </c>
      <c r="R109" s="195">
        <f t="shared" si="29"/>
        <v>1</v>
      </c>
      <c r="S109" s="160">
        <v>1.22</v>
      </c>
      <c r="T109" s="195">
        <f t="shared" si="18"/>
        <v>1</v>
      </c>
      <c r="U109" s="160">
        <v>1.22</v>
      </c>
      <c r="V109" s="195">
        <f t="shared" si="19"/>
        <v>1</v>
      </c>
      <c r="W109" s="153"/>
      <c r="X109" s="153">
        <f t="shared" si="20"/>
        <v>3319.5468000000001</v>
      </c>
      <c r="Y109" s="153">
        <f t="shared" si="21"/>
        <v>3319.5468000000001</v>
      </c>
      <c r="Z109" s="153">
        <f t="shared" si="22"/>
        <v>3319.5468000000001</v>
      </c>
      <c r="AA109" s="153">
        <f t="shared" si="23"/>
        <v>3319.5468000000001</v>
      </c>
      <c r="AB109" s="153">
        <f t="shared" si="24"/>
        <v>3319.5468000000001</v>
      </c>
      <c r="AC109" s="153">
        <f t="shared" si="25"/>
        <v>3319.5468000000001</v>
      </c>
    </row>
    <row r="110" spans="1:29" ht="30" x14ac:dyDescent="0.25">
      <c r="A110" s="58">
        <v>61</v>
      </c>
      <c r="B110" s="57" t="s">
        <v>1216</v>
      </c>
      <c r="C110" s="150" t="s">
        <v>226</v>
      </c>
      <c r="D110" s="57" t="s">
        <v>145</v>
      </c>
      <c r="E110" s="160">
        <f>IFERROR(VLOOKUP(A110,Estimate!A:Q,17,FALSE)," ")</f>
        <v>2147.9749999999999</v>
      </c>
      <c r="F110" s="164">
        <v>1</v>
      </c>
      <c r="G110" s="164">
        <v>1</v>
      </c>
      <c r="H110" s="164">
        <v>2722.95</v>
      </c>
      <c r="I110" s="164">
        <v>2722.95</v>
      </c>
      <c r="J110" s="164">
        <v>2722.95</v>
      </c>
      <c r="L110" s="195">
        <f t="shared" si="28"/>
        <v>0</v>
      </c>
      <c r="M110" s="160">
        <v>1</v>
      </c>
      <c r="N110" s="195">
        <f t="shared" si="28"/>
        <v>1</v>
      </c>
      <c r="O110" s="160">
        <v>1</v>
      </c>
      <c r="P110" s="195">
        <f t="shared" si="29"/>
        <v>1</v>
      </c>
      <c r="Q110" s="160">
        <v>1</v>
      </c>
      <c r="R110" s="195">
        <f t="shared" si="29"/>
        <v>1</v>
      </c>
      <c r="S110" s="160">
        <v>1</v>
      </c>
      <c r="T110" s="195">
        <f t="shared" si="18"/>
        <v>1</v>
      </c>
      <c r="U110" s="160">
        <v>1</v>
      </c>
      <c r="V110" s="195">
        <f t="shared" si="19"/>
        <v>1</v>
      </c>
      <c r="W110" s="153"/>
      <c r="X110" s="153">
        <f t="shared" si="20"/>
        <v>0</v>
      </c>
      <c r="Y110" s="153">
        <f t="shared" si="21"/>
        <v>2722.95</v>
      </c>
      <c r="Z110" s="153">
        <f t="shared" si="22"/>
        <v>2722.95</v>
      </c>
      <c r="AA110" s="153">
        <f t="shared" si="23"/>
        <v>2722.95</v>
      </c>
      <c r="AB110" s="153">
        <f t="shared" si="24"/>
        <v>2722.95</v>
      </c>
      <c r="AC110" s="153">
        <f t="shared" si="25"/>
        <v>2722.95</v>
      </c>
    </row>
    <row r="111" spans="1:29" x14ac:dyDescent="0.25">
      <c r="B111" s="57" t="s">
        <v>704</v>
      </c>
      <c r="C111" s="150" t="s">
        <v>682</v>
      </c>
      <c r="D111" s="57" t="s">
        <v>748</v>
      </c>
      <c r="E111" s="160" t="str">
        <f>IFERROR(VLOOKUP(A111,Estimate!A:Q,17,FALSE)," ")</f>
        <v xml:space="preserve"> </v>
      </c>
      <c r="F111" s="164" t="s">
        <v>682</v>
      </c>
      <c r="G111" s="164" t="s">
        <v>682</v>
      </c>
      <c r="H111" s="164" t="s">
        <v>682</v>
      </c>
      <c r="I111" s="164" t="s">
        <v>682</v>
      </c>
      <c r="J111" s="164" t="s">
        <v>682</v>
      </c>
      <c r="K111" s="160" t="s">
        <v>682</v>
      </c>
      <c r="L111" s="195" t="str">
        <f t="shared" si="28"/>
        <v xml:space="preserve"> </v>
      </c>
      <c r="M111" s="160" t="s">
        <v>682</v>
      </c>
      <c r="N111" s="195" t="str">
        <f t="shared" si="28"/>
        <v xml:space="preserve"> </v>
      </c>
      <c r="O111" s="160" t="s">
        <v>682</v>
      </c>
      <c r="P111" s="195" t="str">
        <f t="shared" si="29"/>
        <v xml:space="preserve"> </v>
      </c>
      <c r="Q111" s="160" t="s">
        <v>682</v>
      </c>
      <c r="R111" s="195" t="str">
        <f t="shared" si="29"/>
        <v xml:space="preserve"> </v>
      </c>
      <c r="S111" s="160" t="s">
        <v>682</v>
      </c>
      <c r="T111" s="195" t="str">
        <f t="shared" si="18"/>
        <v xml:space="preserve"> </v>
      </c>
      <c r="U111" s="160" t="s">
        <v>682</v>
      </c>
      <c r="V111" s="195" t="str">
        <f t="shared" si="19"/>
        <v xml:space="preserve"> </v>
      </c>
      <c r="W111" s="153"/>
      <c r="X111" s="153" t="str">
        <f t="shared" si="20"/>
        <v xml:space="preserve"> </v>
      </c>
      <c r="Y111" s="153" t="str">
        <f t="shared" si="21"/>
        <v xml:space="preserve"> </v>
      </c>
      <c r="Z111" s="153" t="str">
        <f t="shared" si="22"/>
        <v xml:space="preserve"> </v>
      </c>
      <c r="AA111" s="153" t="str">
        <f t="shared" si="23"/>
        <v xml:space="preserve"> </v>
      </c>
      <c r="AB111" s="153" t="str">
        <f t="shared" si="24"/>
        <v xml:space="preserve"> </v>
      </c>
      <c r="AC111" s="153" t="str">
        <f t="shared" si="25"/>
        <v xml:space="preserve"> </v>
      </c>
    </row>
    <row r="112" spans="1:29" ht="30" x14ac:dyDescent="0.25">
      <c r="B112" s="57">
        <v>8</v>
      </c>
      <c r="C112" s="150" t="s">
        <v>228</v>
      </c>
      <c r="D112" s="57" t="s">
        <v>748</v>
      </c>
      <c r="E112" s="160" t="str">
        <f>IFERROR(VLOOKUP(A112,Estimate!A:Q,17,FALSE)," ")</f>
        <v xml:space="preserve"> </v>
      </c>
      <c r="F112" s="164" t="s">
        <v>682</v>
      </c>
      <c r="G112" s="164" t="s">
        <v>682</v>
      </c>
      <c r="H112" s="164" t="s">
        <v>682</v>
      </c>
      <c r="I112" s="164" t="s">
        <v>682</v>
      </c>
      <c r="J112" s="164" t="s">
        <v>682</v>
      </c>
      <c r="K112" s="160" t="s">
        <v>682</v>
      </c>
      <c r="L112" s="195" t="str">
        <f t="shared" si="28"/>
        <v xml:space="preserve"> </v>
      </c>
      <c r="M112" s="160" t="s">
        <v>682</v>
      </c>
      <c r="N112" s="195" t="str">
        <f t="shared" si="28"/>
        <v xml:space="preserve"> </v>
      </c>
      <c r="O112" s="160" t="s">
        <v>682</v>
      </c>
      <c r="P112" s="195" t="str">
        <f t="shared" si="29"/>
        <v xml:space="preserve"> </v>
      </c>
      <c r="Q112" s="160" t="s">
        <v>682</v>
      </c>
      <c r="R112" s="195" t="str">
        <f t="shared" si="29"/>
        <v xml:space="preserve"> </v>
      </c>
      <c r="S112" s="160" t="s">
        <v>682</v>
      </c>
      <c r="T112" s="195" t="str">
        <f t="shared" si="18"/>
        <v xml:space="preserve"> </v>
      </c>
      <c r="U112" s="160" t="s">
        <v>682</v>
      </c>
      <c r="V112" s="195" t="str">
        <f t="shared" si="19"/>
        <v xml:space="preserve"> </v>
      </c>
      <c r="W112" s="153"/>
      <c r="X112" s="153" t="str">
        <f t="shared" si="20"/>
        <v xml:space="preserve"> </v>
      </c>
      <c r="Y112" s="153" t="str">
        <f t="shared" si="21"/>
        <v xml:space="preserve"> </v>
      </c>
      <c r="Z112" s="153" t="str">
        <f t="shared" si="22"/>
        <v xml:space="preserve"> </v>
      </c>
      <c r="AA112" s="153" t="str">
        <f t="shared" si="23"/>
        <v xml:space="preserve"> </v>
      </c>
      <c r="AB112" s="153" t="str">
        <f t="shared" si="24"/>
        <v xml:space="preserve"> </v>
      </c>
      <c r="AC112" s="153" t="str">
        <f t="shared" si="25"/>
        <v xml:space="preserve"> </v>
      </c>
    </row>
    <row r="113" spans="1:29" ht="45" x14ac:dyDescent="0.25">
      <c r="A113" s="58">
        <v>62</v>
      </c>
      <c r="B113" s="57" t="s">
        <v>1214</v>
      </c>
      <c r="C113" s="150" t="s">
        <v>1251</v>
      </c>
      <c r="D113" s="57" t="s">
        <v>32</v>
      </c>
      <c r="E113" s="160">
        <f>IFERROR(VLOOKUP(A113,Estimate!A:Q,17,FALSE)," ")</f>
        <v>3398.3133546149611</v>
      </c>
      <c r="F113" s="164">
        <v>1.22</v>
      </c>
      <c r="G113" s="164">
        <v>1.22</v>
      </c>
      <c r="H113" s="164">
        <v>3999.15</v>
      </c>
      <c r="I113" s="164">
        <v>4878.96</v>
      </c>
      <c r="J113" s="164">
        <v>4878.9629999999997</v>
      </c>
      <c r="K113" s="160">
        <v>1.22</v>
      </c>
      <c r="L113" s="195">
        <f t="shared" si="28"/>
        <v>1</v>
      </c>
      <c r="M113" s="160">
        <v>1.22</v>
      </c>
      <c r="N113" s="195">
        <f t="shared" si="28"/>
        <v>1</v>
      </c>
      <c r="O113" s="160">
        <v>1.22</v>
      </c>
      <c r="P113" s="195">
        <f t="shared" si="29"/>
        <v>1</v>
      </c>
      <c r="Q113" s="160">
        <v>1.22</v>
      </c>
      <c r="R113" s="195">
        <f t="shared" si="29"/>
        <v>1</v>
      </c>
      <c r="S113" s="160">
        <v>1.22</v>
      </c>
      <c r="T113" s="195">
        <f t="shared" si="18"/>
        <v>1</v>
      </c>
      <c r="U113" s="160">
        <v>1.22</v>
      </c>
      <c r="V113" s="195">
        <f t="shared" si="19"/>
        <v>1</v>
      </c>
      <c r="W113" s="153"/>
      <c r="X113" s="153">
        <f t="shared" si="20"/>
        <v>4878.9629999999997</v>
      </c>
      <c r="Y113" s="153">
        <f t="shared" si="21"/>
        <v>4878.9629999999997</v>
      </c>
      <c r="Z113" s="153">
        <f t="shared" si="22"/>
        <v>4878.9629999999997</v>
      </c>
      <c r="AA113" s="153">
        <f t="shared" si="23"/>
        <v>4878.9629999999997</v>
      </c>
      <c r="AB113" s="153">
        <f t="shared" si="24"/>
        <v>4878.9629999999997</v>
      </c>
      <c r="AC113" s="153">
        <f t="shared" si="25"/>
        <v>4878.9629999999997</v>
      </c>
    </row>
    <row r="114" spans="1:29" ht="30" x14ac:dyDescent="0.25">
      <c r="A114" s="58">
        <v>63</v>
      </c>
      <c r="B114" s="57" t="s">
        <v>1216</v>
      </c>
      <c r="C114" s="150" t="s">
        <v>231</v>
      </c>
      <c r="D114" s="57" t="s">
        <v>145</v>
      </c>
      <c r="E114" s="160">
        <f>IFERROR(VLOOKUP(A114,Estimate!A:Q,17,FALSE)," ")</f>
        <v>4019.8999999999996</v>
      </c>
      <c r="F114" s="164">
        <v>1</v>
      </c>
      <c r="G114" s="164">
        <v>1</v>
      </c>
      <c r="H114" s="164">
        <v>5093.34</v>
      </c>
      <c r="I114" s="164">
        <v>5093.34</v>
      </c>
      <c r="J114" s="164">
        <v>5093.34</v>
      </c>
      <c r="L114" s="195">
        <f t="shared" si="28"/>
        <v>0</v>
      </c>
      <c r="N114" s="195">
        <f t="shared" si="28"/>
        <v>0</v>
      </c>
      <c r="O114" s="160">
        <v>1</v>
      </c>
      <c r="P114" s="195">
        <f t="shared" si="29"/>
        <v>1</v>
      </c>
      <c r="Q114" s="160">
        <v>1</v>
      </c>
      <c r="R114" s="195">
        <f t="shared" si="29"/>
        <v>1</v>
      </c>
      <c r="S114" s="160">
        <v>1</v>
      </c>
      <c r="T114" s="195">
        <f t="shared" si="18"/>
        <v>1</v>
      </c>
      <c r="U114" s="160">
        <v>1</v>
      </c>
      <c r="V114" s="195">
        <f t="shared" si="19"/>
        <v>1</v>
      </c>
      <c r="W114" s="153"/>
      <c r="X114" s="153">
        <f t="shared" si="20"/>
        <v>0</v>
      </c>
      <c r="Y114" s="153">
        <f t="shared" si="21"/>
        <v>0</v>
      </c>
      <c r="Z114" s="153">
        <f t="shared" si="22"/>
        <v>5093.34</v>
      </c>
      <c r="AA114" s="153">
        <f t="shared" si="23"/>
        <v>5093.34</v>
      </c>
      <c r="AB114" s="153">
        <f t="shared" si="24"/>
        <v>5093.34</v>
      </c>
      <c r="AC114" s="153">
        <f t="shared" si="25"/>
        <v>5093.34</v>
      </c>
    </row>
    <row r="115" spans="1:29" x14ac:dyDescent="0.25">
      <c r="B115" s="57" t="s">
        <v>704</v>
      </c>
      <c r="C115" s="150" t="s">
        <v>682</v>
      </c>
      <c r="D115" s="57" t="s">
        <v>748</v>
      </c>
      <c r="E115" s="160" t="str">
        <f>IFERROR(VLOOKUP(A115,Estimate!A:Q,17,FALSE)," ")</f>
        <v xml:space="preserve"> </v>
      </c>
      <c r="F115" s="164" t="s">
        <v>682</v>
      </c>
      <c r="G115" s="164" t="s">
        <v>682</v>
      </c>
      <c r="H115" s="164" t="s">
        <v>682</v>
      </c>
      <c r="I115" s="164" t="s">
        <v>682</v>
      </c>
      <c r="J115" s="164" t="s">
        <v>682</v>
      </c>
      <c r="K115" s="160" t="s">
        <v>682</v>
      </c>
      <c r="L115" s="195" t="str">
        <f t="shared" si="28"/>
        <v xml:space="preserve"> </v>
      </c>
      <c r="M115" s="160" t="s">
        <v>682</v>
      </c>
      <c r="N115" s="195" t="str">
        <f t="shared" si="28"/>
        <v xml:space="preserve"> </v>
      </c>
      <c r="O115" s="160" t="s">
        <v>682</v>
      </c>
      <c r="P115" s="195" t="str">
        <f t="shared" si="29"/>
        <v xml:space="preserve"> </v>
      </c>
      <c r="Q115" s="160" t="s">
        <v>682</v>
      </c>
      <c r="R115" s="195" t="str">
        <f t="shared" si="29"/>
        <v xml:space="preserve"> </v>
      </c>
      <c r="S115" s="160" t="s">
        <v>682</v>
      </c>
      <c r="T115" s="195" t="str">
        <f t="shared" si="18"/>
        <v xml:space="preserve"> </v>
      </c>
      <c r="U115" s="160" t="s">
        <v>682</v>
      </c>
      <c r="V115" s="195" t="str">
        <f t="shared" si="19"/>
        <v xml:space="preserve"> </v>
      </c>
      <c r="W115" s="153"/>
      <c r="X115" s="153" t="str">
        <f t="shared" si="20"/>
        <v xml:space="preserve"> </v>
      </c>
      <c r="Y115" s="153" t="str">
        <f t="shared" si="21"/>
        <v xml:space="preserve"> </v>
      </c>
      <c r="Z115" s="153" t="str">
        <f t="shared" si="22"/>
        <v xml:space="preserve"> </v>
      </c>
      <c r="AA115" s="153" t="str">
        <f t="shared" si="23"/>
        <v xml:space="preserve"> </v>
      </c>
      <c r="AB115" s="153" t="str">
        <f t="shared" si="24"/>
        <v xml:space="preserve"> </v>
      </c>
      <c r="AC115" s="153" t="str">
        <f t="shared" si="25"/>
        <v xml:space="preserve"> </v>
      </c>
    </row>
    <row r="116" spans="1:29" ht="30" x14ac:dyDescent="0.25">
      <c r="B116" s="57">
        <v>9</v>
      </c>
      <c r="C116" s="150" t="s">
        <v>233</v>
      </c>
      <c r="D116" s="57" t="s">
        <v>748</v>
      </c>
      <c r="E116" s="160" t="str">
        <f>IFERROR(VLOOKUP(A116,Estimate!A:Q,17,FALSE)," ")</f>
        <v xml:space="preserve"> </v>
      </c>
      <c r="F116" s="164" t="s">
        <v>682</v>
      </c>
      <c r="G116" s="164" t="s">
        <v>682</v>
      </c>
      <c r="H116" s="164" t="s">
        <v>682</v>
      </c>
      <c r="I116" s="164" t="s">
        <v>682</v>
      </c>
      <c r="J116" s="164" t="s">
        <v>682</v>
      </c>
      <c r="K116" s="160" t="s">
        <v>682</v>
      </c>
      <c r="L116" s="195" t="str">
        <f t="shared" si="28"/>
        <v xml:space="preserve"> </v>
      </c>
      <c r="M116" s="160" t="s">
        <v>682</v>
      </c>
      <c r="N116" s="195" t="str">
        <f t="shared" si="28"/>
        <v xml:space="preserve"> </v>
      </c>
      <c r="O116" s="160" t="s">
        <v>682</v>
      </c>
      <c r="P116" s="195" t="str">
        <f t="shared" si="29"/>
        <v xml:space="preserve"> </v>
      </c>
      <c r="Q116" s="160" t="s">
        <v>682</v>
      </c>
      <c r="R116" s="195" t="str">
        <f t="shared" si="29"/>
        <v xml:space="preserve"> </v>
      </c>
      <c r="S116" s="160" t="s">
        <v>682</v>
      </c>
      <c r="T116" s="195" t="str">
        <f t="shared" si="18"/>
        <v xml:space="preserve"> </v>
      </c>
      <c r="U116" s="160" t="s">
        <v>682</v>
      </c>
      <c r="V116" s="195" t="str">
        <f t="shared" si="19"/>
        <v xml:space="preserve"> </v>
      </c>
      <c r="W116" s="153"/>
      <c r="X116" s="153" t="str">
        <f t="shared" si="20"/>
        <v xml:space="preserve"> </v>
      </c>
      <c r="Y116" s="153" t="str">
        <f t="shared" si="21"/>
        <v xml:space="preserve"> </v>
      </c>
      <c r="Z116" s="153" t="str">
        <f t="shared" si="22"/>
        <v xml:space="preserve"> </v>
      </c>
      <c r="AA116" s="153" t="str">
        <f t="shared" si="23"/>
        <v xml:space="preserve"> </v>
      </c>
      <c r="AB116" s="153" t="str">
        <f t="shared" si="24"/>
        <v xml:space="preserve"> </v>
      </c>
      <c r="AC116" s="153" t="str">
        <f t="shared" si="25"/>
        <v xml:space="preserve"> </v>
      </c>
    </row>
    <row r="117" spans="1:29" ht="45" x14ac:dyDescent="0.25">
      <c r="A117" s="58">
        <v>64</v>
      </c>
      <c r="B117" s="57" t="s">
        <v>1214</v>
      </c>
      <c r="C117" s="150" t="s">
        <v>1249</v>
      </c>
      <c r="D117" s="57" t="s">
        <v>32</v>
      </c>
      <c r="E117" s="160">
        <f>IFERROR(VLOOKUP(A117,Estimate!A:Q,17,FALSE)," ")</f>
        <v>1332.794623</v>
      </c>
      <c r="F117" s="164">
        <v>1.22</v>
      </c>
      <c r="G117" s="164">
        <v>1.22</v>
      </c>
      <c r="H117" s="164">
        <v>1689.56</v>
      </c>
      <c r="I117" s="164">
        <v>2061.2600000000002</v>
      </c>
      <c r="J117" s="164">
        <v>2061.2631999999999</v>
      </c>
      <c r="K117" s="160">
        <v>1.22</v>
      </c>
      <c r="L117" s="195">
        <f t="shared" si="28"/>
        <v>1</v>
      </c>
      <c r="M117" s="160">
        <v>1.22</v>
      </c>
      <c r="N117" s="195">
        <f t="shared" si="28"/>
        <v>1</v>
      </c>
      <c r="O117" s="160">
        <v>1.22</v>
      </c>
      <c r="P117" s="195">
        <f t="shared" si="29"/>
        <v>1</v>
      </c>
      <c r="Q117" s="160">
        <v>1.22</v>
      </c>
      <c r="R117" s="195">
        <f t="shared" si="29"/>
        <v>1</v>
      </c>
      <c r="S117" s="160">
        <v>1.22</v>
      </c>
      <c r="T117" s="195">
        <f t="shared" si="18"/>
        <v>1</v>
      </c>
      <c r="U117" s="160">
        <v>1.22</v>
      </c>
      <c r="V117" s="195">
        <f t="shared" si="19"/>
        <v>1</v>
      </c>
      <c r="W117" s="153"/>
      <c r="X117" s="153">
        <f t="shared" si="20"/>
        <v>2061.2631999999999</v>
      </c>
      <c r="Y117" s="153">
        <f t="shared" si="21"/>
        <v>2061.2631999999999</v>
      </c>
      <c r="Z117" s="153">
        <f t="shared" si="22"/>
        <v>2061.2631999999999</v>
      </c>
      <c r="AA117" s="153">
        <f t="shared" si="23"/>
        <v>2061.2631999999999</v>
      </c>
      <c r="AB117" s="153">
        <f t="shared" si="24"/>
        <v>2061.2631999999999</v>
      </c>
      <c r="AC117" s="153">
        <f t="shared" si="25"/>
        <v>2061.2631999999999</v>
      </c>
    </row>
    <row r="118" spans="1:29" ht="30" x14ac:dyDescent="0.25">
      <c r="A118" s="58">
        <v>65</v>
      </c>
      <c r="B118" s="57" t="s">
        <v>1216</v>
      </c>
      <c r="C118" s="150" t="s">
        <v>236</v>
      </c>
      <c r="D118" s="57" t="s">
        <v>145</v>
      </c>
      <c r="E118" s="160">
        <f>IFERROR(VLOOKUP(A118,Estimate!A:Q,17,FALSE)," ")</f>
        <v>892.8</v>
      </c>
      <c r="F118" s="164">
        <v>1</v>
      </c>
      <c r="G118" s="164">
        <v>1</v>
      </c>
      <c r="H118" s="164">
        <v>1594.49</v>
      </c>
      <c r="I118" s="164">
        <v>1594.49</v>
      </c>
      <c r="J118" s="164">
        <v>1594.49</v>
      </c>
      <c r="L118" s="195">
        <f t="shared" si="28"/>
        <v>0</v>
      </c>
      <c r="M118" s="160">
        <v>1</v>
      </c>
      <c r="N118" s="195">
        <f t="shared" si="28"/>
        <v>1</v>
      </c>
      <c r="O118" s="160">
        <v>1</v>
      </c>
      <c r="P118" s="195">
        <f t="shared" si="29"/>
        <v>1</v>
      </c>
      <c r="Q118" s="160">
        <v>1</v>
      </c>
      <c r="R118" s="195">
        <f t="shared" si="29"/>
        <v>1</v>
      </c>
      <c r="S118" s="160">
        <v>1</v>
      </c>
      <c r="T118" s="195">
        <f t="shared" si="18"/>
        <v>1</v>
      </c>
      <c r="U118" s="160">
        <v>1</v>
      </c>
      <c r="V118" s="195">
        <f t="shared" si="19"/>
        <v>1</v>
      </c>
      <c r="W118" s="153"/>
      <c r="X118" s="153">
        <f t="shared" si="20"/>
        <v>0</v>
      </c>
      <c r="Y118" s="153">
        <f t="shared" si="21"/>
        <v>1594.49</v>
      </c>
      <c r="Z118" s="153">
        <f t="shared" si="22"/>
        <v>1594.49</v>
      </c>
      <c r="AA118" s="153">
        <f t="shared" si="23"/>
        <v>1594.49</v>
      </c>
      <c r="AB118" s="153">
        <f t="shared" si="24"/>
        <v>1594.49</v>
      </c>
      <c r="AC118" s="153">
        <f t="shared" si="25"/>
        <v>1594.49</v>
      </c>
    </row>
    <row r="119" spans="1:29" x14ac:dyDescent="0.25">
      <c r="B119" s="57" t="s">
        <v>704</v>
      </c>
      <c r="C119" s="150" t="s">
        <v>682</v>
      </c>
      <c r="D119" s="57" t="s">
        <v>748</v>
      </c>
      <c r="E119" s="160" t="str">
        <f>IFERROR(VLOOKUP(A119,Estimate!A:Q,17,FALSE)," ")</f>
        <v xml:space="preserve"> </v>
      </c>
      <c r="F119" s="164" t="s">
        <v>682</v>
      </c>
      <c r="G119" s="164" t="s">
        <v>682</v>
      </c>
      <c r="H119" s="164" t="s">
        <v>682</v>
      </c>
      <c r="I119" s="164" t="s">
        <v>682</v>
      </c>
      <c r="J119" s="164" t="s">
        <v>682</v>
      </c>
      <c r="K119" s="160" t="s">
        <v>682</v>
      </c>
      <c r="L119" s="195" t="str">
        <f t="shared" ref="L119:N134" si="30">IFERROR(K119/$G119," ")</f>
        <v xml:space="preserve"> </v>
      </c>
      <c r="M119" s="160" t="s">
        <v>682</v>
      </c>
      <c r="N119" s="195" t="str">
        <f t="shared" si="30"/>
        <v xml:space="preserve"> </v>
      </c>
      <c r="O119" s="160" t="s">
        <v>682</v>
      </c>
      <c r="P119" s="195" t="str">
        <f t="shared" ref="P119:R134" si="31">IFERROR(O119/$G119," ")</f>
        <v xml:space="preserve"> </v>
      </c>
      <c r="Q119" s="160" t="s">
        <v>682</v>
      </c>
      <c r="R119" s="195" t="str">
        <f t="shared" si="31"/>
        <v xml:space="preserve"> </v>
      </c>
      <c r="S119" s="160" t="s">
        <v>682</v>
      </c>
      <c r="T119" s="195" t="str">
        <f t="shared" si="18"/>
        <v xml:space="preserve"> </v>
      </c>
      <c r="U119" s="160" t="s">
        <v>682</v>
      </c>
      <c r="V119" s="195" t="str">
        <f t="shared" si="19"/>
        <v xml:space="preserve"> </v>
      </c>
      <c r="W119" s="153"/>
      <c r="X119" s="153" t="str">
        <f t="shared" si="20"/>
        <v xml:space="preserve"> </v>
      </c>
      <c r="Y119" s="153" t="str">
        <f t="shared" si="21"/>
        <v xml:space="preserve"> </v>
      </c>
      <c r="Z119" s="153" t="str">
        <f t="shared" si="22"/>
        <v xml:space="preserve"> </v>
      </c>
      <c r="AA119" s="153" t="str">
        <f t="shared" si="23"/>
        <v xml:space="preserve"> </v>
      </c>
      <c r="AB119" s="153" t="str">
        <f t="shared" si="24"/>
        <v xml:space="preserve"> </v>
      </c>
      <c r="AC119" s="153" t="str">
        <f t="shared" si="25"/>
        <v xml:space="preserve"> </v>
      </c>
    </row>
    <row r="120" spans="1:29" ht="30" x14ac:dyDescent="0.25">
      <c r="B120" s="57">
        <v>10</v>
      </c>
      <c r="C120" s="150" t="s">
        <v>238</v>
      </c>
      <c r="D120" s="57" t="s">
        <v>748</v>
      </c>
      <c r="E120" s="160" t="str">
        <f>IFERROR(VLOOKUP(A120,Estimate!A:Q,17,FALSE)," ")</f>
        <v xml:space="preserve"> </v>
      </c>
      <c r="F120" s="164" t="s">
        <v>682</v>
      </c>
      <c r="G120" s="164" t="s">
        <v>682</v>
      </c>
      <c r="H120" s="164" t="s">
        <v>682</v>
      </c>
      <c r="I120" s="164" t="s">
        <v>682</v>
      </c>
      <c r="J120" s="164" t="s">
        <v>682</v>
      </c>
      <c r="K120" s="160" t="s">
        <v>682</v>
      </c>
      <c r="L120" s="195" t="str">
        <f t="shared" si="30"/>
        <v xml:space="preserve"> </v>
      </c>
      <c r="M120" s="160" t="s">
        <v>682</v>
      </c>
      <c r="N120" s="195" t="str">
        <f t="shared" si="30"/>
        <v xml:space="preserve"> </v>
      </c>
      <c r="O120" s="160" t="s">
        <v>682</v>
      </c>
      <c r="P120" s="195" t="str">
        <f t="shared" si="31"/>
        <v xml:space="preserve"> </v>
      </c>
      <c r="Q120" s="160" t="s">
        <v>682</v>
      </c>
      <c r="R120" s="195" t="str">
        <f t="shared" si="31"/>
        <v xml:space="preserve"> </v>
      </c>
      <c r="S120" s="160" t="s">
        <v>682</v>
      </c>
      <c r="T120" s="195" t="str">
        <f t="shared" si="18"/>
        <v xml:space="preserve"> </v>
      </c>
      <c r="U120" s="160" t="s">
        <v>682</v>
      </c>
      <c r="V120" s="195" t="str">
        <f t="shared" si="19"/>
        <v xml:space="preserve"> </v>
      </c>
      <c r="W120" s="153"/>
      <c r="X120" s="153" t="str">
        <f t="shared" si="20"/>
        <v xml:space="preserve"> </v>
      </c>
      <c r="Y120" s="153" t="str">
        <f t="shared" si="21"/>
        <v xml:space="preserve"> </v>
      </c>
      <c r="Z120" s="153" t="str">
        <f t="shared" si="22"/>
        <v xml:space="preserve"> </v>
      </c>
      <c r="AA120" s="153" t="str">
        <f t="shared" si="23"/>
        <v xml:space="preserve"> </v>
      </c>
      <c r="AB120" s="153" t="str">
        <f t="shared" si="24"/>
        <v xml:space="preserve"> </v>
      </c>
      <c r="AC120" s="153" t="str">
        <f t="shared" si="25"/>
        <v xml:space="preserve"> </v>
      </c>
    </row>
    <row r="121" spans="1:29" ht="45" x14ac:dyDescent="0.25">
      <c r="A121" s="58">
        <v>66</v>
      </c>
      <c r="B121" s="57" t="s">
        <v>1214</v>
      </c>
      <c r="C121" s="150" t="s">
        <v>1252</v>
      </c>
      <c r="D121" s="57" t="s">
        <v>32</v>
      </c>
      <c r="E121" s="160">
        <f>IFERROR(VLOOKUP(A121,Estimate!A:Q,17,FALSE)," ")</f>
        <v>1980.7849926016931</v>
      </c>
      <c r="F121" s="164">
        <v>1.22</v>
      </c>
      <c r="G121" s="164">
        <v>1.22</v>
      </c>
      <c r="H121" s="164">
        <v>2610.1999999999998</v>
      </c>
      <c r="I121" s="164">
        <v>3184.44</v>
      </c>
      <c r="J121" s="164">
        <v>3184.444</v>
      </c>
      <c r="K121" s="160">
        <v>1.22</v>
      </c>
      <c r="L121" s="195">
        <f t="shared" si="30"/>
        <v>1</v>
      </c>
      <c r="M121" s="160">
        <v>1.22</v>
      </c>
      <c r="N121" s="195">
        <f t="shared" si="30"/>
        <v>1</v>
      </c>
      <c r="O121" s="160">
        <v>1.22</v>
      </c>
      <c r="P121" s="195">
        <f t="shared" si="31"/>
        <v>1</v>
      </c>
      <c r="Q121" s="160">
        <v>1.22</v>
      </c>
      <c r="R121" s="195">
        <f t="shared" si="31"/>
        <v>1</v>
      </c>
      <c r="S121" s="160">
        <v>1.22</v>
      </c>
      <c r="T121" s="195">
        <f t="shared" si="18"/>
        <v>1</v>
      </c>
      <c r="U121" s="160">
        <v>1.22</v>
      </c>
      <c r="V121" s="195">
        <f t="shared" si="19"/>
        <v>1</v>
      </c>
      <c r="W121" s="153"/>
      <c r="X121" s="153">
        <f t="shared" si="20"/>
        <v>3184.4439999999995</v>
      </c>
      <c r="Y121" s="153">
        <f t="shared" si="21"/>
        <v>3184.4439999999995</v>
      </c>
      <c r="Z121" s="153">
        <f t="shared" si="22"/>
        <v>3184.4439999999995</v>
      </c>
      <c r="AA121" s="153">
        <f t="shared" si="23"/>
        <v>3184.4439999999995</v>
      </c>
      <c r="AB121" s="153">
        <f t="shared" si="24"/>
        <v>3184.4439999999995</v>
      </c>
      <c r="AC121" s="153">
        <f t="shared" si="25"/>
        <v>3184.4439999999995</v>
      </c>
    </row>
    <row r="122" spans="1:29" ht="30" x14ac:dyDescent="0.25">
      <c r="A122" s="58">
        <v>265</v>
      </c>
      <c r="B122" s="57" t="s">
        <v>1216</v>
      </c>
      <c r="C122" s="150" t="s">
        <v>241</v>
      </c>
      <c r="D122" s="57" t="s">
        <v>145</v>
      </c>
      <c r="E122" s="160">
        <f>IFERROR(VLOOKUP(A122,Estimate!A:Q,17,FALSE)," ")</f>
        <v>2147.9749999999999</v>
      </c>
      <c r="F122" s="164">
        <v>1</v>
      </c>
      <c r="G122" s="164">
        <v>1</v>
      </c>
      <c r="H122" s="164">
        <v>2722.95</v>
      </c>
      <c r="I122" s="164">
        <v>2722.95</v>
      </c>
      <c r="J122" s="164">
        <v>2722.95</v>
      </c>
      <c r="L122" s="195">
        <f t="shared" si="30"/>
        <v>0</v>
      </c>
      <c r="M122" s="160">
        <v>1</v>
      </c>
      <c r="N122" s="195">
        <f t="shared" si="30"/>
        <v>1</v>
      </c>
      <c r="O122" s="160">
        <v>1</v>
      </c>
      <c r="P122" s="195">
        <f t="shared" si="31"/>
        <v>1</v>
      </c>
      <c r="Q122" s="160">
        <v>1</v>
      </c>
      <c r="R122" s="195">
        <f t="shared" si="31"/>
        <v>1</v>
      </c>
      <c r="S122" s="160">
        <v>1</v>
      </c>
      <c r="T122" s="195">
        <f t="shared" si="18"/>
        <v>1</v>
      </c>
      <c r="U122" s="160">
        <v>1</v>
      </c>
      <c r="V122" s="195">
        <f t="shared" si="19"/>
        <v>1</v>
      </c>
      <c r="W122" s="153"/>
      <c r="X122" s="153">
        <f t="shared" si="20"/>
        <v>0</v>
      </c>
      <c r="Y122" s="153">
        <f t="shared" si="21"/>
        <v>2722.95</v>
      </c>
      <c r="Z122" s="153">
        <f t="shared" si="22"/>
        <v>2722.95</v>
      </c>
      <c r="AA122" s="153">
        <f t="shared" si="23"/>
        <v>2722.95</v>
      </c>
      <c r="AB122" s="153">
        <f t="shared" si="24"/>
        <v>2722.95</v>
      </c>
      <c r="AC122" s="153">
        <f t="shared" si="25"/>
        <v>2722.95</v>
      </c>
    </row>
    <row r="123" spans="1:29" x14ac:dyDescent="0.25">
      <c r="B123" s="57" t="s">
        <v>704</v>
      </c>
      <c r="C123" s="150" t="s">
        <v>682</v>
      </c>
      <c r="D123" s="57" t="s">
        <v>748</v>
      </c>
      <c r="E123" s="160" t="str">
        <f>IFERROR(VLOOKUP(A123,Estimate!A:Q,17,FALSE)," ")</f>
        <v xml:space="preserve"> </v>
      </c>
      <c r="F123" s="164" t="s">
        <v>682</v>
      </c>
      <c r="G123" s="164" t="s">
        <v>682</v>
      </c>
      <c r="H123" s="164" t="s">
        <v>682</v>
      </c>
      <c r="I123" s="164" t="s">
        <v>682</v>
      </c>
      <c r="J123" s="164" t="s">
        <v>682</v>
      </c>
      <c r="K123" s="160" t="s">
        <v>682</v>
      </c>
      <c r="L123" s="195" t="str">
        <f t="shared" si="30"/>
        <v xml:space="preserve"> </v>
      </c>
      <c r="M123" s="160" t="s">
        <v>682</v>
      </c>
      <c r="N123" s="195" t="str">
        <f t="shared" si="30"/>
        <v xml:space="preserve"> </v>
      </c>
      <c r="O123" s="160" t="s">
        <v>682</v>
      </c>
      <c r="P123" s="195" t="str">
        <f t="shared" si="31"/>
        <v xml:space="preserve"> </v>
      </c>
      <c r="Q123" s="160" t="s">
        <v>682</v>
      </c>
      <c r="R123" s="195" t="str">
        <f t="shared" si="31"/>
        <v xml:space="preserve"> </v>
      </c>
      <c r="S123" s="160" t="s">
        <v>682</v>
      </c>
      <c r="T123" s="195" t="str">
        <f t="shared" si="18"/>
        <v xml:space="preserve"> </v>
      </c>
      <c r="U123" s="160" t="s">
        <v>682</v>
      </c>
      <c r="V123" s="195" t="str">
        <f t="shared" si="19"/>
        <v xml:space="preserve"> </v>
      </c>
      <c r="W123" s="153"/>
      <c r="X123" s="153" t="str">
        <f t="shared" si="20"/>
        <v xml:space="preserve"> </v>
      </c>
      <c r="Y123" s="153" t="str">
        <f t="shared" si="21"/>
        <v xml:space="preserve"> </v>
      </c>
      <c r="Z123" s="153" t="str">
        <f t="shared" si="22"/>
        <v xml:space="preserve"> </v>
      </c>
      <c r="AA123" s="153" t="str">
        <f t="shared" si="23"/>
        <v xml:space="preserve"> </v>
      </c>
      <c r="AB123" s="153" t="str">
        <f t="shared" si="24"/>
        <v xml:space="preserve"> </v>
      </c>
      <c r="AC123" s="153" t="str">
        <f t="shared" si="25"/>
        <v xml:space="preserve"> </v>
      </c>
    </row>
    <row r="124" spans="1:29" ht="30" x14ac:dyDescent="0.25">
      <c r="B124" s="57">
        <v>11</v>
      </c>
      <c r="C124" s="150" t="s">
        <v>243</v>
      </c>
      <c r="D124" s="57" t="s">
        <v>748</v>
      </c>
      <c r="E124" s="160" t="str">
        <f>IFERROR(VLOOKUP(A124,Estimate!A:Q,17,FALSE)," ")</f>
        <v xml:space="preserve"> </v>
      </c>
      <c r="F124" s="164" t="s">
        <v>682</v>
      </c>
      <c r="G124" s="164" t="s">
        <v>682</v>
      </c>
      <c r="H124" s="164" t="s">
        <v>682</v>
      </c>
      <c r="I124" s="164" t="s">
        <v>682</v>
      </c>
      <c r="J124" s="164" t="s">
        <v>682</v>
      </c>
      <c r="K124" s="160" t="s">
        <v>682</v>
      </c>
      <c r="L124" s="195" t="str">
        <f t="shared" si="30"/>
        <v xml:space="preserve"> </v>
      </c>
      <c r="M124" s="160" t="s">
        <v>682</v>
      </c>
      <c r="N124" s="195" t="str">
        <f t="shared" si="30"/>
        <v xml:space="preserve"> </v>
      </c>
      <c r="O124" s="160" t="s">
        <v>682</v>
      </c>
      <c r="P124" s="195" t="str">
        <f t="shared" si="31"/>
        <v xml:space="preserve"> </v>
      </c>
      <c r="Q124" s="160" t="s">
        <v>682</v>
      </c>
      <c r="R124" s="195" t="str">
        <f t="shared" si="31"/>
        <v xml:space="preserve"> </v>
      </c>
      <c r="S124" s="160" t="s">
        <v>682</v>
      </c>
      <c r="T124" s="195" t="str">
        <f t="shared" si="18"/>
        <v xml:space="preserve"> </v>
      </c>
      <c r="U124" s="160" t="s">
        <v>682</v>
      </c>
      <c r="V124" s="195" t="str">
        <f t="shared" si="19"/>
        <v xml:space="preserve"> </v>
      </c>
      <c r="W124" s="153"/>
      <c r="X124" s="153" t="str">
        <f t="shared" si="20"/>
        <v xml:space="preserve"> </v>
      </c>
      <c r="Y124" s="153" t="str">
        <f t="shared" si="21"/>
        <v xml:space="preserve"> </v>
      </c>
      <c r="Z124" s="153" t="str">
        <f t="shared" si="22"/>
        <v xml:space="preserve"> </v>
      </c>
      <c r="AA124" s="153" t="str">
        <f t="shared" si="23"/>
        <v xml:space="preserve"> </v>
      </c>
      <c r="AB124" s="153" t="str">
        <f t="shared" si="24"/>
        <v xml:space="preserve"> </v>
      </c>
      <c r="AC124" s="153" t="str">
        <f t="shared" si="25"/>
        <v xml:space="preserve"> </v>
      </c>
    </row>
    <row r="125" spans="1:29" ht="30" x14ac:dyDescent="0.25">
      <c r="A125" s="58">
        <v>266</v>
      </c>
      <c r="B125" s="57" t="s">
        <v>1214</v>
      </c>
      <c r="C125" s="150" t="s">
        <v>1253</v>
      </c>
      <c r="D125" s="57" t="s">
        <v>32</v>
      </c>
      <c r="E125" s="160">
        <f>IFERROR(VLOOKUP(A125,Estimate!A:Q,17,FALSE)," ")</f>
        <v>9926.3852701480228</v>
      </c>
      <c r="F125" s="164">
        <v>14.4</v>
      </c>
      <c r="G125" s="164">
        <v>14.4</v>
      </c>
      <c r="H125" s="164">
        <v>928.68</v>
      </c>
      <c r="I125" s="164">
        <v>13372.99</v>
      </c>
      <c r="J125" s="164">
        <v>13372.992</v>
      </c>
      <c r="L125" s="195">
        <f t="shared" si="30"/>
        <v>0</v>
      </c>
      <c r="M125" s="160">
        <v>14.4</v>
      </c>
      <c r="N125" s="195">
        <f t="shared" si="30"/>
        <v>1</v>
      </c>
      <c r="O125" s="160">
        <v>14.4</v>
      </c>
      <c r="P125" s="195">
        <f t="shared" si="31"/>
        <v>1</v>
      </c>
      <c r="Q125" s="160">
        <v>14.4</v>
      </c>
      <c r="R125" s="195">
        <f t="shared" si="31"/>
        <v>1</v>
      </c>
      <c r="S125" s="160">
        <v>14.4</v>
      </c>
      <c r="T125" s="195">
        <f t="shared" si="18"/>
        <v>1</v>
      </c>
      <c r="U125" s="160">
        <v>14.4</v>
      </c>
      <c r="V125" s="195">
        <f t="shared" si="19"/>
        <v>1</v>
      </c>
      <c r="W125" s="153"/>
      <c r="X125" s="153">
        <f t="shared" si="20"/>
        <v>0</v>
      </c>
      <c r="Y125" s="153">
        <f t="shared" si="21"/>
        <v>13372.992</v>
      </c>
      <c r="Z125" s="153">
        <f t="shared" si="22"/>
        <v>13372.992</v>
      </c>
      <c r="AA125" s="153">
        <f t="shared" si="23"/>
        <v>13372.992</v>
      </c>
      <c r="AB125" s="153">
        <f t="shared" si="24"/>
        <v>13372.992</v>
      </c>
      <c r="AC125" s="153">
        <f t="shared" si="25"/>
        <v>13372.992</v>
      </c>
    </row>
    <row r="126" spans="1:29" ht="45" x14ac:dyDescent="0.25">
      <c r="A126" s="58">
        <v>67</v>
      </c>
      <c r="B126" s="57" t="s">
        <v>1216</v>
      </c>
      <c r="C126" s="150" t="s">
        <v>251</v>
      </c>
      <c r="D126" s="57" t="s">
        <v>145</v>
      </c>
      <c r="E126" s="160">
        <f>IFERROR(VLOOKUP(A126,Estimate!A:Q,17,FALSE)," ")</f>
        <v>947.8</v>
      </c>
      <c r="F126" s="164">
        <v>2</v>
      </c>
      <c r="G126" s="164">
        <v>2</v>
      </c>
      <c r="H126" s="164">
        <v>600.75</v>
      </c>
      <c r="I126" s="164">
        <v>1201.5</v>
      </c>
      <c r="J126" s="164">
        <v>1201.5</v>
      </c>
      <c r="L126" s="195">
        <f t="shared" si="30"/>
        <v>0</v>
      </c>
      <c r="M126" s="160">
        <v>2</v>
      </c>
      <c r="N126" s="195">
        <f t="shared" si="30"/>
        <v>1</v>
      </c>
      <c r="O126" s="160">
        <v>2</v>
      </c>
      <c r="P126" s="195">
        <f t="shared" si="31"/>
        <v>1</v>
      </c>
      <c r="Q126" s="160">
        <v>2</v>
      </c>
      <c r="R126" s="195">
        <f t="shared" si="31"/>
        <v>1</v>
      </c>
      <c r="S126" s="160">
        <v>2</v>
      </c>
      <c r="T126" s="195">
        <f t="shared" si="18"/>
        <v>1</v>
      </c>
      <c r="U126" s="160">
        <v>2</v>
      </c>
      <c r="V126" s="195">
        <f t="shared" si="19"/>
        <v>1</v>
      </c>
      <c r="W126" s="153"/>
      <c r="X126" s="153">
        <f t="shared" si="20"/>
        <v>0</v>
      </c>
      <c r="Y126" s="153">
        <f t="shared" si="21"/>
        <v>1201.5</v>
      </c>
      <c r="Z126" s="153">
        <f t="shared" si="22"/>
        <v>1201.5</v>
      </c>
      <c r="AA126" s="153">
        <f t="shared" si="23"/>
        <v>1201.5</v>
      </c>
      <c r="AB126" s="153">
        <f t="shared" si="24"/>
        <v>1201.5</v>
      </c>
      <c r="AC126" s="153">
        <f t="shared" si="25"/>
        <v>1201.5</v>
      </c>
    </row>
    <row r="127" spans="1:29" ht="45" x14ac:dyDescent="0.25">
      <c r="A127" s="58">
        <v>68</v>
      </c>
      <c r="B127" s="57" t="s">
        <v>1231</v>
      </c>
      <c r="C127" s="150" t="s">
        <v>253</v>
      </c>
      <c r="D127" s="57" t="s">
        <v>18</v>
      </c>
      <c r="E127" s="160">
        <f>IFERROR(VLOOKUP(A127,Estimate!A:Q,17,FALSE)," ")</f>
        <v>1658.0838323353291</v>
      </c>
      <c r="F127" s="164">
        <v>1</v>
      </c>
      <c r="G127" s="164">
        <v>1</v>
      </c>
      <c r="H127" s="164">
        <v>2105.6999999999998</v>
      </c>
      <c r="I127" s="164">
        <v>2105.6999999999998</v>
      </c>
      <c r="J127" s="164">
        <v>2105.6999999999998</v>
      </c>
      <c r="L127" s="195">
        <f t="shared" si="30"/>
        <v>0</v>
      </c>
      <c r="M127" s="160">
        <v>1</v>
      </c>
      <c r="N127" s="195">
        <f t="shared" si="30"/>
        <v>1</v>
      </c>
      <c r="O127" s="160">
        <v>1</v>
      </c>
      <c r="P127" s="195">
        <f t="shared" si="31"/>
        <v>1</v>
      </c>
      <c r="Q127" s="160">
        <v>1</v>
      </c>
      <c r="R127" s="195">
        <f t="shared" si="31"/>
        <v>1</v>
      </c>
      <c r="S127" s="160">
        <v>1</v>
      </c>
      <c r="T127" s="195">
        <f t="shared" si="18"/>
        <v>1</v>
      </c>
      <c r="U127" s="160">
        <v>1</v>
      </c>
      <c r="V127" s="195">
        <f t="shared" si="19"/>
        <v>1</v>
      </c>
      <c r="W127" s="153"/>
      <c r="X127" s="153">
        <f t="shared" si="20"/>
        <v>0</v>
      </c>
      <c r="Y127" s="153">
        <f t="shared" si="21"/>
        <v>2105.6999999999998</v>
      </c>
      <c r="Z127" s="153">
        <f t="shared" si="22"/>
        <v>2105.6999999999998</v>
      </c>
      <c r="AA127" s="153">
        <f t="shared" si="23"/>
        <v>2105.6999999999998</v>
      </c>
      <c r="AB127" s="153">
        <f t="shared" si="24"/>
        <v>2105.6999999999998</v>
      </c>
      <c r="AC127" s="153">
        <f t="shared" si="25"/>
        <v>2105.6999999999998</v>
      </c>
    </row>
    <row r="128" spans="1:29" ht="60" x14ac:dyDescent="0.25">
      <c r="A128" s="58">
        <v>69</v>
      </c>
      <c r="B128" s="57" t="s">
        <v>1232</v>
      </c>
      <c r="C128" s="150" t="s">
        <v>255</v>
      </c>
      <c r="D128" s="57" t="s">
        <v>18</v>
      </c>
      <c r="E128" s="160">
        <f>IFERROR(VLOOKUP(A128,Estimate!A:Q,17,FALSE)," ")</f>
        <v>2322.6</v>
      </c>
      <c r="F128" s="164">
        <v>1</v>
      </c>
      <c r="G128" s="164">
        <v>1</v>
      </c>
      <c r="H128" s="164">
        <v>2944.32</v>
      </c>
      <c r="I128" s="164">
        <v>2944.32</v>
      </c>
      <c r="J128" s="164">
        <v>2944.32</v>
      </c>
      <c r="L128" s="195">
        <f t="shared" si="30"/>
        <v>0</v>
      </c>
      <c r="N128" s="195">
        <f t="shared" si="30"/>
        <v>0</v>
      </c>
      <c r="P128" s="195">
        <f t="shared" si="31"/>
        <v>0</v>
      </c>
      <c r="R128" s="195">
        <f t="shared" si="31"/>
        <v>0</v>
      </c>
      <c r="T128" s="195">
        <f t="shared" si="18"/>
        <v>0</v>
      </c>
      <c r="V128" s="195">
        <f t="shared" si="19"/>
        <v>0</v>
      </c>
      <c r="W128" s="153"/>
      <c r="X128" s="153">
        <f t="shared" si="20"/>
        <v>0</v>
      </c>
      <c r="Y128" s="153">
        <f t="shared" si="21"/>
        <v>0</v>
      </c>
      <c r="Z128" s="153">
        <f t="shared" si="22"/>
        <v>0</v>
      </c>
      <c r="AA128" s="153">
        <f t="shared" si="23"/>
        <v>0</v>
      </c>
      <c r="AB128" s="153">
        <f t="shared" si="24"/>
        <v>0</v>
      </c>
      <c r="AC128" s="153">
        <f t="shared" si="25"/>
        <v>0</v>
      </c>
    </row>
    <row r="129" spans="1:29" x14ac:dyDescent="0.25">
      <c r="B129" s="57" t="s">
        <v>704</v>
      </c>
      <c r="C129" s="150" t="s">
        <v>682</v>
      </c>
      <c r="D129" s="57" t="s">
        <v>748</v>
      </c>
      <c r="E129" s="160" t="str">
        <f>IFERROR(VLOOKUP(A129,Estimate!A:Q,17,FALSE)," ")</f>
        <v xml:space="preserve"> </v>
      </c>
      <c r="F129" s="164" t="s">
        <v>682</v>
      </c>
      <c r="G129" s="164" t="s">
        <v>682</v>
      </c>
      <c r="H129" s="164" t="s">
        <v>682</v>
      </c>
      <c r="I129" s="164" t="s">
        <v>682</v>
      </c>
      <c r="J129" s="164" t="s">
        <v>682</v>
      </c>
      <c r="K129" s="160" t="s">
        <v>682</v>
      </c>
      <c r="L129" s="195" t="str">
        <f t="shared" si="30"/>
        <v xml:space="preserve"> </v>
      </c>
      <c r="M129" s="160" t="s">
        <v>682</v>
      </c>
      <c r="N129" s="195" t="str">
        <f t="shared" si="30"/>
        <v xml:space="preserve"> </v>
      </c>
      <c r="O129" s="160" t="s">
        <v>682</v>
      </c>
      <c r="P129" s="195" t="str">
        <f t="shared" si="31"/>
        <v xml:space="preserve"> </v>
      </c>
      <c r="Q129" s="160" t="s">
        <v>682</v>
      </c>
      <c r="R129" s="195" t="str">
        <f t="shared" si="31"/>
        <v xml:space="preserve"> </v>
      </c>
      <c r="S129" s="160" t="s">
        <v>682</v>
      </c>
      <c r="T129" s="195" t="str">
        <f t="shared" si="18"/>
        <v xml:space="preserve"> </v>
      </c>
      <c r="U129" s="160" t="s">
        <v>682</v>
      </c>
      <c r="V129" s="195" t="str">
        <f t="shared" si="19"/>
        <v xml:space="preserve"> </v>
      </c>
      <c r="W129" s="153"/>
      <c r="X129" s="153" t="str">
        <f t="shared" si="20"/>
        <v xml:space="preserve"> </v>
      </c>
      <c r="Y129" s="153" t="str">
        <f t="shared" si="21"/>
        <v xml:space="preserve"> </v>
      </c>
      <c r="Z129" s="153" t="str">
        <f t="shared" si="22"/>
        <v xml:space="preserve"> </v>
      </c>
      <c r="AA129" s="153" t="str">
        <f t="shared" si="23"/>
        <v xml:space="preserve"> </v>
      </c>
      <c r="AB129" s="153" t="str">
        <f t="shared" si="24"/>
        <v xml:space="preserve"> </v>
      </c>
      <c r="AC129" s="153" t="str">
        <f t="shared" si="25"/>
        <v xml:space="preserve"> </v>
      </c>
    </row>
    <row r="130" spans="1:29" ht="30" x14ac:dyDescent="0.25">
      <c r="A130" s="58">
        <v>70</v>
      </c>
      <c r="B130" s="57">
        <v>12</v>
      </c>
      <c r="C130" s="150" t="s">
        <v>257</v>
      </c>
      <c r="D130" s="57" t="s">
        <v>18</v>
      </c>
      <c r="E130" s="160">
        <f>IFERROR(VLOOKUP(A130,Estimate!A:Q,17,FALSE)," ")</f>
        <v>4666.8500000000004</v>
      </c>
      <c r="F130" s="164">
        <v>1</v>
      </c>
      <c r="G130" s="164">
        <v>1</v>
      </c>
      <c r="H130" s="164">
        <v>5916.08</v>
      </c>
      <c r="I130" s="164">
        <v>5916.08</v>
      </c>
      <c r="J130" s="164">
        <v>5916.08</v>
      </c>
      <c r="L130" s="195">
        <f t="shared" si="30"/>
        <v>0</v>
      </c>
      <c r="N130" s="195">
        <f t="shared" si="30"/>
        <v>0</v>
      </c>
      <c r="P130" s="195">
        <f t="shared" si="31"/>
        <v>0</v>
      </c>
      <c r="R130" s="195">
        <f t="shared" si="31"/>
        <v>0</v>
      </c>
      <c r="T130" s="195">
        <f t="shared" si="18"/>
        <v>0</v>
      </c>
      <c r="V130" s="195">
        <f t="shared" si="19"/>
        <v>0</v>
      </c>
      <c r="W130" s="153"/>
      <c r="X130" s="153">
        <f t="shared" si="20"/>
        <v>0</v>
      </c>
      <c r="Y130" s="153">
        <f t="shared" si="21"/>
        <v>0</v>
      </c>
      <c r="Z130" s="153">
        <f t="shared" si="22"/>
        <v>0</v>
      </c>
      <c r="AA130" s="153">
        <f t="shared" si="23"/>
        <v>0</v>
      </c>
      <c r="AB130" s="153">
        <f t="shared" si="24"/>
        <v>0</v>
      </c>
      <c r="AC130" s="153">
        <f t="shared" si="25"/>
        <v>0</v>
      </c>
    </row>
    <row r="131" spans="1:29" x14ac:dyDescent="0.25">
      <c r="B131" s="57" t="s">
        <v>704</v>
      </c>
      <c r="C131" s="150" t="s">
        <v>682</v>
      </c>
      <c r="D131" s="57" t="s">
        <v>748</v>
      </c>
      <c r="E131" s="160" t="str">
        <f>IFERROR(VLOOKUP(A131,Estimate!A:Q,17,FALSE)," ")</f>
        <v xml:space="preserve"> </v>
      </c>
      <c r="F131" s="164" t="s">
        <v>682</v>
      </c>
      <c r="G131" s="164" t="s">
        <v>682</v>
      </c>
      <c r="H131" s="164" t="s">
        <v>682</v>
      </c>
      <c r="I131" s="164" t="s">
        <v>682</v>
      </c>
      <c r="J131" s="164" t="s">
        <v>682</v>
      </c>
      <c r="K131" s="160" t="s">
        <v>682</v>
      </c>
      <c r="L131" s="195" t="str">
        <f t="shared" si="30"/>
        <v xml:space="preserve"> </v>
      </c>
      <c r="M131" s="160" t="s">
        <v>682</v>
      </c>
      <c r="N131" s="195" t="str">
        <f t="shared" si="30"/>
        <v xml:space="preserve"> </v>
      </c>
      <c r="O131" s="160" t="s">
        <v>682</v>
      </c>
      <c r="P131" s="195" t="str">
        <f t="shared" si="31"/>
        <v xml:space="preserve"> </v>
      </c>
      <c r="Q131" s="160" t="s">
        <v>682</v>
      </c>
      <c r="R131" s="195" t="str">
        <f t="shared" si="31"/>
        <v xml:space="preserve"> </v>
      </c>
      <c r="S131" s="160" t="s">
        <v>682</v>
      </c>
      <c r="T131" s="195" t="str">
        <f t="shared" si="18"/>
        <v xml:space="preserve"> </v>
      </c>
      <c r="U131" s="160" t="s">
        <v>682</v>
      </c>
      <c r="V131" s="195" t="str">
        <f t="shared" si="19"/>
        <v xml:space="preserve"> </v>
      </c>
      <c r="W131" s="153"/>
      <c r="X131" s="153" t="str">
        <f t="shared" si="20"/>
        <v xml:space="preserve"> </v>
      </c>
      <c r="Y131" s="153" t="str">
        <f t="shared" si="21"/>
        <v xml:space="preserve"> </v>
      </c>
      <c r="Z131" s="153" t="str">
        <f t="shared" si="22"/>
        <v xml:space="preserve"> </v>
      </c>
      <c r="AA131" s="153" t="str">
        <f t="shared" si="23"/>
        <v xml:space="preserve"> </v>
      </c>
      <c r="AB131" s="153" t="str">
        <f t="shared" si="24"/>
        <v xml:space="preserve"> </v>
      </c>
      <c r="AC131" s="153" t="str">
        <f t="shared" si="25"/>
        <v xml:space="preserve"> </v>
      </c>
    </row>
    <row r="132" spans="1:29" x14ac:dyDescent="0.25">
      <c r="B132" s="196" t="s">
        <v>704</v>
      </c>
      <c r="C132" s="197" t="s">
        <v>682</v>
      </c>
      <c r="D132" s="196" t="s">
        <v>748</v>
      </c>
      <c r="E132" s="160" t="str">
        <f>IFERROR(VLOOKUP(A132,Estimate!A:Q,17,FALSE)," ")</f>
        <v xml:space="preserve"> </v>
      </c>
      <c r="F132" s="198" t="s">
        <v>682</v>
      </c>
      <c r="G132" s="198" t="s">
        <v>682</v>
      </c>
      <c r="H132" s="198" t="s">
        <v>682</v>
      </c>
      <c r="I132" s="198">
        <v>1326531.48</v>
      </c>
      <c r="J132" s="198" t="s">
        <v>682</v>
      </c>
      <c r="K132" s="199" t="s">
        <v>682</v>
      </c>
      <c r="L132" s="195" t="str">
        <f t="shared" si="30"/>
        <v xml:space="preserve"> </v>
      </c>
      <c r="M132" s="199" t="s">
        <v>682</v>
      </c>
      <c r="N132" s="195" t="str">
        <f t="shared" si="30"/>
        <v xml:space="preserve"> </v>
      </c>
      <c r="O132" s="199" t="s">
        <v>682</v>
      </c>
      <c r="P132" s="195" t="str">
        <f t="shared" si="31"/>
        <v xml:space="preserve"> </v>
      </c>
      <c r="Q132" s="199" t="s">
        <v>682</v>
      </c>
      <c r="R132" s="195" t="str">
        <f t="shared" si="31"/>
        <v xml:space="preserve"> </v>
      </c>
      <c r="S132" s="199" t="s">
        <v>682</v>
      </c>
      <c r="T132" s="195" t="str">
        <f t="shared" si="18"/>
        <v xml:space="preserve"> </v>
      </c>
      <c r="U132" s="199" t="s">
        <v>682</v>
      </c>
      <c r="V132" s="195" t="str">
        <f t="shared" si="19"/>
        <v xml:space="preserve"> </v>
      </c>
      <c r="W132" s="200"/>
      <c r="X132" s="153" t="str">
        <f t="shared" si="20"/>
        <v xml:space="preserve"> </v>
      </c>
      <c r="Y132" s="153" t="str">
        <f t="shared" si="21"/>
        <v xml:space="preserve"> </v>
      </c>
      <c r="Z132" s="153" t="str">
        <f t="shared" si="22"/>
        <v xml:space="preserve"> </v>
      </c>
      <c r="AA132" s="153" t="str">
        <f t="shared" si="23"/>
        <v xml:space="preserve"> </v>
      </c>
      <c r="AB132" s="153" t="str">
        <f t="shared" si="24"/>
        <v xml:space="preserve"> </v>
      </c>
      <c r="AC132" s="153" t="str">
        <f t="shared" si="25"/>
        <v xml:space="preserve"> </v>
      </c>
    </row>
    <row r="133" spans="1:29" x14ac:dyDescent="0.25">
      <c r="B133" s="57" t="s">
        <v>704</v>
      </c>
      <c r="C133" s="150" t="s">
        <v>682</v>
      </c>
      <c r="D133" s="57" t="s">
        <v>748</v>
      </c>
      <c r="E133" s="160" t="str">
        <f>IFERROR(VLOOKUP(A133,Estimate!A:Q,17,FALSE)," ")</f>
        <v xml:space="preserve"> </v>
      </c>
      <c r="F133" s="164" t="s">
        <v>682</v>
      </c>
      <c r="G133" s="164" t="s">
        <v>682</v>
      </c>
      <c r="H133" s="164" t="s">
        <v>682</v>
      </c>
      <c r="I133" s="164" t="s">
        <v>682</v>
      </c>
      <c r="J133" s="164" t="s">
        <v>682</v>
      </c>
      <c r="K133" s="160" t="s">
        <v>682</v>
      </c>
      <c r="L133" s="195" t="str">
        <f t="shared" si="30"/>
        <v xml:space="preserve"> </v>
      </c>
      <c r="M133" s="160" t="s">
        <v>682</v>
      </c>
      <c r="N133" s="195" t="str">
        <f t="shared" si="30"/>
        <v xml:space="preserve"> </v>
      </c>
      <c r="O133" s="160" t="s">
        <v>682</v>
      </c>
      <c r="P133" s="195" t="str">
        <f t="shared" si="31"/>
        <v xml:space="preserve"> </v>
      </c>
      <c r="Q133" s="160" t="s">
        <v>682</v>
      </c>
      <c r="R133" s="195" t="str">
        <f t="shared" si="31"/>
        <v xml:space="preserve"> </v>
      </c>
      <c r="S133" s="160" t="s">
        <v>682</v>
      </c>
      <c r="T133" s="195" t="str">
        <f t="shared" si="18"/>
        <v xml:space="preserve"> </v>
      </c>
      <c r="U133" s="160" t="s">
        <v>682</v>
      </c>
      <c r="V133" s="195" t="str">
        <f t="shared" si="19"/>
        <v xml:space="preserve"> </v>
      </c>
      <c r="W133" s="153"/>
      <c r="X133" s="153" t="str">
        <f t="shared" si="20"/>
        <v xml:space="preserve"> </v>
      </c>
      <c r="Y133" s="153" t="str">
        <f t="shared" si="21"/>
        <v xml:space="preserve"> </v>
      </c>
      <c r="Z133" s="153" t="str">
        <f t="shared" si="22"/>
        <v xml:space="preserve"> </v>
      </c>
      <c r="AA133" s="153" t="str">
        <f t="shared" si="23"/>
        <v xml:space="preserve"> </v>
      </c>
      <c r="AB133" s="153" t="str">
        <f t="shared" si="24"/>
        <v xml:space="preserve"> </v>
      </c>
      <c r="AC133" s="153" t="str">
        <f t="shared" si="25"/>
        <v xml:space="preserve"> </v>
      </c>
    </row>
    <row r="134" spans="1:29" ht="30" x14ac:dyDescent="0.25">
      <c r="B134" s="57" t="s">
        <v>704</v>
      </c>
      <c r="C134" s="150" t="s">
        <v>260</v>
      </c>
      <c r="D134" s="57" t="s">
        <v>748</v>
      </c>
      <c r="E134" s="160" t="str">
        <f>IFERROR(VLOOKUP(A134,Estimate!A:Q,17,FALSE)," ")</f>
        <v xml:space="preserve"> </v>
      </c>
      <c r="F134" s="164" t="s">
        <v>682</v>
      </c>
      <c r="G134" s="164" t="s">
        <v>682</v>
      </c>
      <c r="H134" s="164" t="s">
        <v>682</v>
      </c>
      <c r="I134" s="164" t="s">
        <v>682</v>
      </c>
      <c r="J134" s="164" t="s">
        <v>682</v>
      </c>
      <c r="K134" s="160" t="s">
        <v>682</v>
      </c>
      <c r="L134" s="195" t="str">
        <f t="shared" si="30"/>
        <v xml:space="preserve"> </v>
      </c>
      <c r="M134" s="160" t="s">
        <v>682</v>
      </c>
      <c r="N134" s="195" t="str">
        <f t="shared" si="30"/>
        <v xml:space="preserve"> </v>
      </c>
      <c r="O134" s="160" t="s">
        <v>682</v>
      </c>
      <c r="P134" s="195" t="str">
        <f t="shared" si="31"/>
        <v xml:space="preserve"> </v>
      </c>
      <c r="Q134" s="160" t="s">
        <v>682</v>
      </c>
      <c r="R134" s="195" t="str">
        <f t="shared" si="31"/>
        <v xml:space="preserve"> </v>
      </c>
      <c r="S134" s="160" t="s">
        <v>682</v>
      </c>
      <c r="T134" s="195" t="str">
        <f t="shared" si="18"/>
        <v xml:space="preserve"> </v>
      </c>
      <c r="U134" s="160" t="s">
        <v>682</v>
      </c>
      <c r="V134" s="195" t="str">
        <f t="shared" si="19"/>
        <v xml:space="preserve"> </v>
      </c>
      <c r="W134" s="153"/>
      <c r="X134" s="153" t="str">
        <f t="shared" si="20"/>
        <v xml:space="preserve"> </v>
      </c>
      <c r="Y134" s="153" t="str">
        <f t="shared" si="21"/>
        <v xml:space="preserve"> </v>
      </c>
      <c r="Z134" s="153" t="str">
        <f t="shared" si="22"/>
        <v xml:space="preserve"> </v>
      </c>
      <c r="AA134" s="153" t="str">
        <f t="shared" si="23"/>
        <v xml:space="preserve"> </v>
      </c>
      <c r="AB134" s="153" t="str">
        <f t="shared" si="24"/>
        <v xml:space="preserve"> </v>
      </c>
      <c r="AC134" s="153" t="str">
        <f t="shared" si="25"/>
        <v xml:space="preserve"> </v>
      </c>
    </row>
    <row r="135" spans="1:29" x14ac:dyDescent="0.25">
      <c r="B135" s="57">
        <v>1</v>
      </c>
      <c r="C135" s="150" t="s">
        <v>16</v>
      </c>
      <c r="D135" s="57" t="s">
        <v>748</v>
      </c>
      <c r="E135" s="160" t="str">
        <f>IFERROR(VLOOKUP(A135,Estimate!A:Q,17,FALSE)," ")</f>
        <v xml:space="preserve"> </v>
      </c>
      <c r="F135" s="164" t="s">
        <v>682</v>
      </c>
      <c r="G135" s="164" t="s">
        <v>682</v>
      </c>
      <c r="H135" s="164" t="s">
        <v>682</v>
      </c>
      <c r="I135" s="164" t="s">
        <v>682</v>
      </c>
      <c r="J135" s="164" t="s">
        <v>682</v>
      </c>
      <c r="K135" s="160" t="s">
        <v>682</v>
      </c>
      <c r="L135" s="195" t="str">
        <f t="shared" ref="L135:N150" si="32">IFERROR(K135/$G135," ")</f>
        <v xml:space="preserve"> </v>
      </c>
      <c r="M135" s="160" t="s">
        <v>682</v>
      </c>
      <c r="N135" s="195" t="str">
        <f t="shared" si="32"/>
        <v xml:space="preserve"> </v>
      </c>
      <c r="O135" s="160" t="s">
        <v>682</v>
      </c>
      <c r="P135" s="195" t="str">
        <f t="shared" ref="P135:R150" si="33">IFERROR(O135/$G135," ")</f>
        <v xml:space="preserve"> </v>
      </c>
      <c r="Q135" s="160" t="s">
        <v>682</v>
      </c>
      <c r="R135" s="195" t="str">
        <f t="shared" si="33"/>
        <v xml:space="preserve"> </v>
      </c>
      <c r="S135" s="160" t="s">
        <v>682</v>
      </c>
      <c r="T135" s="195" t="str">
        <f t="shared" ref="T135:T198" si="34">IFERROR(S135/$G135," ")</f>
        <v xml:space="preserve"> </v>
      </c>
      <c r="U135" s="160" t="s">
        <v>682</v>
      </c>
      <c r="V135" s="195" t="str">
        <f t="shared" ref="V135:V198" si="35">IFERROR(U135/$G135," ")</f>
        <v xml:space="preserve"> </v>
      </c>
      <c r="W135" s="153"/>
      <c r="X135" s="153" t="str">
        <f t="shared" ref="X135:X198" si="36">IFERROR(K135*$H135," ")</f>
        <v xml:space="preserve"> </v>
      </c>
      <c r="Y135" s="153" t="str">
        <f t="shared" ref="Y135:Y198" si="37">IFERROR(M135*$H135," ")</f>
        <v xml:space="preserve"> </v>
      </c>
      <c r="Z135" s="153" t="str">
        <f t="shared" ref="Z135:Z198" si="38">IFERROR(O135*$H135," ")</f>
        <v xml:space="preserve"> </v>
      </c>
      <c r="AA135" s="153" t="str">
        <f t="shared" ref="AA135:AA198" si="39">IFERROR(Q135*$H135," ")</f>
        <v xml:space="preserve"> </v>
      </c>
      <c r="AB135" s="153" t="str">
        <f t="shared" ref="AB135:AB198" si="40">IFERROR(S135*$H135," ")</f>
        <v xml:space="preserve"> </v>
      </c>
      <c r="AC135" s="153" t="str">
        <f t="shared" ref="AC135:AC198" si="41">IFERROR(U135*$H135," ")</f>
        <v xml:space="preserve"> </v>
      </c>
    </row>
    <row r="136" spans="1:29" ht="30" x14ac:dyDescent="0.25">
      <c r="B136" s="57" t="s">
        <v>1214</v>
      </c>
      <c r="C136" s="150" t="s">
        <v>1215</v>
      </c>
      <c r="D136" s="57" t="s">
        <v>18</v>
      </c>
      <c r="E136" s="160" t="str">
        <f>IFERROR(VLOOKUP(A136,Estimate!A:Q,17,FALSE)," ")</f>
        <v xml:space="preserve"> </v>
      </c>
      <c r="F136" s="164">
        <v>1</v>
      </c>
      <c r="G136" s="164">
        <v>1</v>
      </c>
      <c r="H136" s="164"/>
      <c r="I136" s="164"/>
      <c r="J136" s="164"/>
      <c r="L136" s="195">
        <f t="shared" si="32"/>
        <v>0</v>
      </c>
      <c r="N136" s="195">
        <f t="shared" si="32"/>
        <v>0</v>
      </c>
      <c r="P136" s="195">
        <f t="shared" si="33"/>
        <v>0</v>
      </c>
      <c r="R136" s="195">
        <f t="shared" si="33"/>
        <v>0</v>
      </c>
      <c r="T136" s="195">
        <f t="shared" si="34"/>
        <v>0</v>
      </c>
      <c r="V136" s="195">
        <f t="shared" si="35"/>
        <v>0</v>
      </c>
      <c r="W136" s="153"/>
      <c r="X136" s="153">
        <f t="shared" si="36"/>
        <v>0</v>
      </c>
      <c r="Y136" s="153">
        <f t="shared" si="37"/>
        <v>0</v>
      </c>
      <c r="Z136" s="153">
        <f t="shared" si="38"/>
        <v>0</v>
      </c>
      <c r="AA136" s="153">
        <f t="shared" si="39"/>
        <v>0</v>
      </c>
      <c r="AB136" s="153">
        <f t="shared" si="40"/>
        <v>0</v>
      </c>
      <c r="AC136" s="153">
        <f t="shared" si="41"/>
        <v>0</v>
      </c>
    </row>
    <row r="137" spans="1:29" ht="45" x14ac:dyDescent="0.25">
      <c r="A137" s="58">
        <v>71</v>
      </c>
      <c r="B137" s="57" t="s">
        <v>1216</v>
      </c>
      <c r="C137" s="150" t="s">
        <v>30</v>
      </c>
      <c r="D137" s="57" t="s">
        <v>18</v>
      </c>
      <c r="E137" s="160">
        <f>IFERROR(VLOOKUP(A137,Estimate!A:Q,17,FALSE)," ")</f>
        <v>28325.046910652924</v>
      </c>
      <c r="F137" s="164">
        <v>1</v>
      </c>
      <c r="G137" s="164">
        <v>1</v>
      </c>
      <c r="H137" s="164">
        <v>35907.08</v>
      </c>
      <c r="I137" s="164">
        <v>35907.08</v>
      </c>
      <c r="J137" s="164">
        <v>35907.08</v>
      </c>
      <c r="L137" s="195">
        <f t="shared" si="32"/>
        <v>0</v>
      </c>
      <c r="M137" s="160">
        <v>0.8</v>
      </c>
      <c r="N137" s="195">
        <f t="shared" si="32"/>
        <v>0.8</v>
      </c>
      <c r="O137" s="160">
        <v>0.8</v>
      </c>
      <c r="P137" s="195">
        <f t="shared" si="33"/>
        <v>0.8</v>
      </c>
      <c r="Q137" s="160">
        <v>0.8</v>
      </c>
      <c r="R137" s="195">
        <f t="shared" si="33"/>
        <v>0.8</v>
      </c>
      <c r="S137" s="160">
        <v>1</v>
      </c>
      <c r="T137" s="195">
        <f t="shared" si="34"/>
        <v>1</v>
      </c>
      <c r="U137" s="160">
        <v>1</v>
      </c>
      <c r="V137" s="195">
        <f t="shared" si="35"/>
        <v>1</v>
      </c>
      <c r="W137" s="153"/>
      <c r="X137" s="153">
        <f t="shared" si="36"/>
        <v>0</v>
      </c>
      <c r="Y137" s="153">
        <f t="shared" si="37"/>
        <v>28725.664000000004</v>
      </c>
      <c r="Z137" s="153">
        <f t="shared" si="38"/>
        <v>28725.664000000004</v>
      </c>
      <c r="AA137" s="153">
        <f t="shared" si="39"/>
        <v>28725.664000000004</v>
      </c>
      <c r="AB137" s="153">
        <f t="shared" si="40"/>
        <v>35907.08</v>
      </c>
      <c r="AC137" s="153">
        <f t="shared" si="41"/>
        <v>35907.08</v>
      </c>
    </row>
    <row r="138" spans="1:29" x14ac:dyDescent="0.25">
      <c r="A138" s="58">
        <v>72</v>
      </c>
      <c r="B138" s="57" t="s">
        <v>1217</v>
      </c>
      <c r="C138" s="150" t="s">
        <v>34</v>
      </c>
      <c r="D138" s="57" t="s">
        <v>18</v>
      </c>
      <c r="E138" s="160">
        <f>IFERROR(VLOOKUP(A138,Estimate!A:Q,17,FALSE)," ")</f>
        <v>5180</v>
      </c>
      <c r="F138" s="164">
        <v>1</v>
      </c>
      <c r="G138" s="164">
        <v>1</v>
      </c>
      <c r="H138" s="164">
        <v>6566.59</v>
      </c>
      <c r="I138" s="164">
        <v>6566.59</v>
      </c>
      <c r="J138" s="164">
        <v>6566.59</v>
      </c>
      <c r="L138" s="195">
        <f t="shared" si="32"/>
        <v>0</v>
      </c>
      <c r="M138" s="160">
        <v>1</v>
      </c>
      <c r="N138" s="195">
        <f t="shared" si="32"/>
        <v>1</v>
      </c>
      <c r="O138" s="160">
        <v>1</v>
      </c>
      <c r="P138" s="195">
        <f t="shared" si="33"/>
        <v>1</v>
      </c>
      <c r="Q138" s="160">
        <v>1</v>
      </c>
      <c r="R138" s="195">
        <f t="shared" si="33"/>
        <v>1</v>
      </c>
      <c r="S138" s="160">
        <v>1</v>
      </c>
      <c r="T138" s="195">
        <f t="shared" si="34"/>
        <v>1</v>
      </c>
      <c r="U138" s="160">
        <v>1</v>
      </c>
      <c r="V138" s="195">
        <f t="shared" si="35"/>
        <v>1</v>
      </c>
      <c r="W138" s="153"/>
      <c r="X138" s="153">
        <f t="shared" si="36"/>
        <v>0</v>
      </c>
      <c r="Y138" s="153">
        <f t="shared" si="37"/>
        <v>6566.59</v>
      </c>
      <c r="Z138" s="153">
        <f t="shared" si="38"/>
        <v>6566.59</v>
      </c>
      <c r="AA138" s="153">
        <f t="shared" si="39"/>
        <v>6566.59</v>
      </c>
      <c r="AB138" s="153">
        <f t="shared" si="40"/>
        <v>6566.59</v>
      </c>
      <c r="AC138" s="153">
        <f t="shared" si="41"/>
        <v>6566.59</v>
      </c>
    </row>
    <row r="139" spans="1:29" ht="45" x14ac:dyDescent="0.25">
      <c r="B139" s="57" t="s">
        <v>704</v>
      </c>
      <c r="C139" s="150" t="s">
        <v>37</v>
      </c>
      <c r="D139" s="57" t="s">
        <v>748</v>
      </c>
      <c r="E139" s="160" t="str">
        <f>IFERROR(VLOOKUP(A139,Estimate!A:Q,17,FALSE)," ")</f>
        <v xml:space="preserve"> </v>
      </c>
      <c r="F139" s="164" t="s">
        <v>682</v>
      </c>
      <c r="G139" s="164" t="s">
        <v>682</v>
      </c>
      <c r="H139" s="164" t="s">
        <v>682</v>
      </c>
      <c r="I139" s="164" t="s">
        <v>682</v>
      </c>
      <c r="J139" s="164" t="s">
        <v>682</v>
      </c>
      <c r="K139" s="160" t="s">
        <v>682</v>
      </c>
      <c r="L139" s="195" t="str">
        <f t="shared" si="32"/>
        <v xml:space="preserve"> </v>
      </c>
      <c r="M139" s="160" t="s">
        <v>682</v>
      </c>
      <c r="N139" s="195" t="str">
        <f t="shared" si="32"/>
        <v xml:space="preserve"> </v>
      </c>
      <c r="O139" s="160" t="s">
        <v>682</v>
      </c>
      <c r="P139" s="195" t="str">
        <f t="shared" si="33"/>
        <v xml:space="preserve"> </v>
      </c>
      <c r="Q139" s="160" t="s">
        <v>682</v>
      </c>
      <c r="R139" s="195" t="str">
        <f t="shared" si="33"/>
        <v xml:space="preserve"> </v>
      </c>
      <c r="S139" s="160" t="s">
        <v>682</v>
      </c>
      <c r="T139" s="195" t="str">
        <f t="shared" si="34"/>
        <v xml:space="preserve"> </v>
      </c>
      <c r="U139" s="160" t="s">
        <v>682</v>
      </c>
      <c r="V139" s="195" t="str">
        <f t="shared" si="35"/>
        <v xml:space="preserve"> </v>
      </c>
      <c r="W139" s="153"/>
      <c r="X139" s="153" t="str">
        <f t="shared" si="36"/>
        <v xml:space="preserve"> </v>
      </c>
      <c r="Y139" s="153" t="str">
        <f t="shared" si="37"/>
        <v xml:space="preserve"> </v>
      </c>
      <c r="Z139" s="153" t="str">
        <f t="shared" si="38"/>
        <v xml:space="preserve"> </v>
      </c>
      <c r="AA139" s="153" t="str">
        <f t="shared" si="39"/>
        <v xml:space="preserve"> </v>
      </c>
      <c r="AB139" s="153" t="str">
        <f t="shared" si="40"/>
        <v xml:space="preserve"> </v>
      </c>
      <c r="AC139" s="153" t="str">
        <f t="shared" si="41"/>
        <v xml:space="preserve"> </v>
      </c>
    </row>
    <row r="140" spans="1:29" ht="45" x14ac:dyDescent="0.25">
      <c r="A140" s="58">
        <v>73</v>
      </c>
      <c r="B140" s="57" t="s">
        <v>1218</v>
      </c>
      <c r="C140" s="150" t="s">
        <v>39</v>
      </c>
      <c r="D140" s="57" t="s">
        <v>18</v>
      </c>
      <c r="E140" s="160">
        <f>IFERROR(VLOOKUP(A140,Estimate!A:Q,17,FALSE)," ")</f>
        <v>2800</v>
      </c>
      <c r="F140" s="164">
        <v>1</v>
      </c>
      <c r="G140" s="164">
        <v>1</v>
      </c>
      <c r="H140" s="164">
        <v>3549.51</v>
      </c>
      <c r="I140" s="164">
        <v>3549.51</v>
      </c>
      <c r="J140" s="164">
        <v>3549.51</v>
      </c>
      <c r="L140" s="195">
        <f t="shared" si="32"/>
        <v>0</v>
      </c>
      <c r="M140" s="160">
        <v>1</v>
      </c>
      <c r="N140" s="195">
        <f t="shared" si="32"/>
        <v>1</v>
      </c>
      <c r="O140" s="160">
        <v>1</v>
      </c>
      <c r="P140" s="195">
        <f t="shared" si="33"/>
        <v>1</v>
      </c>
      <c r="Q140" s="160">
        <v>1</v>
      </c>
      <c r="R140" s="195">
        <f t="shared" si="33"/>
        <v>1</v>
      </c>
      <c r="S140" s="160">
        <v>1</v>
      </c>
      <c r="T140" s="195">
        <f t="shared" si="34"/>
        <v>1</v>
      </c>
      <c r="U140" s="160">
        <v>1</v>
      </c>
      <c r="V140" s="195">
        <f t="shared" si="35"/>
        <v>1</v>
      </c>
      <c r="W140" s="153"/>
      <c r="X140" s="153">
        <f t="shared" si="36"/>
        <v>0</v>
      </c>
      <c r="Y140" s="153">
        <f t="shared" si="37"/>
        <v>3549.51</v>
      </c>
      <c r="Z140" s="153">
        <f t="shared" si="38"/>
        <v>3549.51</v>
      </c>
      <c r="AA140" s="153">
        <f t="shared" si="39"/>
        <v>3549.51</v>
      </c>
      <c r="AB140" s="153">
        <f t="shared" si="40"/>
        <v>3549.51</v>
      </c>
      <c r="AC140" s="153">
        <f t="shared" si="41"/>
        <v>3549.51</v>
      </c>
    </row>
    <row r="141" spans="1:29" ht="30" x14ac:dyDescent="0.25">
      <c r="A141" s="58">
        <v>74</v>
      </c>
      <c r="B141" s="57" t="s">
        <v>1219</v>
      </c>
      <c r="C141" s="150" t="s">
        <v>42</v>
      </c>
      <c r="D141" s="57" t="s">
        <v>18</v>
      </c>
      <c r="E141" s="160">
        <f>IFERROR(VLOOKUP(A141,Estimate!A:Q,17,FALSE)," ")</f>
        <v>3200</v>
      </c>
      <c r="F141" s="164">
        <v>1</v>
      </c>
      <c r="G141" s="164">
        <v>1</v>
      </c>
      <c r="H141" s="164">
        <v>4056.58</v>
      </c>
      <c r="I141" s="164">
        <v>4056.58</v>
      </c>
      <c r="J141" s="164">
        <v>4056.58</v>
      </c>
      <c r="L141" s="195">
        <f t="shared" si="32"/>
        <v>0</v>
      </c>
      <c r="M141" s="160">
        <v>1</v>
      </c>
      <c r="N141" s="195">
        <f t="shared" si="32"/>
        <v>1</v>
      </c>
      <c r="O141" s="160">
        <v>1</v>
      </c>
      <c r="P141" s="195">
        <f t="shared" si="33"/>
        <v>1</v>
      </c>
      <c r="Q141" s="160">
        <v>1</v>
      </c>
      <c r="R141" s="195">
        <f t="shared" si="33"/>
        <v>1</v>
      </c>
      <c r="S141" s="160">
        <v>1</v>
      </c>
      <c r="T141" s="195">
        <f t="shared" si="34"/>
        <v>1</v>
      </c>
      <c r="U141" s="160">
        <v>1</v>
      </c>
      <c r="V141" s="195">
        <f t="shared" si="35"/>
        <v>1</v>
      </c>
      <c r="W141" s="153"/>
      <c r="X141" s="153">
        <f t="shared" si="36"/>
        <v>0</v>
      </c>
      <c r="Y141" s="153">
        <f t="shared" si="37"/>
        <v>4056.58</v>
      </c>
      <c r="Z141" s="153">
        <f t="shared" si="38"/>
        <v>4056.58</v>
      </c>
      <c r="AA141" s="153">
        <f t="shared" si="39"/>
        <v>4056.58</v>
      </c>
      <c r="AB141" s="153">
        <f t="shared" si="40"/>
        <v>4056.58</v>
      </c>
      <c r="AC141" s="153">
        <f t="shared" si="41"/>
        <v>4056.58</v>
      </c>
    </row>
    <row r="142" spans="1:29" x14ac:dyDescent="0.25">
      <c r="A142" s="58">
        <v>75</v>
      </c>
      <c r="B142" s="57" t="s">
        <v>1220</v>
      </c>
      <c r="C142" s="150" t="s">
        <v>46</v>
      </c>
      <c r="D142" s="57" t="s">
        <v>18</v>
      </c>
      <c r="E142" s="160">
        <f>IFERROR(VLOOKUP(A142,Estimate!A:Q,17,FALSE)," ")</f>
        <v>5920</v>
      </c>
      <c r="F142" s="164">
        <v>1</v>
      </c>
      <c r="G142" s="164">
        <v>1</v>
      </c>
      <c r="H142" s="164">
        <v>7504.67</v>
      </c>
      <c r="I142" s="164">
        <v>7504.67</v>
      </c>
      <c r="J142" s="164">
        <v>7504.67</v>
      </c>
      <c r="L142" s="195">
        <f t="shared" si="32"/>
        <v>0</v>
      </c>
      <c r="N142" s="195">
        <f t="shared" si="32"/>
        <v>0</v>
      </c>
      <c r="P142" s="195">
        <f t="shared" si="33"/>
        <v>0</v>
      </c>
      <c r="R142" s="195">
        <f t="shared" si="33"/>
        <v>0</v>
      </c>
      <c r="T142" s="195">
        <f t="shared" si="34"/>
        <v>0</v>
      </c>
      <c r="V142" s="195">
        <f t="shared" si="35"/>
        <v>0</v>
      </c>
      <c r="W142" s="153"/>
      <c r="X142" s="153">
        <f t="shared" si="36"/>
        <v>0</v>
      </c>
      <c r="Y142" s="153">
        <f t="shared" si="37"/>
        <v>0</v>
      </c>
      <c r="Z142" s="153">
        <f t="shared" si="38"/>
        <v>0</v>
      </c>
      <c r="AA142" s="153">
        <f t="shared" si="39"/>
        <v>0</v>
      </c>
      <c r="AB142" s="153">
        <f t="shared" si="40"/>
        <v>0</v>
      </c>
      <c r="AC142" s="153">
        <f t="shared" si="41"/>
        <v>0</v>
      </c>
    </row>
    <row r="143" spans="1:29" x14ac:dyDescent="0.25">
      <c r="B143" s="57" t="s">
        <v>1221</v>
      </c>
      <c r="C143" s="150" t="s">
        <v>48</v>
      </c>
      <c r="D143" s="57" t="s">
        <v>748</v>
      </c>
      <c r="E143" s="160" t="str">
        <f>IFERROR(VLOOKUP(A143,Estimate!A:Q,17,FALSE)," ")</f>
        <v xml:space="preserve"> </v>
      </c>
      <c r="F143" s="164" t="s">
        <v>682</v>
      </c>
      <c r="G143" s="164" t="s">
        <v>682</v>
      </c>
      <c r="H143" s="164" t="s">
        <v>682</v>
      </c>
      <c r="I143" s="164" t="s">
        <v>682</v>
      </c>
      <c r="J143" s="164" t="s">
        <v>682</v>
      </c>
      <c r="K143" s="160" t="s">
        <v>682</v>
      </c>
      <c r="L143" s="195" t="str">
        <f t="shared" si="32"/>
        <v xml:space="preserve"> </v>
      </c>
      <c r="M143" s="160" t="s">
        <v>682</v>
      </c>
      <c r="N143" s="195" t="str">
        <f t="shared" si="32"/>
        <v xml:space="preserve"> </v>
      </c>
      <c r="O143" s="160" t="s">
        <v>682</v>
      </c>
      <c r="P143" s="195" t="str">
        <f t="shared" si="33"/>
        <v xml:space="preserve"> </v>
      </c>
      <c r="Q143" s="160" t="s">
        <v>682</v>
      </c>
      <c r="R143" s="195" t="str">
        <f t="shared" si="33"/>
        <v xml:space="preserve"> </v>
      </c>
      <c r="S143" s="160" t="s">
        <v>682</v>
      </c>
      <c r="T143" s="195" t="str">
        <f t="shared" si="34"/>
        <v xml:space="preserve"> </v>
      </c>
      <c r="U143" s="160" t="s">
        <v>682</v>
      </c>
      <c r="V143" s="195" t="str">
        <f t="shared" si="35"/>
        <v xml:space="preserve"> </v>
      </c>
      <c r="W143" s="153"/>
      <c r="X143" s="153" t="str">
        <f t="shared" si="36"/>
        <v xml:space="preserve"> </v>
      </c>
      <c r="Y143" s="153" t="str">
        <f t="shared" si="37"/>
        <v xml:space="preserve"> </v>
      </c>
      <c r="Z143" s="153" t="str">
        <f t="shared" si="38"/>
        <v xml:space="preserve"> </v>
      </c>
      <c r="AA143" s="153" t="str">
        <f t="shared" si="39"/>
        <v xml:space="preserve"> </v>
      </c>
      <c r="AB143" s="153" t="str">
        <f t="shared" si="40"/>
        <v xml:space="preserve"> </v>
      </c>
      <c r="AC143" s="153" t="str">
        <f t="shared" si="41"/>
        <v xml:space="preserve"> </v>
      </c>
    </row>
    <row r="144" spans="1:29" x14ac:dyDescent="0.25">
      <c r="A144" s="58">
        <v>76</v>
      </c>
      <c r="B144" s="57" t="s">
        <v>1222</v>
      </c>
      <c r="C144" s="150" t="s">
        <v>55</v>
      </c>
      <c r="D144" s="57" t="s">
        <v>50</v>
      </c>
      <c r="E144" s="160">
        <f>IFERROR(VLOOKUP(A144,Estimate!A:Q,17,FALSE)," ")</f>
        <v>846.66666666666663</v>
      </c>
      <c r="F144" s="164">
        <v>4</v>
      </c>
      <c r="G144" s="164">
        <v>4</v>
      </c>
      <c r="H144" s="164">
        <v>268.32</v>
      </c>
      <c r="I144" s="164">
        <v>1073.28</v>
      </c>
      <c r="J144" s="164">
        <v>1073.28</v>
      </c>
      <c r="L144" s="195">
        <f t="shared" si="32"/>
        <v>0</v>
      </c>
      <c r="M144" s="160">
        <v>4</v>
      </c>
      <c r="N144" s="195">
        <f t="shared" si="32"/>
        <v>1</v>
      </c>
      <c r="O144" s="160">
        <v>4</v>
      </c>
      <c r="P144" s="195">
        <f t="shared" si="33"/>
        <v>1</v>
      </c>
      <c r="Q144" s="160">
        <v>4</v>
      </c>
      <c r="R144" s="195">
        <f t="shared" si="33"/>
        <v>1</v>
      </c>
      <c r="S144" s="160">
        <v>4</v>
      </c>
      <c r="T144" s="195">
        <f t="shared" si="34"/>
        <v>1</v>
      </c>
      <c r="U144" s="160">
        <v>4</v>
      </c>
      <c r="V144" s="195">
        <f t="shared" si="35"/>
        <v>1</v>
      </c>
      <c r="W144" s="153"/>
      <c r="X144" s="153">
        <f t="shared" si="36"/>
        <v>0</v>
      </c>
      <c r="Y144" s="153">
        <f t="shared" si="37"/>
        <v>1073.28</v>
      </c>
      <c r="Z144" s="153">
        <f t="shared" si="38"/>
        <v>1073.28</v>
      </c>
      <c r="AA144" s="153">
        <f t="shared" si="39"/>
        <v>1073.28</v>
      </c>
      <c r="AB144" s="153">
        <f t="shared" si="40"/>
        <v>1073.28</v>
      </c>
      <c r="AC144" s="153">
        <f t="shared" si="41"/>
        <v>1073.28</v>
      </c>
    </row>
    <row r="145" spans="1:29" ht="30" x14ac:dyDescent="0.25">
      <c r="A145" s="58">
        <v>77</v>
      </c>
      <c r="B145" s="57" t="s">
        <v>1224</v>
      </c>
      <c r="C145" s="150" t="s">
        <v>275</v>
      </c>
      <c r="D145" s="57" t="s">
        <v>50</v>
      </c>
      <c r="E145" s="160">
        <f>IFERROR(VLOOKUP(A145,Estimate!A:Q,17,FALSE)," ")</f>
        <v>846.66666666666663</v>
      </c>
      <c r="F145" s="164">
        <v>4</v>
      </c>
      <c r="G145" s="164">
        <v>4</v>
      </c>
      <c r="H145" s="164">
        <v>268.32</v>
      </c>
      <c r="I145" s="164">
        <v>1073.28</v>
      </c>
      <c r="J145" s="164">
        <v>1073.28</v>
      </c>
      <c r="L145" s="195">
        <f t="shared" si="32"/>
        <v>0</v>
      </c>
      <c r="M145" s="160">
        <v>4</v>
      </c>
      <c r="N145" s="195">
        <f t="shared" si="32"/>
        <v>1</v>
      </c>
      <c r="O145" s="160">
        <v>4</v>
      </c>
      <c r="P145" s="195">
        <f t="shared" si="33"/>
        <v>1</v>
      </c>
      <c r="Q145" s="160">
        <v>4</v>
      </c>
      <c r="R145" s="195">
        <f t="shared" si="33"/>
        <v>1</v>
      </c>
      <c r="S145" s="160">
        <v>4</v>
      </c>
      <c r="T145" s="195">
        <f t="shared" si="34"/>
        <v>1</v>
      </c>
      <c r="U145" s="160">
        <v>4</v>
      </c>
      <c r="V145" s="195">
        <f t="shared" si="35"/>
        <v>1</v>
      </c>
      <c r="W145" s="153"/>
      <c r="X145" s="153">
        <f t="shared" si="36"/>
        <v>0</v>
      </c>
      <c r="Y145" s="153">
        <f t="shared" si="37"/>
        <v>1073.28</v>
      </c>
      <c r="Z145" s="153">
        <f t="shared" si="38"/>
        <v>1073.28</v>
      </c>
      <c r="AA145" s="153">
        <f t="shared" si="39"/>
        <v>1073.28</v>
      </c>
      <c r="AB145" s="153">
        <f t="shared" si="40"/>
        <v>1073.28</v>
      </c>
      <c r="AC145" s="153">
        <f t="shared" si="41"/>
        <v>1073.28</v>
      </c>
    </row>
    <row r="146" spans="1:29" x14ac:dyDescent="0.25">
      <c r="A146" s="58">
        <v>78</v>
      </c>
      <c r="B146" s="57" t="s">
        <v>1225</v>
      </c>
      <c r="C146" s="150" t="s">
        <v>60</v>
      </c>
      <c r="D146" s="57" t="s">
        <v>50</v>
      </c>
      <c r="E146" s="160">
        <f>IFERROR(VLOOKUP(A146,Estimate!A:Q,17,FALSE)," ")</f>
        <v>423.33333333333331</v>
      </c>
      <c r="F146" s="164">
        <v>2</v>
      </c>
      <c r="G146" s="164">
        <v>2</v>
      </c>
      <c r="H146" s="164">
        <v>268.33999999999997</v>
      </c>
      <c r="I146" s="164">
        <v>536.67999999999995</v>
      </c>
      <c r="J146" s="164">
        <v>536.67999999999995</v>
      </c>
      <c r="L146" s="195">
        <f t="shared" si="32"/>
        <v>0</v>
      </c>
      <c r="N146" s="195">
        <f t="shared" si="32"/>
        <v>0</v>
      </c>
      <c r="P146" s="195">
        <f t="shared" si="33"/>
        <v>0</v>
      </c>
      <c r="Q146" s="160">
        <v>2</v>
      </c>
      <c r="R146" s="195">
        <f t="shared" si="33"/>
        <v>1</v>
      </c>
      <c r="S146" s="160">
        <v>2</v>
      </c>
      <c r="T146" s="195">
        <f t="shared" si="34"/>
        <v>1</v>
      </c>
      <c r="U146" s="160">
        <v>2</v>
      </c>
      <c r="V146" s="195">
        <f t="shared" si="35"/>
        <v>1</v>
      </c>
      <c r="W146" s="153"/>
      <c r="X146" s="153">
        <f t="shared" si="36"/>
        <v>0</v>
      </c>
      <c r="Y146" s="153">
        <f t="shared" si="37"/>
        <v>0</v>
      </c>
      <c r="Z146" s="153">
        <f t="shared" si="38"/>
        <v>0</v>
      </c>
      <c r="AA146" s="153">
        <f t="shared" si="39"/>
        <v>536.67999999999995</v>
      </c>
      <c r="AB146" s="153">
        <f t="shared" si="40"/>
        <v>536.67999999999995</v>
      </c>
      <c r="AC146" s="153">
        <f t="shared" si="41"/>
        <v>536.67999999999995</v>
      </c>
    </row>
    <row r="147" spans="1:29" ht="45" x14ac:dyDescent="0.25">
      <c r="A147" s="58">
        <v>79</v>
      </c>
      <c r="B147" s="57" t="s">
        <v>1226</v>
      </c>
      <c r="C147" s="150" t="s">
        <v>278</v>
      </c>
      <c r="D147" s="57" t="s">
        <v>50</v>
      </c>
      <c r="E147" s="160">
        <f>IFERROR(VLOOKUP(A147,Estimate!A:Q,17,FALSE)," ")</f>
        <v>1290</v>
      </c>
      <c r="F147" s="164">
        <v>1</v>
      </c>
      <c r="G147" s="164">
        <v>1</v>
      </c>
      <c r="H147" s="164">
        <v>1635.31</v>
      </c>
      <c r="I147" s="164">
        <v>1635.31</v>
      </c>
      <c r="J147" s="164">
        <v>1635.31</v>
      </c>
      <c r="L147" s="195">
        <f t="shared" si="32"/>
        <v>0</v>
      </c>
      <c r="M147" s="160">
        <v>1</v>
      </c>
      <c r="N147" s="195">
        <f t="shared" si="32"/>
        <v>1</v>
      </c>
      <c r="O147" s="160">
        <v>1</v>
      </c>
      <c r="P147" s="195">
        <f t="shared" si="33"/>
        <v>1</v>
      </c>
      <c r="Q147" s="160">
        <v>1</v>
      </c>
      <c r="R147" s="195">
        <f t="shared" si="33"/>
        <v>1</v>
      </c>
      <c r="S147" s="160">
        <v>1</v>
      </c>
      <c r="T147" s="195">
        <f t="shared" si="34"/>
        <v>1</v>
      </c>
      <c r="U147" s="160">
        <v>1</v>
      </c>
      <c r="V147" s="195">
        <f t="shared" si="35"/>
        <v>1</v>
      </c>
      <c r="W147" s="153"/>
      <c r="X147" s="153">
        <f t="shared" si="36"/>
        <v>0</v>
      </c>
      <c r="Y147" s="153">
        <f t="shared" si="37"/>
        <v>1635.31</v>
      </c>
      <c r="Z147" s="153">
        <f t="shared" si="38"/>
        <v>1635.31</v>
      </c>
      <c r="AA147" s="153">
        <f t="shared" si="39"/>
        <v>1635.31</v>
      </c>
      <c r="AB147" s="153">
        <f t="shared" si="40"/>
        <v>1635.31</v>
      </c>
      <c r="AC147" s="153">
        <f t="shared" si="41"/>
        <v>1635.31</v>
      </c>
    </row>
    <row r="148" spans="1:29" ht="30" x14ac:dyDescent="0.25">
      <c r="A148" s="58">
        <v>80</v>
      </c>
      <c r="B148" s="57" t="s">
        <v>1227</v>
      </c>
      <c r="C148" s="150" t="s">
        <v>280</v>
      </c>
      <c r="D148" s="57" t="s">
        <v>50</v>
      </c>
      <c r="E148" s="160">
        <f>IFERROR(VLOOKUP(A148,Estimate!A:Q,17,FALSE)," ")</f>
        <v>1290</v>
      </c>
      <c r="F148" s="164">
        <v>1</v>
      </c>
      <c r="G148" s="164">
        <v>1</v>
      </c>
      <c r="H148" s="164">
        <v>1635.31</v>
      </c>
      <c r="I148" s="164">
        <v>1635.31</v>
      </c>
      <c r="J148" s="164">
        <v>1635.31</v>
      </c>
      <c r="L148" s="195">
        <f t="shared" si="32"/>
        <v>0</v>
      </c>
      <c r="M148" s="160">
        <v>1</v>
      </c>
      <c r="N148" s="195">
        <f t="shared" si="32"/>
        <v>1</v>
      </c>
      <c r="O148" s="160">
        <v>1</v>
      </c>
      <c r="P148" s="195">
        <f t="shared" si="33"/>
        <v>1</v>
      </c>
      <c r="Q148" s="160">
        <v>1</v>
      </c>
      <c r="R148" s="195">
        <f t="shared" si="33"/>
        <v>1</v>
      </c>
      <c r="S148" s="160">
        <v>1</v>
      </c>
      <c r="T148" s="195">
        <f t="shared" si="34"/>
        <v>1</v>
      </c>
      <c r="U148" s="160">
        <v>1</v>
      </c>
      <c r="V148" s="195">
        <f t="shared" si="35"/>
        <v>1</v>
      </c>
      <c r="W148" s="153"/>
      <c r="X148" s="153">
        <f t="shared" si="36"/>
        <v>0</v>
      </c>
      <c r="Y148" s="153">
        <f t="shared" si="37"/>
        <v>1635.31</v>
      </c>
      <c r="Z148" s="153">
        <f t="shared" si="38"/>
        <v>1635.31</v>
      </c>
      <c r="AA148" s="153">
        <f t="shared" si="39"/>
        <v>1635.31</v>
      </c>
      <c r="AB148" s="153">
        <f t="shared" si="40"/>
        <v>1635.31</v>
      </c>
      <c r="AC148" s="153">
        <f t="shared" si="41"/>
        <v>1635.31</v>
      </c>
    </row>
    <row r="149" spans="1:29" x14ac:dyDescent="0.25">
      <c r="B149" s="57" t="s">
        <v>704</v>
      </c>
      <c r="C149" s="150" t="s">
        <v>682</v>
      </c>
      <c r="D149" s="57" t="s">
        <v>748</v>
      </c>
      <c r="E149" s="160" t="str">
        <f>IFERROR(VLOOKUP(A149,Estimate!A:Q,17,FALSE)," ")</f>
        <v xml:space="preserve"> </v>
      </c>
      <c r="F149" s="164" t="s">
        <v>682</v>
      </c>
      <c r="G149" s="164" t="s">
        <v>682</v>
      </c>
      <c r="H149" s="164" t="s">
        <v>682</v>
      </c>
      <c r="I149" s="164" t="s">
        <v>682</v>
      </c>
      <c r="J149" s="164" t="s">
        <v>682</v>
      </c>
      <c r="K149" s="160" t="s">
        <v>682</v>
      </c>
      <c r="L149" s="195" t="str">
        <f t="shared" si="32"/>
        <v xml:space="preserve"> </v>
      </c>
      <c r="M149" s="160" t="s">
        <v>682</v>
      </c>
      <c r="N149" s="195" t="str">
        <f t="shared" si="32"/>
        <v xml:space="preserve"> </v>
      </c>
      <c r="O149" s="160" t="s">
        <v>682</v>
      </c>
      <c r="P149" s="195" t="str">
        <f t="shared" si="33"/>
        <v xml:space="preserve"> </v>
      </c>
      <c r="Q149" s="160" t="s">
        <v>682</v>
      </c>
      <c r="R149" s="195" t="str">
        <f t="shared" si="33"/>
        <v xml:space="preserve"> </v>
      </c>
      <c r="S149" s="160" t="s">
        <v>682</v>
      </c>
      <c r="T149" s="195" t="str">
        <f t="shared" si="34"/>
        <v xml:space="preserve"> </v>
      </c>
      <c r="U149" s="160" t="s">
        <v>682</v>
      </c>
      <c r="V149" s="195" t="str">
        <f t="shared" si="35"/>
        <v xml:space="preserve"> </v>
      </c>
      <c r="W149" s="153"/>
      <c r="X149" s="153" t="str">
        <f t="shared" si="36"/>
        <v xml:space="preserve"> </v>
      </c>
      <c r="Y149" s="153" t="str">
        <f t="shared" si="37"/>
        <v xml:space="preserve"> </v>
      </c>
      <c r="Z149" s="153" t="str">
        <f t="shared" si="38"/>
        <v xml:space="preserve"> </v>
      </c>
      <c r="AA149" s="153" t="str">
        <f t="shared" si="39"/>
        <v xml:space="preserve"> </v>
      </c>
      <c r="AB149" s="153" t="str">
        <f t="shared" si="40"/>
        <v xml:space="preserve"> </v>
      </c>
      <c r="AC149" s="153" t="str">
        <f t="shared" si="41"/>
        <v xml:space="preserve"> </v>
      </c>
    </row>
    <row r="150" spans="1:29" ht="45" x14ac:dyDescent="0.25">
      <c r="A150" s="58">
        <v>81</v>
      </c>
      <c r="B150" s="57">
        <v>2</v>
      </c>
      <c r="C150" s="150" t="s">
        <v>282</v>
      </c>
      <c r="D150" s="57" t="s">
        <v>18</v>
      </c>
      <c r="E150" s="160">
        <f>IFERROR(VLOOKUP(A150,Estimate!A:Q,17,FALSE)," ")</f>
        <v>5321.3963963963961</v>
      </c>
      <c r="F150" s="164">
        <v>1</v>
      </c>
      <c r="G150" s="164">
        <v>1</v>
      </c>
      <c r="H150" s="164">
        <v>6740.02</v>
      </c>
      <c r="I150" s="164">
        <v>6740.02</v>
      </c>
      <c r="J150" s="164">
        <v>6740.02</v>
      </c>
      <c r="L150" s="195">
        <f t="shared" si="32"/>
        <v>0</v>
      </c>
      <c r="M150" s="160">
        <v>1</v>
      </c>
      <c r="N150" s="195">
        <f t="shared" si="32"/>
        <v>1</v>
      </c>
      <c r="O150" s="160">
        <v>1</v>
      </c>
      <c r="P150" s="195">
        <f t="shared" si="33"/>
        <v>1</v>
      </c>
      <c r="Q150" s="160">
        <v>1</v>
      </c>
      <c r="R150" s="195">
        <f t="shared" si="33"/>
        <v>1</v>
      </c>
      <c r="S150" s="160">
        <v>1</v>
      </c>
      <c r="T150" s="195">
        <f t="shared" si="34"/>
        <v>1</v>
      </c>
      <c r="U150" s="160">
        <v>1</v>
      </c>
      <c r="V150" s="195">
        <f t="shared" si="35"/>
        <v>1</v>
      </c>
      <c r="W150" s="153"/>
      <c r="X150" s="153">
        <f t="shared" si="36"/>
        <v>0</v>
      </c>
      <c r="Y150" s="153">
        <f t="shared" si="37"/>
        <v>6740.02</v>
      </c>
      <c r="Z150" s="153">
        <f t="shared" si="38"/>
        <v>6740.02</v>
      </c>
      <c r="AA150" s="153">
        <f t="shared" si="39"/>
        <v>6740.02</v>
      </c>
      <c r="AB150" s="153">
        <f t="shared" si="40"/>
        <v>6740.02</v>
      </c>
      <c r="AC150" s="153">
        <f t="shared" si="41"/>
        <v>6740.02</v>
      </c>
    </row>
    <row r="151" spans="1:29" x14ac:dyDescent="0.25">
      <c r="B151" s="57" t="s">
        <v>704</v>
      </c>
      <c r="C151" s="150" t="s">
        <v>682</v>
      </c>
      <c r="D151" s="57" t="s">
        <v>748</v>
      </c>
      <c r="E151" s="160" t="str">
        <f>IFERROR(VLOOKUP(A151,Estimate!A:Q,17,FALSE)," ")</f>
        <v xml:space="preserve"> </v>
      </c>
      <c r="F151" s="164" t="s">
        <v>682</v>
      </c>
      <c r="G151" s="164" t="s">
        <v>682</v>
      </c>
      <c r="H151" s="164" t="s">
        <v>682</v>
      </c>
      <c r="I151" s="164" t="s">
        <v>682</v>
      </c>
      <c r="J151" s="164" t="s">
        <v>682</v>
      </c>
      <c r="K151" s="160" t="s">
        <v>682</v>
      </c>
      <c r="L151" s="195" t="str">
        <f t="shared" ref="L151:N166" si="42">IFERROR(K151/$G151," ")</f>
        <v xml:space="preserve"> </v>
      </c>
      <c r="M151" s="160" t="s">
        <v>682</v>
      </c>
      <c r="N151" s="195" t="str">
        <f t="shared" si="42"/>
        <v xml:space="preserve"> </v>
      </c>
      <c r="O151" s="160" t="s">
        <v>682</v>
      </c>
      <c r="P151" s="195" t="str">
        <f t="shared" ref="P151:R166" si="43">IFERROR(O151/$G151," ")</f>
        <v xml:space="preserve"> </v>
      </c>
      <c r="Q151" s="160" t="s">
        <v>682</v>
      </c>
      <c r="R151" s="195" t="str">
        <f t="shared" si="43"/>
        <v xml:space="preserve"> </v>
      </c>
      <c r="S151" s="160" t="s">
        <v>682</v>
      </c>
      <c r="T151" s="195" t="str">
        <f t="shared" si="34"/>
        <v xml:space="preserve"> </v>
      </c>
      <c r="U151" s="160" t="s">
        <v>682</v>
      </c>
      <c r="V151" s="195" t="str">
        <f t="shared" si="35"/>
        <v xml:space="preserve"> </v>
      </c>
      <c r="W151" s="153"/>
      <c r="X151" s="153" t="str">
        <f t="shared" si="36"/>
        <v xml:space="preserve"> </v>
      </c>
      <c r="Y151" s="153" t="str">
        <f t="shared" si="37"/>
        <v xml:space="preserve"> </v>
      </c>
      <c r="Z151" s="153" t="str">
        <f t="shared" si="38"/>
        <v xml:space="preserve"> </v>
      </c>
      <c r="AA151" s="153" t="str">
        <f t="shared" si="39"/>
        <v xml:space="preserve"> </v>
      </c>
      <c r="AB151" s="153" t="str">
        <f t="shared" si="40"/>
        <v xml:space="preserve"> </v>
      </c>
      <c r="AC151" s="153" t="str">
        <f t="shared" si="41"/>
        <v xml:space="preserve"> </v>
      </c>
    </row>
    <row r="152" spans="1:29" ht="30" x14ac:dyDescent="0.25">
      <c r="B152" s="57">
        <v>3</v>
      </c>
      <c r="C152" s="150" t="s">
        <v>72</v>
      </c>
      <c r="D152" s="57" t="s">
        <v>748</v>
      </c>
      <c r="E152" s="160" t="str">
        <f>IFERROR(VLOOKUP(A152,Estimate!A:Q,17,FALSE)," ")</f>
        <v xml:space="preserve"> </v>
      </c>
      <c r="F152" s="164" t="s">
        <v>682</v>
      </c>
      <c r="G152" s="164" t="s">
        <v>682</v>
      </c>
      <c r="H152" s="164" t="s">
        <v>682</v>
      </c>
      <c r="I152" s="164" t="s">
        <v>682</v>
      </c>
      <c r="J152" s="164" t="s">
        <v>682</v>
      </c>
      <c r="K152" s="160" t="s">
        <v>682</v>
      </c>
      <c r="L152" s="195" t="str">
        <f t="shared" si="42"/>
        <v xml:space="preserve"> </v>
      </c>
      <c r="M152" s="160" t="s">
        <v>682</v>
      </c>
      <c r="N152" s="195" t="str">
        <f t="shared" si="42"/>
        <v xml:space="preserve"> </v>
      </c>
      <c r="O152" s="160" t="s">
        <v>682</v>
      </c>
      <c r="P152" s="195" t="str">
        <f t="shared" si="43"/>
        <v xml:space="preserve"> </v>
      </c>
      <c r="Q152" s="160" t="s">
        <v>682</v>
      </c>
      <c r="R152" s="195" t="str">
        <f t="shared" si="43"/>
        <v xml:space="preserve"> </v>
      </c>
      <c r="S152" s="160" t="s">
        <v>682</v>
      </c>
      <c r="T152" s="195" t="str">
        <f t="shared" si="34"/>
        <v xml:space="preserve"> </v>
      </c>
      <c r="U152" s="160" t="s">
        <v>682</v>
      </c>
      <c r="V152" s="195" t="str">
        <f t="shared" si="35"/>
        <v xml:space="preserve"> </v>
      </c>
      <c r="W152" s="153"/>
      <c r="X152" s="153" t="str">
        <f t="shared" si="36"/>
        <v xml:space="preserve"> </v>
      </c>
      <c r="Y152" s="153" t="str">
        <f t="shared" si="37"/>
        <v xml:space="preserve"> </v>
      </c>
      <c r="Z152" s="153" t="str">
        <f t="shared" si="38"/>
        <v xml:space="preserve"> </v>
      </c>
      <c r="AA152" s="153" t="str">
        <f t="shared" si="39"/>
        <v xml:space="preserve"> </v>
      </c>
      <c r="AB152" s="153" t="str">
        <f t="shared" si="40"/>
        <v xml:space="preserve"> </v>
      </c>
      <c r="AC152" s="153" t="str">
        <f t="shared" si="41"/>
        <v xml:space="preserve"> </v>
      </c>
    </row>
    <row r="153" spans="1:29" ht="30" x14ac:dyDescent="0.25">
      <c r="A153" s="58">
        <v>82</v>
      </c>
      <c r="B153" s="57" t="s">
        <v>1214</v>
      </c>
      <c r="C153" s="150" t="s">
        <v>1254</v>
      </c>
      <c r="D153" s="57" t="s">
        <v>74</v>
      </c>
      <c r="E153" s="160">
        <f>IFERROR(VLOOKUP(A153,Estimate!A:Q,17,FALSE)," ")</f>
        <v>4967.1131058393285</v>
      </c>
      <c r="F153" s="164">
        <v>379</v>
      </c>
      <c r="G153" s="164">
        <v>379</v>
      </c>
      <c r="H153" s="164">
        <v>16.61</v>
      </c>
      <c r="I153" s="164">
        <v>6295.19</v>
      </c>
      <c r="J153" s="164">
        <v>6295.19</v>
      </c>
      <c r="L153" s="195">
        <f t="shared" si="42"/>
        <v>0</v>
      </c>
      <c r="M153" s="160">
        <v>379</v>
      </c>
      <c r="N153" s="195">
        <f t="shared" si="42"/>
        <v>1</v>
      </c>
      <c r="O153" s="160">
        <v>379</v>
      </c>
      <c r="P153" s="195">
        <f t="shared" si="43"/>
        <v>1</v>
      </c>
      <c r="Q153" s="160">
        <v>379</v>
      </c>
      <c r="R153" s="195">
        <f t="shared" si="43"/>
        <v>1</v>
      </c>
      <c r="S153" s="160">
        <v>379</v>
      </c>
      <c r="T153" s="195">
        <f t="shared" si="34"/>
        <v>1</v>
      </c>
      <c r="U153" s="160">
        <v>379</v>
      </c>
      <c r="V153" s="195">
        <f t="shared" si="35"/>
        <v>1</v>
      </c>
      <c r="W153" s="153"/>
      <c r="X153" s="153">
        <f t="shared" si="36"/>
        <v>0</v>
      </c>
      <c r="Y153" s="153">
        <f t="shared" si="37"/>
        <v>6295.19</v>
      </c>
      <c r="Z153" s="153">
        <f t="shared" si="38"/>
        <v>6295.19</v>
      </c>
      <c r="AA153" s="153">
        <f t="shared" si="39"/>
        <v>6295.19</v>
      </c>
      <c r="AB153" s="153">
        <f t="shared" si="40"/>
        <v>6295.19</v>
      </c>
      <c r="AC153" s="153">
        <f t="shared" si="41"/>
        <v>6295.19</v>
      </c>
    </row>
    <row r="154" spans="1:29" ht="30" x14ac:dyDescent="0.25">
      <c r="A154" s="58">
        <v>83</v>
      </c>
      <c r="B154" s="57" t="s">
        <v>1216</v>
      </c>
      <c r="C154" s="150" t="s">
        <v>80</v>
      </c>
      <c r="D154" s="57" t="s">
        <v>74</v>
      </c>
      <c r="E154" s="160">
        <f>IFERROR(VLOOKUP(A154,Estimate!A:Q,17,FALSE)," ")</f>
        <v>3143.5</v>
      </c>
      <c r="F154" s="164">
        <v>50</v>
      </c>
      <c r="G154" s="164">
        <v>63.5</v>
      </c>
      <c r="H154" s="164">
        <v>62.87</v>
      </c>
      <c r="I154" s="164">
        <v>3143.5</v>
      </c>
      <c r="J154" s="164">
        <v>3992.2449999999999</v>
      </c>
      <c r="L154" s="195">
        <f t="shared" si="42"/>
        <v>0</v>
      </c>
      <c r="M154" s="160">
        <v>63.5</v>
      </c>
      <c r="N154" s="195">
        <f t="shared" si="42"/>
        <v>1</v>
      </c>
      <c r="P154" s="195">
        <f t="shared" si="43"/>
        <v>0</v>
      </c>
      <c r="R154" s="195">
        <f t="shared" si="43"/>
        <v>0</v>
      </c>
      <c r="T154" s="195">
        <f t="shared" si="34"/>
        <v>0</v>
      </c>
      <c r="V154" s="195">
        <f t="shared" si="35"/>
        <v>0</v>
      </c>
      <c r="W154" s="153"/>
      <c r="X154" s="153">
        <f t="shared" si="36"/>
        <v>0</v>
      </c>
      <c r="Y154" s="153">
        <f t="shared" si="37"/>
        <v>3992.2449999999999</v>
      </c>
      <c r="Z154" s="153">
        <f t="shared" si="38"/>
        <v>0</v>
      </c>
      <c r="AA154" s="153">
        <f t="shared" si="39"/>
        <v>0</v>
      </c>
      <c r="AB154" s="153">
        <f t="shared" si="40"/>
        <v>0</v>
      </c>
      <c r="AC154" s="153">
        <f t="shared" si="41"/>
        <v>0</v>
      </c>
    </row>
    <row r="155" spans="1:29" x14ac:dyDescent="0.25">
      <c r="B155" s="57" t="s">
        <v>704</v>
      </c>
      <c r="C155" s="150" t="s">
        <v>682</v>
      </c>
      <c r="D155" s="57" t="s">
        <v>748</v>
      </c>
      <c r="E155" s="160" t="str">
        <f>IFERROR(VLOOKUP(A155,Estimate!A:Q,17,FALSE)," ")</f>
        <v xml:space="preserve"> </v>
      </c>
      <c r="F155" s="164" t="s">
        <v>682</v>
      </c>
      <c r="G155" s="164" t="s">
        <v>682</v>
      </c>
      <c r="H155" s="164" t="s">
        <v>682</v>
      </c>
      <c r="I155" s="164" t="s">
        <v>682</v>
      </c>
      <c r="J155" s="164" t="s">
        <v>682</v>
      </c>
      <c r="K155" s="160" t="s">
        <v>682</v>
      </c>
      <c r="L155" s="195" t="str">
        <f t="shared" si="42"/>
        <v xml:space="preserve"> </v>
      </c>
      <c r="M155" s="160" t="s">
        <v>682</v>
      </c>
      <c r="N155" s="195" t="str">
        <f t="shared" si="42"/>
        <v xml:space="preserve"> </v>
      </c>
      <c r="O155" s="160" t="s">
        <v>682</v>
      </c>
      <c r="P155" s="195" t="str">
        <f t="shared" si="43"/>
        <v xml:space="preserve"> </v>
      </c>
      <c r="Q155" s="160" t="s">
        <v>682</v>
      </c>
      <c r="R155" s="195" t="str">
        <f t="shared" si="43"/>
        <v xml:space="preserve"> </v>
      </c>
      <c r="S155" s="160" t="s">
        <v>682</v>
      </c>
      <c r="T155" s="195" t="str">
        <f t="shared" si="34"/>
        <v xml:space="preserve"> </v>
      </c>
      <c r="U155" s="160" t="s">
        <v>682</v>
      </c>
      <c r="V155" s="195" t="str">
        <f t="shared" si="35"/>
        <v xml:space="preserve"> </v>
      </c>
      <c r="W155" s="153"/>
      <c r="X155" s="153" t="str">
        <f t="shared" si="36"/>
        <v xml:space="preserve"> </v>
      </c>
      <c r="Y155" s="153" t="str">
        <f t="shared" si="37"/>
        <v xml:space="preserve"> </v>
      </c>
      <c r="Z155" s="153" t="str">
        <f t="shared" si="38"/>
        <v xml:space="preserve"> </v>
      </c>
      <c r="AA155" s="153" t="str">
        <f t="shared" si="39"/>
        <v xml:space="preserve"> </v>
      </c>
      <c r="AB155" s="153" t="str">
        <f t="shared" si="40"/>
        <v xml:space="preserve"> </v>
      </c>
      <c r="AC155" s="153" t="str">
        <f t="shared" si="41"/>
        <v xml:space="preserve"> </v>
      </c>
    </row>
    <row r="156" spans="1:29" ht="75" x14ac:dyDescent="0.25">
      <c r="B156" s="57">
        <v>4</v>
      </c>
      <c r="C156" s="150" t="s">
        <v>288</v>
      </c>
      <c r="D156" s="57" t="s">
        <v>748</v>
      </c>
      <c r="E156" s="160" t="str">
        <f>IFERROR(VLOOKUP(A156,Estimate!A:Q,17,FALSE)," ")</f>
        <v xml:space="preserve"> </v>
      </c>
      <c r="F156" s="164" t="s">
        <v>682</v>
      </c>
      <c r="G156" s="164" t="s">
        <v>682</v>
      </c>
      <c r="H156" s="164" t="s">
        <v>682</v>
      </c>
      <c r="I156" s="164" t="s">
        <v>682</v>
      </c>
      <c r="J156" s="164" t="s">
        <v>682</v>
      </c>
      <c r="K156" s="160" t="s">
        <v>682</v>
      </c>
      <c r="L156" s="195" t="str">
        <f t="shared" si="42"/>
        <v xml:space="preserve"> </v>
      </c>
      <c r="M156" s="160" t="s">
        <v>682</v>
      </c>
      <c r="N156" s="195" t="str">
        <f t="shared" si="42"/>
        <v xml:space="preserve"> </v>
      </c>
      <c r="O156" s="160" t="s">
        <v>682</v>
      </c>
      <c r="P156" s="195" t="str">
        <f t="shared" si="43"/>
        <v xml:space="preserve"> </v>
      </c>
      <c r="Q156" s="160" t="s">
        <v>682</v>
      </c>
      <c r="R156" s="195" t="str">
        <f t="shared" si="43"/>
        <v xml:space="preserve"> </v>
      </c>
      <c r="S156" s="160" t="s">
        <v>682</v>
      </c>
      <c r="T156" s="195" t="str">
        <f t="shared" si="34"/>
        <v xml:space="preserve"> </v>
      </c>
      <c r="U156" s="160" t="s">
        <v>682</v>
      </c>
      <c r="V156" s="195" t="str">
        <f t="shared" si="35"/>
        <v xml:space="preserve"> </v>
      </c>
      <c r="W156" s="153"/>
      <c r="X156" s="153" t="str">
        <f t="shared" si="36"/>
        <v xml:space="preserve"> </v>
      </c>
      <c r="Y156" s="153" t="str">
        <f t="shared" si="37"/>
        <v xml:space="preserve"> </v>
      </c>
      <c r="Z156" s="153" t="str">
        <f t="shared" si="38"/>
        <v xml:space="preserve"> </v>
      </c>
      <c r="AA156" s="153" t="str">
        <f t="shared" si="39"/>
        <v xml:space="preserve"> </v>
      </c>
      <c r="AB156" s="153" t="str">
        <f t="shared" si="40"/>
        <v xml:space="preserve"> </v>
      </c>
      <c r="AC156" s="153" t="str">
        <f t="shared" si="41"/>
        <v xml:space="preserve"> </v>
      </c>
    </row>
    <row r="157" spans="1:29" x14ac:dyDescent="0.25">
      <c r="A157" s="58">
        <v>84</v>
      </c>
      <c r="B157" s="57" t="s">
        <v>1214</v>
      </c>
      <c r="C157" s="150" t="s">
        <v>1255</v>
      </c>
      <c r="D157" s="57" t="s">
        <v>88</v>
      </c>
      <c r="E157" s="160">
        <f>IFERROR(VLOOKUP(A157,Estimate!A:Q,17,FALSE)," ")</f>
        <v>1843.905</v>
      </c>
      <c r="F157" s="164">
        <v>630</v>
      </c>
      <c r="G157" s="164">
        <v>630</v>
      </c>
      <c r="H157" s="164">
        <v>3.71</v>
      </c>
      <c r="I157" s="164">
        <v>2337.3000000000002</v>
      </c>
      <c r="J157" s="164">
        <v>2337.3000000000002</v>
      </c>
      <c r="L157" s="195">
        <f t="shared" si="42"/>
        <v>0</v>
      </c>
      <c r="M157" s="160">
        <v>630</v>
      </c>
      <c r="N157" s="195">
        <f t="shared" si="42"/>
        <v>1</v>
      </c>
      <c r="O157" s="160">
        <v>630</v>
      </c>
      <c r="P157" s="195">
        <f t="shared" si="43"/>
        <v>1</v>
      </c>
      <c r="Q157" s="160">
        <v>630</v>
      </c>
      <c r="R157" s="195">
        <f t="shared" si="43"/>
        <v>1</v>
      </c>
      <c r="S157" s="160">
        <v>630</v>
      </c>
      <c r="T157" s="195">
        <f t="shared" si="34"/>
        <v>1</v>
      </c>
      <c r="U157" s="160">
        <v>630</v>
      </c>
      <c r="V157" s="195">
        <f t="shared" si="35"/>
        <v>1</v>
      </c>
      <c r="W157" s="153"/>
      <c r="X157" s="153">
        <f t="shared" si="36"/>
        <v>0</v>
      </c>
      <c r="Y157" s="153">
        <f t="shared" si="37"/>
        <v>2337.3000000000002</v>
      </c>
      <c r="Z157" s="153">
        <f t="shared" si="38"/>
        <v>2337.3000000000002</v>
      </c>
      <c r="AA157" s="153">
        <f t="shared" si="39"/>
        <v>2337.3000000000002</v>
      </c>
      <c r="AB157" s="153">
        <f t="shared" si="40"/>
        <v>2337.3000000000002</v>
      </c>
      <c r="AC157" s="153">
        <f t="shared" si="41"/>
        <v>2337.3000000000002</v>
      </c>
    </row>
    <row r="158" spans="1:29" x14ac:dyDescent="0.25">
      <c r="A158" s="58">
        <v>85</v>
      </c>
      <c r="B158" s="57" t="s">
        <v>1216</v>
      </c>
      <c r="C158" s="150" t="s">
        <v>1256</v>
      </c>
      <c r="D158" s="57" t="s">
        <v>88</v>
      </c>
      <c r="E158" s="160">
        <f>IFERROR(VLOOKUP(A158,Estimate!A:Q,17,FALSE)," ")</f>
        <v>1680.0023333333336</v>
      </c>
      <c r="F158" s="164">
        <v>574</v>
      </c>
      <c r="G158" s="164">
        <v>574</v>
      </c>
      <c r="H158" s="164">
        <v>3.71</v>
      </c>
      <c r="I158" s="164">
        <v>2129.54</v>
      </c>
      <c r="J158" s="164">
        <v>2129.54</v>
      </c>
      <c r="L158" s="195">
        <f t="shared" si="42"/>
        <v>0</v>
      </c>
      <c r="M158" s="160">
        <v>574</v>
      </c>
      <c r="N158" s="195">
        <f t="shared" si="42"/>
        <v>1</v>
      </c>
      <c r="O158" s="160">
        <v>574</v>
      </c>
      <c r="P158" s="195">
        <f t="shared" si="43"/>
        <v>1</v>
      </c>
      <c r="Q158" s="160">
        <v>574</v>
      </c>
      <c r="R158" s="195">
        <f t="shared" si="43"/>
        <v>1</v>
      </c>
      <c r="S158" s="160">
        <v>574</v>
      </c>
      <c r="T158" s="195">
        <f t="shared" si="34"/>
        <v>1</v>
      </c>
      <c r="U158" s="160">
        <v>574</v>
      </c>
      <c r="V158" s="195">
        <f t="shared" si="35"/>
        <v>1</v>
      </c>
      <c r="W158" s="153"/>
      <c r="X158" s="153">
        <f t="shared" si="36"/>
        <v>0</v>
      </c>
      <c r="Y158" s="153">
        <f t="shared" si="37"/>
        <v>2129.54</v>
      </c>
      <c r="Z158" s="153">
        <f t="shared" si="38"/>
        <v>2129.54</v>
      </c>
      <c r="AA158" s="153">
        <f t="shared" si="39"/>
        <v>2129.54</v>
      </c>
      <c r="AB158" s="153">
        <f t="shared" si="40"/>
        <v>2129.54</v>
      </c>
      <c r="AC158" s="153">
        <f t="shared" si="41"/>
        <v>2129.54</v>
      </c>
    </row>
    <row r="159" spans="1:29" x14ac:dyDescent="0.25">
      <c r="B159" s="57" t="s">
        <v>704</v>
      </c>
      <c r="C159" s="150" t="s">
        <v>682</v>
      </c>
      <c r="D159" s="57" t="s">
        <v>748</v>
      </c>
      <c r="E159" s="160" t="str">
        <f>IFERROR(VLOOKUP(A159,Estimate!A:Q,17,FALSE)," ")</f>
        <v xml:space="preserve"> </v>
      </c>
      <c r="F159" s="164" t="s">
        <v>682</v>
      </c>
      <c r="G159" s="164" t="s">
        <v>682</v>
      </c>
      <c r="H159" s="164" t="s">
        <v>682</v>
      </c>
      <c r="I159" s="164" t="s">
        <v>682</v>
      </c>
      <c r="J159" s="164" t="s">
        <v>682</v>
      </c>
      <c r="K159" s="160" t="s">
        <v>682</v>
      </c>
      <c r="L159" s="195" t="str">
        <f t="shared" si="42"/>
        <v xml:space="preserve"> </v>
      </c>
      <c r="M159" s="160" t="s">
        <v>682</v>
      </c>
      <c r="N159" s="195" t="str">
        <f t="shared" si="42"/>
        <v xml:space="preserve"> </v>
      </c>
      <c r="O159" s="160" t="s">
        <v>682</v>
      </c>
      <c r="P159" s="195" t="str">
        <f t="shared" si="43"/>
        <v xml:space="preserve"> </v>
      </c>
      <c r="Q159" s="160" t="s">
        <v>682</v>
      </c>
      <c r="R159" s="195" t="str">
        <f t="shared" si="43"/>
        <v xml:space="preserve"> </v>
      </c>
      <c r="S159" s="160" t="s">
        <v>682</v>
      </c>
      <c r="T159" s="195" t="str">
        <f t="shared" si="34"/>
        <v xml:space="preserve"> </v>
      </c>
      <c r="U159" s="160" t="s">
        <v>682</v>
      </c>
      <c r="V159" s="195" t="str">
        <f t="shared" si="35"/>
        <v xml:space="preserve"> </v>
      </c>
      <c r="W159" s="153"/>
      <c r="X159" s="153" t="str">
        <f t="shared" si="36"/>
        <v xml:space="preserve"> </v>
      </c>
      <c r="Y159" s="153" t="str">
        <f t="shared" si="37"/>
        <v xml:space="preserve"> </v>
      </c>
      <c r="Z159" s="153" t="str">
        <f t="shared" si="38"/>
        <v xml:space="preserve"> </v>
      </c>
      <c r="AA159" s="153" t="str">
        <f t="shared" si="39"/>
        <v xml:space="preserve"> </v>
      </c>
      <c r="AB159" s="153" t="str">
        <f t="shared" si="40"/>
        <v xml:space="preserve"> </v>
      </c>
      <c r="AC159" s="153" t="str">
        <f t="shared" si="41"/>
        <v xml:space="preserve"> </v>
      </c>
    </row>
    <row r="160" spans="1:29" ht="45" x14ac:dyDescent="0.25">
      <c r="B160" s="57">
        <v>5</v>
      </c>
      <c r="C160" s="150" t="s">
        <v>292</v>
      </c>
      <c r="D160" s="57" t="s">
        <v>748</v>
      </c>
      <c r="E160" s="160" t="str">
        <f>IFERROR(VLOOKUP(A160,Estimate!A:Q,17,FALSE)," ")</f>
        <v xml:space="preserve"> </v>
      </c>
      <c r="F160" s="164" t="s">
        <v>682</v>
      </c>
      <c r="G160" s="164" t="s">
        <v>682</v>
      </c>
      <c r="H160" s="164" t="s">
        <v>682</v>
      </c>
      <c r="I160" s="164" t="s">
        <v>682</v>
      </c>
      <c r="J160" s="164" t="s">
        <v>682</v>
      </c>
      <c r="K160" s="160" t="s">
        <v>682</v>
      </c>
      <c r="L160" s="195" t="str">
        <f t="shared" si="42"/>
        <v xml:space="preserve"> </v>
      </c>
      <c r="M160" s="160" t="s">
        <v>682</v>
      </c>
      <c r="N160" s="195" t="str">
        <f t="shared" si="42"/>
        <v xml:space="preserve"> </v>
      </c>
      <c r="O160" s="160" t="s">
        <v>682</v>
      </c>
      <c r="P160" s="195" t="str">
        <f t="shared" si="43"/>
        <v xml:space="preserve"> </v>
      </c>
      <c r="Q160" s="160" t="s">
        <v>682</v>
      </c>
      <c r="R160" s="195" t="str">
        <f t="shared" si="43"/>
        <v xml:space="preserve"> </v>
      </c>
      <c r="S160" s="160" t="s">
        <v>682</v>
      </c>
      <c r="T160" s="195" t="str">
        <f t="shared" si="34"/>
        <v xml:space="preserve"> </v>
      </c>
      <c r="U160" s="160" t="s">
        <v>682</v>
      </c>
      <c r="V160" s="195" t="str">
        <f t="shared" si="35"/>
        <v xml:space="preserve"> </v>
      </c>
      <c r="W160" s="153"/>
      <c r="X160" s="153" t="str">
        <f t="shared" si="36"/>
        <v xml:space="preserve"> </v>
      </c>
      <c r="Y160" s="153" t="str">
        <f t="shared" si="37"/>
        <v xml:space="preserve"> </v>
      </c>
      <c r="Z160" s="153" t="str">
        <f t="shared" si="38"/>
        <v xml:space="preserve"> </v>
      </c>
      <c r="AA160" s="153" t="str">
        <f t="shared" si="39"/>
        <v xml:space="preserve"> </v>
      </c>
      <c r="AB160" s="153" t="str">
        <f t="shared" si="40"/>
        <v xml:space="preserve"> </v>
      </c>
      <c r="AC160" s="153" t="str">
        <f t="shared" si="41"/>
        <v xml:space="preserve"> </v>
      </c>
    </row>
    <row r="161" spans="1:29" x14ac:dyDescent="0.25">
      <c r="A161" s="58">
        <v>86</v>
      </c>
      <c r="B161" s="57" t="s">
        <v>1214</v>
      </c>
      <c r="C161" s="150" t="s">
        <v>1255</v>
      </c>
      <c r="D161" s="57" t="s">
        <v>88</v>
      </c>
      <c r="E161" s="160">
        <f>IFERROR(VLOOKUP(A161,Estimate!A:Q,17,FALSE)," ")</f>
        <v>925.43357575757568</v>
      </c>
      <c r="F161" s="164">
        <v>437</v>
      </c>
      <c r="G161" s="164">
        <v>437</v>
      </c>
      <c r="H161" s="164">
        <v>2.68</v>
      </c>
      <c r="I161" s="164">
        <v>1171.1600000000001</v>
      </c>
      <c r="J161" s="164">
        <v>1171.1600000000001</v>
      </c>
      <c r="L161" s="195">
        <f t="shared" si="42"/>
        <v>0</v>
      </c>
      <c r="N161" s="195">
        <f t="shared" si="42"/>
        <v>0</v>
      </c>
      <c r="O161" s="160">
        <v>437</v>
      </c>
      <c r="P161" s="195">
        <f t="shared" si="43"/>
        <v>1</v>
      </c>
      <c r="Q161" s="160">
        <v>437</v>
      </c>
      <c r="R161" s="195">
        <f t="shared" si="43"/>
        <v>1</v>
      </c>
      <c r="S161" s="160">
        <v>437</v>
      </c>
      <c r="T161" s="195">
        <f t="shared" si="34"/>
        <v>1</v>
      </c>
      <c r="U161" s="160">
        <v>437</v>
      </c>
      <c r="V161" s="195">
        <f t="shared" si="35"/>
        <v>1</v>
      </c>
      <c r="W161" s="153"/>
      <c r="X161" s="153">
        <f t="shared" si="36"/>
        <v>0</v>
      </c>
      <c r="Y161" s="153">
        <f t="shared" si="37"/>
        <v>0</v>
      </c>
      <c r="Z161" s="153">
        <f t="shared" si="38"/>
        <v>1171.1600000000001</v>
      </c>
      <c r="AA161" s="153">
        <f t="shared" si="39"/>
        <v>1171.1600000000001</v>
      </c>
      <c r="AB161" s="153">
        <f t="shared" si="40"/>
        <v>1171.1600000000001</v>
      </c>
      <c r="AC161" s="153">
        <f t="shared" si="41"/>
        <v>1171.1600000000001</v>
      </c>
    </row>
    <row r="162" spans="1:29" x14ac:dyDescent="0.25">
      <c r="A162" s="58">
        <v>87</v>
      </c>
      <c r="B162" s="57" t="s">
        <v>1216</v>
      </c>
      <c r="C162" s="150" t="s">
        <v>1256</v>
      </c>
      <c r="D162" s="57" t="s">
        <v>88</v>
      </c>
      <c r="E162" s="160">
        <f>IFERROR(VLOOKUP(A162,Estimate!A:Q,17,FALSE)," ")</f>
        <v>878.84424242424234</v>
      </c>
      <c r="F162" s="164">
        <v>415</v>
      </c>
      <c r="G162" s="164">
        <v>415</v>
      </c>
      <c r="H162" s="164">
        <v>2.68</v>
      </c>
      <c r="I162" s="164">
        <v>1112.2</v>
      </c>
      <c r="J162" s="164">
        <v>1112.2</v>
      </c>
      <c r="L162" s="195">
        <f t="shared" si="42"/>
        <v>0</v>
      </c>
      <c r="N162" s="195">
        <f t="shared" si="42"/>
        <v>0</v>
      </c>
      <c r="O162" s="160">
        <v>415</v>
      </c>
      <c r="P162" s="195">
        <f t="shared" si="43"/>
        <v>1</v>
      </c>
      <c r="Q162" s="160">
        <v>415</v>
      </c>
      <c r="R162" s="195">
        <f t="shared" si="43"/>
        <v>1</v>
      </c>
      <c r="S162" s="160">
        <v>415</v>
      </c>
      <c r="T162" s="195">
        <f t="shared" si="34"/>
        <v>1</v>
      </c>
      <c r="U162" s="160">
        <v>415</v>
      </c>
      <c r="V162" s="195">
        <f t="shared" si="35"/>
        <v>1</v>
      </c>
      <c r="W162" s="153"/>
      <c r="X162" s="153">
        <f t="shared" si="36"/>
        <v>0</v>
      </c>
      <c r="Y162" s="153">
        <f t="shared" si="37"/>
        <v>0</v>
      </c>
      <c r="Z162" s="153">
        <f t="shared" si="38"/>
        <v>1112.2</v>
      </c>
      <c r="AA162" s="153">
        <f t="shared" si="39"/>
        <v>1112.2</v>
      </c>
      <c r="AB162" s="153">
        <f t="shared" si="40"/>
        <v>1112.2</v>
      </c>
      <c r="AC162" s="153">
        <f t="shared" si="41"/>
        <v>1112.2</v>
      </c>
    </row>
    <row r="163" spans="1:29" x14ac:dyDescent="0.25">
      <c r="B163" s="57" t="s">
        <v>704</v>
      </c>
      <c r="C163" s="150" t="s">
        <v>682</v>
      </c>
      <c r="D163" s="57" t="s">
        <v>748</v>
      </c>
      <c r="E163" s="160" t="str">
        <f>IFERROR(VLOOKUP(A163,Estimate!A:Q,17,FALSE)," ")</f>
        <v xml:space="preserve"> </v>
      </c>
      <c r="F163" s="164" t="s">
        <v>682</v>
      </c>
      <c r="G163" s="164" t="s">
        <v>682</v>
      </c>
      <c r="H163" s="164" t="s">
        <v>682</v>
      </c>
      <c r="I163" s="164" t="s">
        <v>682</v>
      </c>
      <c r="J163" s="164" t="s">
        <v>682</v>
      </c>
      <c r="K163" s="160" t="s">
        <v>682</v>
      </c>
      <c r="L163" s="195" t="str">
        <f t="shared" si="42"/>
        <v xml:space="preserve"> </v>
      </c>
      <c r="M163" s="160" t="s">
        <v>682</v>
      </c>
      <c r="N163" s="195" t="str">
        <f t="shared" si="42"/>
        <v xml:space="preserve"> </v>
      </c>
      <c r="O163" s="160" t="s">
        <v>682</v>
      </c>
      <c r="P163" s="195" t="str">
        <f t="shared" si="43"/>
        <v xml:space="preserve"> </v>
      </c>
      <c r="Q163" s="160" t="s">
        <v>682</v>
      </c>
      <c r="R163" s="195" t="str">
        <f t="shared" si="43"/>
        <v xml:space="preserve"> </v>
      </c>
      <c r="S163" s="160" t="s">
        <v>682</v>
      </c>
      <c r="T163" s="195" t="str">
        <f t="shared" si="34"/>
        <v xml:space="preserve"> </v>
      </c>
      <c r="U163" s="160" t="s">
        <v>682</v>
      </c>
      <c r="V163" s="195" t="str">
        <f t="shared" si="35"/>
        <v xml:space="preserve"> </v>
      </c>
      <c r="W163" s="153"/>
      <c r="X163" s="153" t="str">
        <f t="shared" si="36"/>
        <v xml:space="preserve"> </v>
      </c>
      <c r="Y163" s="153" t="str">
        <f t="shared" si="37"/>
        <v xml:space="preserve"> </v>
      </c>
      <c r="Z163" s="153" t="str">
        <f t="shared" si="38"/>
        <v xml:space="preserve"> </v>
      </c>
      <c r="AA163" s="153" t="str">
        <f t="shared" si="39"/>
        <v xml:space="preserve"> </v>
      </c>
      <c r="AB163" s="153" t="str">
        <f t="shared" si="40"/>
        <v xml:space="preserve"> </v>
      </c>
      <c r="AC163" s="153" t="str">
        <f t="shared" si="41"/>
        <v xml:space="preserve"> </v>
      </c>
    </row>
    <row r="164" spans="1:29" x14ac:dyDescent="0.25">
      <c r="B164" s="57">
        <v>6</v>
      </c>
      <c r="C164" s="150" t="s">
        <v>94</v>
      </c>
      <c r="D164" s="57" t="s">
        <v>748</v>
      </c>
      <c r="E164" s="160" t="str">
        <f>IFERROR(VLOOKUP(A164,Estimate!A:Q,17,FALSE)," ")</f>
        <v xml:space="preserve"> </v>
      </c>
      <c r="F164" s="164" t="s">
        <v>682</v>
      </c>
      <c r="G164" s="164" t="s">
        <v>682</v>
      </c>
      <c r="H164" s="164" t="s">
        <v>682</v>
      </c>
      <c r="I164" s="164" t="s">
        <v>682</v>
      </c>
      <c r="J164" s="164" t="s">
        <v>682</v>
      </c>
      <c r="K164" s="160" t="s">
        <v>682</v>
      </c>
      <c r="L164" s="195" t="str">
        <f t="shared" si="42"/>
        <v xml:space="preserve"> </v>
      </c>
      <c r="M164" s="160" t="s">
        <v>682</v>
      </c>
      <c r="N164" s="195" t="str">
        <f t="shared" si="42"/>
        <v xml:space="preserve"> </v>
      </c>
      <c r="O164" s="160" t="s">
        <v>682</v>
      </c>
      <c r="P164" s="195" t="str">
        <f t="shared" si="43"/>
        <v xml:space="preserve"> </v>
      </c>
      <c r="Q164" s="160" t="s">
        <v>682</v>
      </c>
      <c r="R164" s="195" t="str">
        <f t="shared" si="43"/>
        <v xml:space="preserve"> </v>
      </c>
      <c r="S164" s="160" t="s">
        <v>682</v>
      </c>
      <c r="T164" s="195" t="str">
        <f t="shared" si="34"/>
        <v xml:space="preserve"> </v>
      </c>
      <c r="U164" s="160" t="s">
        <v>682</v>
      </c>
      <c r="V164" s="195" t="str">
        <f t="shared" si="35"/>
        <v xml:space="preserve"> </v>
      </c>
      <c r="W164" s="153"/>
      <c r="X164" s="153" t="str">
        <f t="shared" si="36"/>
        <v xml:space="preserve"> </v>
      </c>
      <c r="Y164" s="153" t="str">
        <f t="shared" si="37"/>
        <v xml:space="preserve"> </v>
      </c>
      <c r="Z164" s="153" t="str">
        <f t="shared" si="38"/>
        <v xml:space="preserve"> </v>
      </c>
      <c r="AA164" s="153" t="str">
        <f t="shared" si="39"/>
        <v xml:space="preserve"> </v>
      </c>
      <c r="AB164" s="153" t="str">
        <f t="shared" si="40"/>
        <v xml:space="preserve"> </v>
      </c>
      <c r="AC164" s="153" t="str">
        <f t="shared" si="41"/>
        <v xml:space="preserve"> </v>
      </c>
    </row>
    <row r="165" spans="1:29" ht="30" x14ac:dyDescent="0.25">
      <c r="B165" s="57" t="s">
        <v>704</v>
      </c>
      <c r="C165" s="150" t="s">
        <v>96</v>
      </c>
      <c r="D165" s="57" t="s">
        <v>748</v>
      </c>
      <c r="E165" s="160" t="str">
        <f>IFERROR(VLOOKUP(A165,Estimate!A:Q,17,FALSE)," ")</f>
        <v xml:space="preserve"> </v>
      </c>
      <c r="F165" s="164" t="s">
        <v>682</v>
      </c>
      <c r="G165" s="164" t="s">
        <v>682</v>
      </c>
      <c r="H165" s="164" t="s">
        <v>682</v>
      </c>
      <c r="I165" s="164" t="s">
        <v>682</v>
      </c>
      <c r="J165" s="164" t="s">
        <v>682</v>
      </c>
      <c r="K165" s="160" t="s">
        <v>682</v>
      </c>
      <c r="L165" s="195" t="str">
        <f t="shared" si="42"/>
        <v xml:space="preserve"> </v>
      </c>
      <c r="M165" s="160" t="s">
        <v>682</v>
      </c>
      <c r="N165" s="195" t="str">
        <f t="shared" si="42"/>
        <v xml:space="preserve"> </v>
      </c>
      <c r="O165" s="160" t="s">
        <v>682</v>
      </c>
      <c r="P165" s="195" t="str">
        <f t="shared" si="43"/>
        <v xml:space="preserve"> </v>
      </c>
      <c r="Q165" s="160" t="s">
        <v>682</v>
      </c>
      <c r="R165" s="195" t="str">
        <f t="shared" si="43"/>
        <v xml:space="preserve"> </v>
      </c>
      <c r="S165" s="160" t="s">
        <v>682</v>
      </c>
      <c r="T165" s="195" t="str">
        <f t="shared" si="34"/>
        <v xml:space="preserve"> </v>
      </c>
      <c r="U165" s="160" t="s">
        <v>682</v>
      </c>
      <c r="V165" s="195" t="str">
        <f t="shared" si="35"/>
        <v xml:space="preserve"> </v>
      </c>
      <c r="W165" s="153"/>
      <c r="X165" s="153" t="str">
        <f t="shared" si="36"/>
        <v xml:space="preserve"> </v>
      </c>
      <c r="Y165" s="153" t="str">
        <f t="shared" si="37"/>
        <v xml:space="preserve"> </v>
      </c>
      <c r="Z165" s="153" t="str">
        <f t="shared" si="38"/>
        <v xml:space="preserve"> </v>
      </c>
      <c r="AA165" s="153" t="str">
        <f t="shared" si="39"/>
        <v xml:space="preserve"> </v>
      </c>
      <c r="AB165" s="153" t="str">
        <f t="shared" si="40"/>
        <v xml:space="preserve"> </v>
      </c>
      <c r="AC165" s="153" t="str">
        <f t="shared" si="41"/>
        <v xml:space="preserve"> </v>
      </c>
    </row>
    <row r="166" spans="1:29" ht="30" x14ac:dyDescent="0.25">
      <c r="B166" s="57" t="s">
        <v>704</v>
      </c>
      <c r="C166" s="150" t="s">
        <v>298</v>
      </c>
      <c r="D166" s="57" t="s">
        <v>748</v>
      </c>
      <c r="E166" s="160" t="str">
        <f>IFERROR(VLOOKUP(A166,Estimate!A:Q,17,FALSE)," ")</f>
        <v xml:space="preserve"> </v>
      </c>
      <c r="F166" s="164" t="s">
        <v>682</v>
      </c>
      <c r="G166" s="164" t="s">
        <v>682</v>
      </c>
      <c r="H166" s="164" t="s">
        <v>682</v>
      </c>
      <c r="I166" s="164" t="s">
        <v>682</v>
      </c>
      <c r="J166" s="164" t="s">
        <v>682</v>
      </c>
      <c r="K166" s="160" t="s">
        <v>682</v>
      </c>
      <c r="L166" s="195" t="str">
        <f t="shared" si="42"/>
        <v xml:space="preserve"> </v>
      </c>
      <c r="M166" s="160" t="s">
        <v>682</v>
      </c>
      <c r="N166" s="195" t="str">
        <f t="shared" si="42"/>
        <v xml:space="preserve"> </v>
      </c>
      <c r="O166" s="160" t="s">
        <v>682</v>
      </c>
      <c r="P166" s="195" t="str">
        <f t="shared" si="43"/>
        <v xml:space="preserve"> </v>
      </c>
      <c r="Q166" s="160" t="s">
        <v>682</v>
      </c>
      <c r="R166" s="195" t="str">
        <f t="shared" si="43"/>
        <v xml:space="preserve"> </v>
      </c>
      <c r="S166" s="160" t="s">
        <v>682</v>
      </c>
      <c r="T166" s="195" t="str">
        <f t="shared" si="34"/>
        <v xml:space="preserve"> </v>
      </c>
      <c r="U166" s="160" t="s">
        <v>682</v>
      </c>
      <c r="V166" s="195" t="str">
        <f t="shared" si="35"/>
        <v xml:space="preserve"> </v>
      </c>
      <c r="W166" s="153"/>
      <c r="X166" s="153" t="str">
        <f t="shared" si="36"/>
        <v xml:space="preserve"> </v>
      </c>
      <c r="Y166" s="153" t="str">
        <f t="shared" si="37"/>
        <v xml:space="preserve"> </v>
      </c>
      <c r="Z166" s="153" t="str">
        <f t="shared" si="38"/>
        <v xml:space="preserve"> </v>
      </c>
      <c r="AA166" s="153" t="str">
        <f t="shared" si="39"/>
        <v xml:space="preserve"> </v>
      </c>
      <c r="AB166" s="153" t="str">
        <f t="shared" si="40"/>
        <v xml:space="preserve"> </v>
      </c>
      <c r="AC166" s="153" t="str">
        <f t="shared" si="41"/>
        <v xml:space="preserve"> </v>
      </c>
    </row>
    <row r="167" spans="1:29" x14ac:dyDescent="0.25">
      <c r="A167" s="58">
        <v>88</v>
      </c>
      <c r="B167" s="57" t="s">
        <v>1222</v>
      </c>
      <c r="C167" s="150" t="s">
        <v>1257</v>
      </c>
      <c r="D167" s="57" t="s">
        <v>74</v>
      </c>
      <c r="E167" s="160">
        <f>IFERROR(VLOOKUP(A167,Estimate!A:Q,17,FALSE)," ")</f>
        <v>7478.2426181619103</v>
      </c>
      <c r="F167" s="164">
        <v>70</v>
      </c>
      <c r="G167" s="164">
        <v>70</v>
      </c>
      <c r="H167" s="164">
        <v>135.43</v>
      </c>
      <c r="I167" s="164">
        <v>9480.1</v>
      </c>
      <c r="J167" s="164">
        <v>9480.1</v>
      </c>
      <c r="L167" s="195">
        <f t="shared" ref="L167:N182" si="44">IFERROR(K167/$G167," ")</f>
        <v>0</v>
      </c>
      <c r="M167" s="160">
        <v>70</v>
      </c>
      <c r="N167" s="195">
        <f t="shared" si="44"/>
        <v>1</v>
      </c>
      <c r="O167" s="160">
        <v>70</v>
      </c>
      <c r="P167" s="195">
        <f t="shared" ref="P167:R182" si="45">IFERROR(O167/$G167," ")</f>
        <v>1</v>
      </c>
      <c r="Q167" s="160">
        <v>70</v>
      </c>
      <c r="R167" s="195">
        <f t="shared" si="45"/>
        <v>1</v>
      </c>
      <c r="S167" s="160">
        <v>70</v>
      </c>
      <c r="T167" s="195">
        <f t="shared" si="34"/>
        <v>1</v>
      </c>
      <c r="U167" s="160">
        <v>70</v>
      </c>
      <c r="V167" s="195">
        <f t="shared" si="35"/>
        <v>1</v>
      </c>
      <c r="W167" s="153"/>
      <c r="X167" s="153">
        <f t="shared" si="36"/>
        <v>0</v>
      </c>
      <c r="Y167" s="153">
        <f t="shared" si="37"/>
        <v>9480.1</v>
      </c>
      <c r="Z167" s="153">
        <f t="shared" si="38"/>
        <v>9480.1</v>
      </c>
      <c r="AA167" s="153">
        <f t="shared" si="39"/>
        <v>9480.1</v>
      </c>
      <c r="AB167" s="153">
        <f t="shared" si="40"/>
        <v>9480.1</v>
      </c>
      <c r="AC167" s="153">
        <f t="shared" si="41"/>
        <v>9480.1</v>
      </c>
    </row>
    <row r="168" spans="1:29" x14ac:dyDescent="0.25">
      <c r="A168" s="58">
        <v>89</v>
      </c>
      <c r="B168" s="57" t="s">
        <v>1224</v>
      </c>
      <c r="C168" s="150" t="s">
        <v>1258</v>
      </c>
      <c r="D168" s="57" t="s">
        <v>74</v>
      </c>
      <c r="E168" s="160">
        <f>IFERROR(VLOOKUP(A168,Estimate!A:Q,17,FALSE)," ")</f>
        <v>11116.715502047493</v>
      </c>
      <c r="F168" s="164">
        <v>107</v>
      </c>
      <c r="G168" s="164">
        <v>107</v>
      </c>
      <c r="H168" s="164">
        <v>131.71</v>
      </c>
      <c r="I168" s="164">
        <v>14092.97</v>
      </c>
      <c r="J168" s="164">
        <v>14092.97</v>
      </c>
      <c r="L168" s="195">
        <f t="shared" si="44"/>
        <v>0</v>
      </c>
      <c r="M168" s="160">
        <v>107</v>
      </c>
      <c r="N168" s="195">
        <f t="shared" si="44"/>
        <v>1</v>
      </c>
      <c r="O168" s="160">
        <v>107</v>
      </c>
      <c r="P168" s="195">
        <f t="shared" si="45"/>
        <v>1</v>
      </c>
      <c r="Q168" s="160">
        <v>107</v>
      </c>
      <c r="R168" s="195">
        <f t="shared" si="45"/>
        <v>1</v>
      </c>
      <c r="S168" s="160">
        <v>107</v>
      </c>
      <c r="T168" s="195">
        <f t="shared" si="34"/>
        <v>1</v>
      </c>
      <c r="U168" s="160">
        <v>107</v>
      </c>
      <c r="V168" s="195">
        <f t="shared" si="35"/>
        <v>1</v>
      </c>
      <c r="W168" s="153"/>
      <c r="X168" s="153">
        <f t="shared" si="36"/>
        <v>0</v>
      </c>
      <c r="Y168" s="153">
        <f t="shared" si="37"/>
        <v>14092.970000000001</v>
      </c>
      <c r="Z168" s="153">
        <f t="shared" si="38"/>
        <v>14092.970000000001</v>
      </c>
      <c r="AA168" s="153">
        <f t="shared" si="39"/>
        <v>14092.970000000001</v>
      </c>
      <c r="AB168" s="153">
        <f t="shared" si="40"/>
        <v>14092.970000000001</v>
      </c>
      <c r="AC168" s="153">
        <f t="shared" si="41"/>
        <v>14092.970000000001</v>
      </c>
    </row>
    <row r="169" spans="1:29" x14ac:dyDescent="0.25">
      <c r="A169" s="58">
        <v>90</v>
      </c>
      <c r="B169" s="57" t="s">
        <v>1225</v>
      </c>
      <c r="C169" s="150" t="s">
        <v>1259</v>
      </c>
      <c r="D169" s="57" t="s">
        <v>74</v>
      </c>
      <c r="E169" s="160">
        <f>IFERROR(VLOOKUP(A169,Estimate!A:Q,17,FALSE)," ")</f>
        <v>9160.1583662081684</v>
      </c>
      <c r="F169" s="164">
        <v>90</v>
      </c>
      <c r="G169" s="164">
        <v>90</v>
      </c>
      <c r="H169" s="164">
        <v>129.02000000000001</v>
      </c>
      <c r="I169" s="164">
        <v>11611.8</v>
      </c>
      <c r="J169" s="164">
        <v>11611.8</v>
      </c>
      <c r="L169" s="195">
        <f t="shared" si="44"/>
        <v>0</v>
      </c>
      <c r="M169" s="160">
        <v>90</v>
      </c>
      <c r="N169" s="195">
        <f t="shared" si="44"/>
        <v>1</v>
      </c>
      <c r="O169" s="160">
        <v>90</v>
      </c>
      <c r="P169" s="195">
        <f t="shared" si="45"/>
        <v>1</v>
      </c>
      <c r="Q169" s="160">
        <v>90</v>
      </c>
      <c r="R169" s="195">
        <f t="shared" si="45"/>
        <v>1</v>
      </c>
      <c r="S169" s="160">
        <v>90</v>
      </c>
      <c r="T169" s="195">
        <f t="shared" si="34"/>
        <v>1</v>
      </c>
      <c r="U169" s="160">
        <v>90</v>
      </c>
      <c r="V169" s="195">
        <f t="shared" si="35"/>
        <v>1</v>
      </c>
      <c r="W169" s="153"/>
      <c r="X169" s="153">
        <f t="shared" si="36"/>
        <v>0</v>
      </c>
      <c r="Y169" s="153">
        <f t="shared" si="37"/>
        <v>11611.800000000001</v>
      </c>
      <c r="Z169" s="153">
        <f t="shared" si="38"/>
        <v>11611.800000000001</v>
      </c>
      <c r="AA169" s="153">
        <f t="shared" si="39"/>
        <v>11611.800000000001</v>
      </c>
      <c r="AB169" s="153">
        <f t="shared" si="40"/>
        <v>11611.800000000001</v>
      </c>
      <c r="AC169" s="153">
        <f t="shared" si="41"/>
        <v>11611.800000000001</v>
      </c>
    </row>
    <row r="170" spans="1:29" ht="30" x14ac:dyDescent="0.25">
      <c r="B170" s="57" t="s">
        <v>704</v>
      </c>
      <c r="C170" s="150" t="s">
        <v>303</v>
      </c>
      <c r="D170" s="57" t="s">
        <v>748</v>
      </c>
      <c r="E170" s="160" t="str">
        <f>IFERROR(VLOOKUP(A170,Estimate!A:Q,17,FALSE)," ")</f>
        <v xml:space="preserve"> </v>
      </c>
      <c r="F170" s="164" t="s">
        <v>682</v>
      </c>
      <c r="G170" s="164" t="s">
        <v>682</v>
      </c>
      <c r="H170" s="164" t="s">
        <v>682</v>
      </c>
      <c r="I170" s="164" t="s">
        <v>682</v>
      </c>
      <c r="J170" s="164" t="s">
        <v>682</v>
      </c>
      <c r="K170" s="160" t="s">
        <v>682</v>
      </c>
      <c r="L170" s="195" t="str">
        <f t="shared" si="44"/>
        <v xml:space="preserve"> </v>
      </c>
      <c r="M170" s="160" t="s">
        <v>682</v>
      </c>
      <c r="N170" s="195" t="str">
        <f t="shared" si="44"/>
        <v xml:space="preserve"> </v>
      </c>
      <c r="O170" s="160" t="s">
        <v>682</v>
      </c>
      <c r="P170" s="195" t="str">
        <f t="shared" si="45"/>
        <v xml:space="preserve"> </v>
      </c>
      <c r="Q170" s="160" t="s">
        <v>682</v>
      </c>
      <c r="R170" s="195" t="str">
        <f t="shared" si="45"/>
        <v xml:space="preserve"> </v>
      </c>
      <c r="S170" s="160" t="s">
        <v>682</v>
      </c>
      <c r="T170" s="195" t="str">
        <f t="shared" si="34"/>
        <v xml:space="preserve"> </v>
      </c>
      <c r="U170" s="160" t="s">
        <v>682</v>
      </c>
      <c r="V170" s="195" t="str">
        <f t="shared" si="35"/>
        <v xml:space="preserve"> </v>
      </c>
      <c r="W170" s="153"/>
      <c r="X170" s="153" t="str">
        <f t="shared" si="36"/>
        <v xml:space="preserve"> </v>
      </c>
      <c r="Y170" s="153" t="str">
        <f t="shared" si="37"/>
        <v xml:space="preserve"> </v>
      </c>
      <c r="Z170" s="153" t="str">
        <f t="shared" si="38"/>
        <v xml:space="preserve"> </v>
      </c>
      <c r="AA170" s="153" t="str">
        <f t="shared" si="39"/>
        <v xml:space="preserve"> </v>
      </c>
      <c r="AB170" s="153" t="str">
        <f t="shared" si="40"/>
        <v xml:space="preserve"> </v>
      </c>
      <c r="AC170" s="153" t="str">
        <f t="shared" si="41"/>
        <v xml:space="preserve"> </v>
      </c>
    </row>
    <row r="171" spans="1:29" x14ac:dyDescent="0.25">
      <c r="A171" s="58">
        <v>91</v>
      </c>
      <c r="B171" s="57" t="s">
        <v>1222</v>
      </c>
      <c r="C171" s="150" t="s">
        <v>1257</v>
      </c>
      <c r="D171" s="57" t="s">
        <v>74</v>
      </c>
      <c r="E171" s="160">
        <f>IFERROR(VLOOKUP(A171,Estimate!A:Q,17,FALSE)," ")</f>
        <v>7050.914468552658</v>
      </c>
      <c r="F171" s="164">
        <v>66</v>
      </c>
      <c r="G171" s="164">
        <v>66</v>
      </c>
      <c r="H171" s="164">
        <v>135.43</v>
      </c>
      <c r="I171" s="164">
        <v>8938.3799999999992</v>
      </c>
      <c r="J171" s="164">
        <v>8938.3799999999992</v>
      </c>
      <c r="L171" s="195">
        <f t="shared" si="44"/>
        <v>0</v>
      </c>
      <c r="M171" s="160">
        <v>66</v>
      </c>
      <c r="N171" s="195">
        <f t="shared" si="44"/>
        <v>1</v>
      </c>
      <c r="O171" s="160">
        <v>66</v>
      </c>
      <c r="P171" s="195">
        <f t="shared" si="45"/>
        <v>1</v>
      </c>
      <c r="Q171" s="160">
        <v>66</v>
      </c>
      <c r="R171" s="195">
        <f t="shared" si="45"/>
        <v>1</v>
      </c>
      <c r="S171" s="160">
        <v>66</v>
      </c>
      <c r="T171" s="195">
        <f t="shared" si="34"/>
        <v>1</v>
      </c>
      <c r="U171" s="160">
        <v>66</v>
      </c>
      <c r="V171" s="195">
        <f t="shared" si="35"/>
        <v>1</v>
      </c>
      <c r="W171" s="153"/>
      <c r="X171" s="153">
        <f t="shared" si="36"/>
        <v>0</v>
      </c>
      <c r="Y171" s="153">
        <f t="shared" si="37"/>
        <v>8938.380000000001</v>
      </c>
      <c r="Z171" s="153">
        <f t="shared" si="38"/>
        <v>8938.380000000001</v>
      </c>
      <c r="AA171" s="153">
        <f t="shared" si="39"/>
        <v>8938.380000000001</v>
      </c>
      <c r="AB171" s="153">
        <f t="shared" si="40"/>
        <v>8938.380000000001</v>
      </c>
      <c r="AC171" s="153">
        <f t="shared" si="41"/>
        <v>8938.380000000001</v>
      </c>
    </row>
    <row r="172" spans="1:29" x14ac:dyDescent="0.25">
      <c r="A172" s="58">
        <v>92</v>
      </c>
      <c r="B172" s="57" t="s">
        <v>1224</v>
      </c>
      <c r="C172" s="150" t="s">
        <v>1258</v>
      </c>
      <c r="D172" s="57" t="s">
        <v>74</v>
      </c>
      <c r="E172" s="160">
        <f>IFERROR(VLOOKUP(A172,Estimate!A:Q,17,FALSE)," ")</f>
        <v>10285.559202828987</v>
      </c>
      <c r="F172" s="164">
        <v>99</v>
      </c>
      <c r="G172" s="164">
        <v>99</v>
      </c>
      <c r="H172" s="164">
        <v>131.71</v>
      </c>
      <c r="I172" s="164">
        <v>13039.29</v>
      </c>
      <c r="J172" s="164">
        <v>13039.29</v>
      </c>
      <c r="L172" s="195">
        <f t="shared" si="44"/>
        <v>0</v>
      </c>
      <c r="M172" s="160">
        <v>99</v>
      </c>
      <c r="N172" s="195">
        <f t="shared" si="44"/>
        <v>1</v>
      </c>
      <c r="O172" s="160">
        <v>99</v>
      </c>
      <c r="P172" s="195">
        <f t="shared" si="45"/>
        <v>1</v>
      </c>
      <c r="Q172" s="160">
        <v>99</v>
      </c>
      <c r="R172" s="195">
        <f t="shared" si="45"/>
        <v>1</v>
      </c>
      <c r="S172" s="160">
        <v>99</v>
      </c>
      <c r="T172" s="195">
        <f t="shared" si="34"/>
        <v>1</v>
      </c>
      <c r="U172" s="160">
        <v>99</v>
      </c>
      <c r="V172" s="195">
        <f t="shared" si="35"/>
        <v>1</v>
      </c>
      <c r="W172" s="153"/>
      <c r="X172" s="153">
        <f t="shared" si="36"/>
        <v>0</v>
      </c>
      <c r="Y172" s="153">
        <f t="shared" si="37"/>
        <v>13039.29</v>
      </c>
      <c r="Z172" s="153">
        <f t="shared" si="38"/>
        <v>13039.29</v>
      </c>
      <c r="AA172" s="153">
        <f t="shared" si="39"/>
        <v>13039.29</v>
      </c>
      <c r="AB172" s="153">
        <f t="shared" si="40"/>
        <v>13039.29</v>
      </c>
      <c r="AC172" s="153">
        <f t="shared" si="41"/>
        <v>13039.29</v>
      </c>
    </row>
    <row r="173" spans="1:29" x14ac:dyDescent="0.25">
      <c r="A173" s="58">
        <v>93</v>
      </c>
      <c r="B173" s="57" t="s">
        <v>1225</v>
      </c>
      <c r="C173" s="150" t="s">
        <v>1259</v>
      </c>
      <c r="D173" s="57" t="s">
        <v>74</v>
      </c>
      <c r="E173" s="160">
        <f>IFERROR(VLOOKUP(A173,Estimate!A:Q,17,FALSE)," ")</f>
        <v>8447.7016043919793</v>
      </c>
      <c r="F173" s="164">
        <v>83</v>
      </c>
      <c r="G173" s="164">
        <v>83</v>
      </c>
      <c r="H173" s="164">
        <v>129.02000000000001</v>
      </c>
      <c r="I173" s="164">
        <v>10708.66</v>
      </c>
      <c r="J173" s="164">
        <v>10708.66</v>
      </c>
      <c r="L173" s="195">
        <f t="shared" si="44"/>
        <v>0</v>
      </c>
      <c r="M173" s="160">
        <v>83</v>
      </c>
      <c r="N173" s="195">
        <f t="shared" si="44"/>
        <v>1</v>
      </c>
      <c r="O173" s="160">
        <v>83</v>
      </c>
      <c r="P173" s="195">
        <f t="shared" si="45"/>
        <v>1</v>
      </c>
      <c r="Q173" s="160">
        <v>83</v>
      </c>
      <c r="R173" s="195">
        <f t="shared" si="45"/>
        <v>1</v>
      </c>
      <c r="S173" s="160">
        <v>83</v>
      </c>
      <c r="T173" s="195">
        <f t="shared" si="34"/>
        <v>1</v>
      </c>
      <c r="U173" s="160">
        <v>83</v>
      </c>
      <c r="V173" s="195">
        <f t="shared" si="35"/>
        <v>1</v>
      </c>
      <c r="W173" s="153"/>
      <c r="X173" s="153">
        <f t="shared" si="36"/>
        <v>0</v>
      </c>
      <c r="Y173" s="153">
        <f t="shared" si="37"/>
        <v>10708.660000000002</v>
      </c>
      <c r="Z173" s="153">
        <f t="shared" si="38"/>
        <v>10708.660000000002</v>
      </c>
      <c r="AA173" s="153">
        <f t="shared" si="39"/>
        <v>10708.660000000002</v>
      </c>
      <c r="AB173" s="153">
        <f t="shared" si="40"/>
        <v>10708.660000000002</v>
      </c>
      <c r="AC173" s="153">
        <f t="shared" si="41"/>
        <v>10708.660000000002</v>
      </c>
    </row>
    <row r="174" spans="1:29" x14ac:dyDescent="0.25">
      <c r="B174" s="57" t="s">
        <v>704</v>
      </c>
      <c r="C174" s="150" t="s">
        <v>682</v>
      </c>
      <c r="D174" s="57" t="s">
        <v>748</v>
      </c>
      <c r="E174" s="160" t="str">
        <f>IFERROR(VLOOKUP(A174,Estimate!A:Q,17,FALSE)," ")</f>
        <v xml:space="preserve"> </v>
      </c>
      <c r="F174" s="164" t="s">
        <v>682</v>
      </c>
      <c r="G174" s="164" t="s">
        <v>682</v>
      </c>
      <c r="H174" s="164" t="s">
        <v>682</v>
      </c>
      <c r="I174" s="164" t="s">
        <v>682</v>
      </c>
      <c r="J174" s="164" t="s">
        <v>682</v>
      </c>
      <c r="K174" s="160" t="s">
        <v>682</v>
      </c>
      <c r="L174" s="195" t="str">
        <f t="shared" si="44"/>
        <v xml:space="preserve"> </v>
      </c>
      <c r="M174" s="160" t="s">
        <v>682</v>
      </c>
      <c r="N174" s="195" t="str">
        <f t="shared" si="44"/>
        <v xml:space="preserve"> </v>
      </c>
      <c r="O174" s="160" t="s">
        <v>682</v>
      </c>
      <c r="P174" s="195" t="str">
        <f t="shared" si="45"/>
        <v xml:space="preserve"> </v>
      </c>
      <c r="Q174" s="160" t="s">
        <v>682</v>
      </c>
      <c r="R174" s="195" t="str">
        <f t="shared" si="45"/>
        <v xml:space="preserve"> </v>
      </c>
      <c r="S174" s="160" t="s">
        <v>682</v>
      </c>
      <c r="T174" s="195" t="str">
        <f t="shared" si="34"/>
        <v xml:space="preserve"> </v>
      </c>
      <c r="U174" s="160" t="s">
        <v>682</v>
      </c>
      <c r="V174" s="195" t="str">
        <f t="shared" si="35"/>
        <v xml:space="preserve"> </v>
      </c>
      <c r="W174" s="153"/>
      <c r="X174" s="153" t="str">
        <f t="shared" si="36"/>
        <v xml:space="preserve"> </v>
      </c>
      <c r="Y174" s="153" t="str">
        <f t="shared" si="37"/>
        <v xml:space="preserve"> </v>
      </c>
      <c r="Z174" s="153" t="str">
        <f t="shared" si="38"/>
        <v xml:space="preserve"> </v>
      </c>
      <c r="AA174" s="153" t="str">
        <f t="shared" si="39"/>
        <v xml:space="preserve"> </v>
      </c>
      <c r="AB174" s="153" t="str">
        <f t="shared" si="40"/>
        <v xml:space="preserve"> </v>
      </c>
      <c r="AC174" s="153" t="str">
        <f t="shared" si="41"/>
        <v xml:space="preserve"> </v>
      </c>
    </row>
    <row r="175" spans="1:29" x14ac:dyDescent="0.25">
      <c r="B175" s="57" t="s">
        <v>704</v>
      </c>
      <c r="C175" s="150" t="s">
        <v>682</v>
      </c>
      <c r="D175" s="57" t="s">
        <v>748</v>
      </c>
      <c r="E175" s="160" t="str">
        <f>IFERROR(VLOOKUP(A175,Estimate!A:Q,17,FALSE)," ")</f>
        <v xml:space="preserve"> </v>
      </c>
      <c r="F175" s="164" t="s">
        <v>682</v>
      </c>
      <c r="G175" s="164" t="s">
        <v>682</v>
      </c>
      <c r="H175" s="164" t="s">
        <v>682</v>
      </c>
      <c r="I175" s="164" t="s">
        <v>682</v>
      </c>
      <c r="J175" s="164" t="s">
        <v>682</v>
      </c>
      <c r="K175" s="160" t="s">
        <v>682</v>
      </c>
      <c r="L175" s="195" t="str">
        <f t="shared" si="44"/>
        <v xml:space="preserve"> </v>
      </c>
      <c r="M175" s="160" t="s">
        <v>682</v>
      </c>
      <c r="N175" s="195" t="str">
        <f t="shared" si="44"/>
        <v xml:space="preserve"> </v>
      </c>
      <c r="O175" s="160" t="s">
        <v>682</v>
      </c>
      <c r="P175" s="195" t="str">
        <f t="shared" si="45"/>
        <v xml:space="preserve"> </v>
      </c>
      <c r="Q175" s="160" t="s">
        <v>682</v>
      </c>
      <c r="R175" s="195" t="str">
        <f t="shared" si="45"/>
        <v xml:space="preserve"> </v>
      </c>
      <c r="S175" s="160" t="s">
        <v>682</v>
      </c>
      <c r="T175" s="195" t="str">
        <f t="shared" si="34"/>
        <v xml:space="preserve"> </v>
      </c>
      <c r="U175" s="160" t="s">
        <v>682</v>
      </c>
      <c r="V175" s="195" t="str">
        <f t="shared" si="35"/>
        <v xml:space="preserve"> </v>
      </c>
      <c r="W175" s="153"/>
      <c r="X175" s="153" t="str">
        <f t="shared" si="36"/>
        <v xml:space="preserve"> </v>
      </c>
      <c r="Y175" s="153" t="str">
        <f t="shared" si="37"/>
        <v xml:space="preserve"> </v>
      </c>
      <c r="Z175" s="153" t="str">
        <f t="shared" si="38"/>
        <v xml:space="preserve"> </v>
      </c>
      <c r="AA175" s="153" t="str">
        <f t="shared" si="39"/>
        <v xml:space="preserve"> </v>
      </c>
      <c r="AB175" s="153" t="str">
        <f t="shared" si="40"/>
        <v xml:space="preserve"> </v>
      </c>
      <c r="AC175" s="153" t="str">
        <f t="shared" si="41"/>
        <v xml:space="preserve"> </v>
      </c>
    </row>
    <row r="176" spans="1:29" x14ac:dyDescent="0.25">
      <c r="B176" s="57">
        <v>7</v>
      </c>
      <c r="C176" s="150" t="s">
        <v>308</v>
      </c>
      <c r="D176" s="57" t="s">
        <v>748</v>
      </c>
      <c r="E176" s="160" t="str">
        <f>IFERROR(VLOOKUP(A176,Estimate!A:Q,17,FALSE)," ")</f>
        <v xml:space="preserve"> </v>
      </c>
      <c r="F176" s="164" t="s">
        <v>682</v>
      </c>
      <c r="G176" s="164" t="s">
        <v>682</v>
      </c>
      <c r="H176" s="164" t="s">
        <v>682</v>
      </c>
      <c r="I176" s="164" t="s">
        <v>682</v>
      </c>
      <c r="J176" s="164" t="s">
        <v>682</v>
      </c>
      <c r="K176" s="160" t="s">
        <v>682</v>
      </c>
      <c r="L176" s="195" t="str">
        <f t="shared" si="44"/>
        <v xml:space="preserve"> </v>
      </c>
      <c r="M176" s="160" t="s">
        <v>682</v>
      </c>
      <c r="N176" s="195" t="str">
        <f t="shared" si="44"/>
        <v xml:space="preserve"> </v>
      </c>
      <c r="O176" s="160" t="s">
        <v>682</v>
      </c>
      <c r="P176" s="195" t="str">
        <f t="shared" si="45"/>
        <v xml:space="preserve"> </v>
      </c>
      <c r="Q176" s="160" t="s">
        <v>682</v>
      </c>
      <c r="R176" s="195" t="str">
        <f t="shared" si="45"/>
        <v xml:space="preserve"> </v>
      </c>
      <c r="S176" s="160" t="s">
        <v>682</v>
      </c>
      <c r="T176" s="195" t="str">
        <f t="shared" si="34"/>
        <v xml:space="preserve"> </v>
      </c>
      <c r="U176" s="160" t="s">
        <v>682</v>
      </c>
      <c r="V176" s="195" t="str">
        <f t="shared" si="35"/>
        <v xml:space="preserve"> </v>
      </c>
      <c r="W176" s="153"/>
      <c r="X176" s="153" t="str">
        <f t="shared" si="36"/>
        <v xml:space="preserve"> </v>
      </c>
      <c r="Y176" s="153" t="str">
        <f t="shared" si="37"/>
        <v xml:space="preserve"> </v>
      </c>
      <c r="Z176" s="153" t="str">
        <f t="shared" si="38"/>
        <v xml:space="preserve"> </v>
      </c>
      <c r="AA176" s="153" t="str">
        <f t="shared" si="39"/>
        <v xml:space="preserve"> </v>
      </c>
      <c r="AB176" s="153" t="str">
        <f t="shared" si="40"/>
        <v xml:space="preserve"> </v>
      </c>
      <c r="AC176" s="153" t="str">
        <f t="shared" si="41"/>
        <v xml:space="preserve"> </v>
      </c>
    </row>
    <row r="177" spans="1:29" ht="30" x14ac:dyDescent="0.25">
      <c r="A177" s="58">
        <v>94</v>
      </c>
      <c r="B177" s="57" t="s">
        <v>1214</v>
      </c>
      <c r="C177" s="150" t="s">
        <v>1260</v>
      </c>
      <c r="D177" s="57" t="s">
        <v>88</v>
      </c>
      <c r="E177" s="160">
        <f>IFERROR(VLOOKUP(A177,Estimate!A:Q,17,FALSE)," ")</f>
        <v>5610.0654544832396</v>
      </c>
      <c r="F177" s="164">
        <v>30</v>
      </c>
      <c r="G177" s="164">
        <v>30</v>
      </c>
      <c r="H177" s="164">
        <v>186.99</v>
      </c>
      <c r="I177" s="164">
        <v>5609.7</v>
      </c>
      <c r="J177" s="164">
        <v>5609.7</v>
      </c>
      <c r="L177" s="195">
        <f t="shared" si="44"/>
        <v>0</v>
      </c>
      <c r="N177" s="195">
        <f t="shared" si="44"/>
        <v>0</v>
      </c>
      <c r="P177" s="195">
        <f t="shared" si="45"/>
        <v>0</v>
      </c>
      <c r="R177" s="195">
        <f t="shared" si="45"/>
        <v>0</v>
      </c>
      <c r="T177" s="195">
        <f t="shared" si="34"/>
        <v>0</v>
      </c>
      <c r="V177" s="195">
        <f t="shared" si="35"/>
        <v>0</v>
      </c>
      <c r="W177" s="153"/>
      <c r="X177" s="153">
        <f t="shared" si="36"/>
        <v>0</v>
      </c>
      <c r="Y177" s="153">
        <f t="shared" si="37"/>
        <v>0</v>
      </c>
      <c r="Z177" s="153">
        <f t="shared" si="38"/>
        <v>0</v>
      </c>
      <c r="AA177" s="153">
        <f t="shared" si="39"/>
        <v>0</v>
      </c>
      <c r="AB177" s="153">
        <f t="shared" si="40"/>
        <v>0</v>
      </c>
      <c r="AC177" s="153">
        <f t="shared" si="41"/>
        <v>0</v>
      </c>
    </row>
    <row r="178" spans="1:29" x14ac:dyDescent="0.25">
      <c r="B178" s="57" t="s">
        <v>704</v>
      </c>
      <c r="C178" s="150" t="s">
        <v>682</v>
      </c>
      <c r="D178" s="57" t="s">
        <v>748</v>
      </c>
      <c r="E178" s="160" t="str">
        <f>IFERROR(VLOOKUP(A178,Estimate!A:Q,17,FALSE)," ")</f>
        <v xml:space="preserve"> </v>
      </c>
      <c r="F178" s="164" t="s">
        <v>682</v>
      </c>
      <c r="G178" s="164" t="s">
        <v>682</v>
      </c>
      <c r="H178" s="164" t="s">
        <v>682</v>
      </c>
      <c r="I178" s="164" t="s">
        <v>682</v>
      </c>
      <c r="J178" s="164" t="s">
        <v>682</v>
      </c>
      <c r="K178" s="160" t="s">
        <v>682</v>
      </c>
      <c r="L178" s="195" t="str">
        <f t="shared" si="44"/>
        <v xml:space="preserve"> </v>
      </c>
      <c r="M178" s="160" t="s">
        <v>682</v>
      </c>
      <c r="N178" s="195" t="str">
        <f t="shared" si="44"/>
        <v xml:space="preserve"> </v>
      </c>
      <c r="O178" s="160" t="s">
        <v>682</v>
      </c>
      <c r="P178" s="195" t="str">
        <f t="shared" si="45"/>
        <v xml:space="preserve"> </v>
      </c>
      <c r="Q178" s="160" t="s">
        <v>682</v>
      </c>
      <c r="R178" s="195" t="str">
        <f t="shared" si="45"/>
        <v xml:space="preserve"> </v>
      </c>
      <c r="S178" s="160" t="s">
        <v>682</v>
      </c>
      <c r="T178" s="195" t="str">
        <f t="shared" si="34"/>
        <v xml:space="preserve"> </v>
      </c>
      <c r="U178" s="160" t="s">
        <v>682</v>
      </c>
      <c r="V178" s="195" t="str">
        <f t="shared" si="35"/>
        <v xml:space="preserve"> </v>
      </c>
      <c r="W178" s="153"/>
      <c r="X178" s="153" t="str">
        <f t="shared" si="36"/>
        <v xml:space="preserve"> </v>
      </c>
      <c r="Y178" s="153" t="str">
        <f t="shared" si="37"/>
        <v xml:space="preserve"> </v>
      </c>
      <c r="Z178" s="153" t="str">
        <f t="shared" si="38"/>
        <v xml:space="preserve"> </v>
      </c>
      <c r="AA178" s="153" t="str">
        <f t="shared" si="39"/>
        <v xml:space="preserve"> </v>
      </c>
      <c r="AB178" s="153" t="str">
        <f t="shared" si="40"/>
        <v xml:space="preserve"> </v>
      </c>
      <c r="AC178" s="153" t="str">
        <f t="shared" si="41"/>
        <v xml:space="preserve"> </v>
      </c>
    </row>
    <row r="179" spans="1:29" ht="45" x14ac:dyDescent="0.25">
      <c r="B179" s="57">
        <v>8</v>
      </c>
      <c r="C179" s="150" t="s">
        <v>311</v>
      </c>
      <c r="D179" s="57" t="s">
        <v>748</v>
      </c>
      <c r="E179" s="160" t="str">
        <f>IFERROR(VLOOKUP(A179,Estimate!A:Q,17,FALSE)," ")</f>
        <v xml:space="preserve"> </v>
      </c>
      <c r="F179" s="164" t="s">
        <v>682</v>
      </c>
      <c r="G179" s="164" t="s">
        <v>682</v>
      </c>
      <c r="H179" s="164" t="s">
        <v>682</v>
      </c>
      <c r="I179" s="164" t="s">
        <v>682</v>
      </c>
      <c r="J179" s="164" t="s">
        <v>682</v>
      </c>
      <c r="K179" s="160" t="s">
        <v>682</v>
      </c>
      <c r="L179" s="195" t="str">
        <f t="shared" si="44"/>
        <v xml:space="preserve"> </v>
      </c>
      <c r="M179" s="160" t="s">
        <v>682</v>
      </c>
      <c r="N179" s="195" t="str">
        <f t="shared" si="44"/>
        <v xml:space="preserve"> </v>
      </c>
      <c r="O179" s="160" t="s">
        <v>682</v>
      </c>
      <c r="P179" s="195" t="str">
        <f t="shared" si="45"/>
        <v xml:space="preserve"> </v>
      </c>
      <c r="Q179" s="160" t="s">
        <v>682</v>
      </c>
      <c r="R179" s="195" t="str">
        <f t="shared" si="45"/>
        <v xml:space="preserve"> </v>
      </c>
      <c r="S179" s="160" t="s">
        <v>682</v>
      </c>
      <c r="T179" s="195" t="str">
        <f t="shared" si="34"/>
        <v xml:space="preserve"> </v>
      </c>
      <c r="U179" s="160" t="s">
        <v>682</v>
      </c>
      <c r="V179" s="195" t="str">
        <f t="shared" si="35"/>
        <v xml:space="preserve"> </v>
      </c>
      <c r="W179" s="153"/>
      <c r="X179" s="153" t="str">
        <f t="shared" si="36"/>
        <v xml:space="preserve"> </v>
      </c>
      <c r="Y179" s="153" t="str">
        <f t="shared" si="37"/>
        <v xml:space="preserve"> </v>
      </c>
      <c r="Z179" s="153" t="str">
        <f t="shared" si="38"/>
        <v xml:space="preserve"> </v>
      </c>
      <c r="AA179" s="153" t="str">
        <f t="shared" si="39"/>
        <v xml:space="preserve"> </v>
      </c>
      <c r="AB179" s="153" t="str">
        <f t="shared" si="40"/>
        <v xml:space="preserve"> </v>
      </c>
      <c r="AC179" s="153" t="str">
        <f t="shared" si="41"/>
        <v xml:space="preserve"> </v>
      </c>
    </row>
    <row r="180" spans="1:29" x14ac:dyDescent="0.25">
      <c r="A180" s="58">
        <v>95</v>
      </c>
      <c r="B180" s="57" t="s">
        <v>1214</v>
      </c>
      <c r="C180" s="150" t="s">
        <v>1255</v>
      </c>
      <c r="D180" s="57" t="s">
        <v>88</v>
      </c>
      <c r="E180" s="160">
        <f>IFERROR(VLOOKUP(A180,Estimate!A:Q,17,FALSE)," ")</f>
        <v>2355.4300000000003</v>
      </c>
      <c r="F180" s="164">
        <v>437</v>
      </c>
      <c r="G180" s="164">
        <v>437</v>
      </c>
      <c r="H180" s="164">
        <v>5.52</v>
      </c>
      <c r="I180" s="164">
        <v>2412.2399999999998</v>
      </c>
      <c r="J180" s="164">
        <v>2412.2399999999998</v>
      </c>
      <c r="L180" s="195">
        <f t="shared" si="44"/>
        <v>0</v>
      </c>
      <c r="N180" s="195">
        <f t="shared" si="44"/>
        <v>0</v>
      </c>
      <c r="O180" s="160">
        <v>437</v>
      </c>
      <c r="P180" s="195">
        <f t="shared" si="45"/>
        <v>1</v>
      </c>
      <c r="Q180" s="160">
        <v>437</v>
      </c>
      <c r="R180" s="195">
        <f t="shared" si="45"/>
        <v>1</v>
      </c>
      <c r="S180" s="160">
        <v>437</v>
      </c>
      <c r="T180" s="195">
        <f t="shared" si="34"/>
        <v>1</v>
      </c>
      <c r="U180" s="160">
        <v>437</v>
      </c>
      <c r="V180" s="195">
        <f t="shared" si="35"/>
        <v>1</v>
      </c>
      <c r="W180" s="153"/>
      <c r="X180" s="153">
        <f t="shared" si="36"/>
        <v>0</v>
      </c>
      <c r="Y180" s="153">
        <f t="shared" si="37"/>
        <v>0</v>
      </c>
      <c r="Z180" s="153">
        <f t="shared" si="38"/>
        <v>2412.2399999999998</v>
      </c>
      <c r="AA180" s="153">
        <f t="shared" si="39"/>
        <v>2412.2399999999998</v>
      </c>
      <c r="AB180" s="153">
        <f t="shared" si="40"/>
        <v>2412.2399999999998</v>
      </c>
      <c r="AC180" s="153">
        <f t="shared" si="41"/>
        <v>2412.2399999999998</v>
      </c>
    </row>
    <row r="181" spans="1:29" x14ac:dyDescent="0.25">
      <c r="A181" s="58">
        <v>96</v>
      </c>
      <c r="B181" s="57" t="s">
        <v>1216</v>
      </c>
      <c r="C181" s="150" t="s">
        <v>1256</v>
      </c>
      <c r="D181" s="57" t="s">
        <v>88</v>
      </c>
      <c r="E181" s="160">
        <f>IFERROR(VLOOKUP(A181,Estimate!A:Q,17,FALSE)," ")</f>
        <v>2236.8500000000004</v>
      </c>
      <c r="F181" s="164">
        <v>415</v>
      </c>
      <c r="G181" s="164">
        <v>415</v>
      </c>
      <c r="H181" s="164">
        <v>5.52</v>
      </c>
      <c r="I181" s="164">
        <v>2290.8000000000002</v>
      </c>
      <c r="J181" s="164">
        <v>2290.8000000000002</v>
      </c>
      <c r="L181" s="195">
        <f t="shared" si="44"/>
        <v>0</v>
      </c>
      <c r="N181" s="195">
        <f t="shared" si="44"/>
        <v>0</v>
      </c>
      <c r="O181" s="160">
        <v>415</v>
      </c>
      <c r="P181" s="195">
        <f t="shared" si="45"/>
        <v>1</v>
      </c>
      <c r="Q181" s="160">
        <v>415</v>
      </c>
      <c r="R181" s="195">
        <f t="shared" si="45"/>
        <v>1</v>
      </c>
      <c r="S181" s="160">
        <v>415</v>
      </c>
      <c r="T181" s="195">
        <f t="shared" si="34"/>
        <v>1</v>
      </c>
      <c r="U181" s="160">
        <v>415</v>
      </c>
      <c r="V181" s="195">
        <f t="shared" si="35"/>
        <v>1</v>
      </c>
      <c r="W181" s="153"/>
      <c r="X181" s="153">
        <f t="shared" si="36"/>
        <v>0</v>
      </c>
      <c r="Y181" s="153">
        <f t="shared" si="37"/>
        <v>0</v>
      </c>
      <c r="Z181" s="153">
        <f t="shared" si="38"/>
        <v>2290.7999999999997</v>
      </c>
      <c r="AA181" s="153">
        <f t="shared" si="39"/>
        <v>2290.7999999999997</v>
      </c>
      <c r="AB181" s="153">
        <f t="shared" si="40"/>
        <v>2290.7999999999997</v>
      </c>
      <c r="AC181" s="153">
        <f t="shared" si="41"/>
        <v>2290.7999999999997</v>
      </c>
    </row>
    <row r="182" spans="1:29" x14ac:dyDescent="0.25">
      <c r="B182" s="57" t="s">
        <v>704</v>
      </c>
      <c r="C182" s="150" t="s">
        <v>682</v>
      </c>
      <c r="D182" s="57" t="s">
        <v>748</v>
      </c>
      <c r="E182" s="160" t="str">
        <f>IFERROR(VLOOKUP(A182,Estimate!A:Q,17,FALSE)," ")</f>
        <v xml:space="preserve"> </v>
      </c>
      <c r="F182" s="164" t="s">
        <v>682</v>
      </c>
      <c r="G182" s="164" t="s">
        <v>682</v>
      </c>
      <c r="H182" s="164" t="s">
        <v>682</v>
      </c>
      <c r="I182" s="164" t="s">
        <v>682</v>
      </c>
      <c r="J182" s="164" t="s">
        <v>682</v>
      </c>
      <c r="K182" s="160" t="s">
        <v>682</v>
      </c>
      <c r="L182" s="195" t="str">
        <f t="shared" si="44"/>
        <v xml:space="preserve"> </v>
      </c>
      <c r="M182" s="160" t="s">
        <v>682</v>
      </c>
      <c r="N182" s="195" t="str">
        <f t="shared" si="44"/>
        <v xml:space="preserve"> </v>
      </c>
      <c r="O182" s="160" t="s">
        <v>682</v>
      </c>
      <c r="P182" s="195" t="str">
        <f t="shared" si="45"/>
        <v xml:space="preserve"> </v>
      </c>
      <c r="Q182" s="160" t="s">
        <v>682</v>
      </c>
      <c r="R182" s="195" t="str">
        <f t="shared" si="45"/>
        <v xml:space="preserve"> </v>
      </c>
      <c r="S182" s="160" t="s">
        <v>682</v>
      </c>
      <c r="T182" s="195" t="str">
        <f t="shared" si="34"/>
        <v xml:space="preserve"> </v>
      </c>
      <c r="U182" s="160" t="s">
        <v>682</v>
      </c>
      <c r="V182" s="195" t="str">
        <f t="shared" si="35"/>
        <v xml:space="preserve"> </v>
      </c>
      <c r="W182" s="153"/>
      <c r="X182" s="153" t="str">
        <f t="shared" si="36"/>
        <v xml:space="preserve"> </v>
      </c>
      <c r="Y182" s="153" t="str">
        <f t="shared" si="37"/>
        <v xml:space="preserve"> </v>
      </c>
      <c r="Z182" s="153" t="str">
        <f t="shared" si="38"/>
        <v xml:space="preserve"> </v>
      </c>
      <c r="AA182" s="153" t="str">
        <f t="shared" si="39"/>
        <v xml:space="preserve"> </v>
      </c>
      <c r="AB182" s="153" t="str">
        <f t="shared" si="40"/>
        <v xml:space="preserve"> </v>
      </c>
      <c r="AC182" s="153" t="str">
        <f t="shared" si="41"/>
        <v xml:space="preserve"> </v>
      </c>
    </row>
    <row r="183" spans="1:29" ht="30" x14ac:dyDescent="0.25">
      <c r="B183" s="57">
        <v>9</v>
      </c>
      <c r="C183" s="150" t="s">
        <v>315</v>
      </c>
      <c r="D183" s="57" t="s">
        <v>748</v>
      </c>
      <c r="E183" s="160" t="str">
        <f>IFERROR(VLOOKUP(A183,Estimate!A:Q,17,FALSE)," ")</f>
        <v xml:space="preserve"> </v>
      </c>
      <c r="F183" s="164" t="s">
        <v>682</v>
      </c>
      <c r="G183" s="164" t="s">
        <v>682</v>
      </c>
      <c r="H183" s="164" t="s">
        <v>682</v>
      </c>
      <c r="I183" s="164" t="s">
        <v>682</v>
      </c>
      <c r="J183" s="164" t="s">
        <v>682</v>
      </c>
      <c r="K183" s="160" t="s">
        <v>682</v>
      </c>
      <c r="L183" s="195" t="str">
        <f t="shared" ref="L183:N198" si="46">IFERROR(K183/$G183," ")</f>
        <v xml:space="preserve"> </v>
      </c>
      <c r="M183" s="160" t="s">
        <v>682</v>
      </c>
      <c r="N183" s="195" t="str">
        <f t="shared" si="46"/>
        <v xml:space="preserve"> </v>
      </c>
      <c r="O183" s="160" t="s">
        <v>682</v>
      </c>
      <c r="P183" s="195" t="str">
        <f t="shared" ref="P183:R198" si="47">IFERROR(O183/$G183," ")</f>
        <v xml:space="preserve"> </v>
      </c>
      <c r="Q183" s="160" t="s">
        <v>682</v>
      </c>
      <c r="R183" s="195" t="str">
        <f t="shared" si="47"/>
        <v xml:space="preserve"> </v>
      </c>
      <c r="S183" s="160" t="s">
        <v>682</v>
      </c>
      <c r="T183" s="195" t="str">
        <f t="shared" si="34"/>
        <v xml:space="preserve"> </v>
      </c>
      <c r="U183" s="160" t="s">
        <v>682</v>
      </c>
      <c r="V183" s="195" t="str">
        <f t="shared" si="35"/>
        <v xml:space="preserve"> </v>
      </c>
      <c r="W183" s="153"/>
      <c r="X183" s="153" t="str">
        <f t="shared" si="36"/>
        <v xml:space="preserve"> </v>
      </c>
      <c r="Y183" s="153" t="str">
        <f t="shared" si="37"/>
        <v xml:space="preserve"> </v>
      </c>
      <c r="Z183" s="153" t="str">
        <f t="shared" si="38"/>
        <v xml:space="preserve"> </v>
      </c>
      <c r="AA183" s="153" t="str">
        <f t="shared" si="39"/>
        <v xml:space="preserve"> </v>
      </c>
      <c r="AB183" s="153" t="str">
        <f t="shared" si="40"/>
        <v xml:space="preserve"> </v>
      </c>
      <c r="AC183" s="153" t="str">
        <f t="shared" si="41"/>
        <v xml:space="preserve"> </v>
      </c>
    </row>
    <row r="184" spans="1:29" ht="30" x14ac:dyDescent="0.25">
      <c r="A184" s="58">
        <v>97</v>
      </c>
      <c r="B184" s="57" t="s">
        <v>1214</v>
      </c>
      <c r="C184" s="150" t="s">
        <v>1261</v>
      </c>
      <c r="D184" s="57" t="s">
        <v>88</v>
      </c>
      <c r="E184" s="160">
        <f>IFERROR(VLOOKUP(A184,Estimate!A:Q,17,FALSE)," ")</f>
        <v>115460.54660546604</v>
      </c>
      <c r="F184" s="164">
        <v>2776</v>
      </c>
      <c r="G184" s="164">
        <v>2776</v>
      </c>
      <c r="H184" s="164">
        <v>42.63</v>
      </c>
      <c r="I184" s="164">
        <v>118340.88</v>
      </c>
      <c r="J184" s="164">
        <v>118340.88</v>
      </c>
      <c r="L184" s="195">
        <f t="shared" si="46"/>
        <v>0</v>
      </c>
      <c r="N184" s="195">
        <f t="shared" si="46"/>
        <v>0</v>
      </c>
      <c r="P184" s="195">
        <f t="shared" si="47"/>
        <v>0</v>
      </c>
      <c r="R184" s="195">
        <f t="shared" si="47"/>
        <v>0</v>
      </c>
      <c r="S184" s="160">
        <v>2776</v>
      </c>
      <c r="T184" s="195">
        <f t="shared" si="34"/>
        <v>1</v>
      </c>
      <c r="U184" s="160">
        <v>2776</v>
      </c>
      <c r="V184" s="195">
        <f t="shared" si="35"/>
        <v>1</v>
      </c>
      <c r="W184" s="153"/>
      <c r="X184" s="153">
        <f t="shared" si="36"/>
        <v>0</v>
      </c>
      <c r="Y184" s="153">
        <f t="shared" si="37"/>
        <v>0</v>
      </c>
      <c r="Z184" s="153">
        <f t="shared" si="38"/>
        <v>0</v>
      </c>
      <c r="AA184" s="153">
        <f t="shared" si="39"/>
        <v>0</v>
      </c>
      <c r="AB184" s="153">
        <f t="shared" si="40"/>
        <v>118340.88</v>
      </c>
      <c r="AC184" s="153">
        <f t="shared" si="41"/>
        <v>118340.88</v>
      </c>
    </row>
    <row r="185" spans="1:29" x14ac:dyDescent="0.25">
      <c r="B185" s="57" t="s">
        <v>704</v>
      </c>
      <c r="C185" s="150" t="s">
        <v>682</v>
      </c>
      <c r="D185" s="57" t="s">
        <v>748</v>
      </c>
      <c r="E185" s="160" t="str">
        <f>IFERROR(VLOOKUP(A185,Estimate!A:Q,17,FALSE)," ")</f>
        <v xml:space="preserve"> </v>
      </c>
      <c r="F185" s="164" t="s">
        <v>682</v>
      </c>
      <c r="G185" s="164" t="s">
        <v>682</v>
      </c>
      <c r="H185" s="164" t="s">
        <v>682</v>
      </c>
      <c r="I185" s="164" t="s">
        <v>682</v>
      </c>
      <c r="J185" s="164" t="s">
        <v>682</v>
      </c>
      <c r="K185" s="160" t="s">
        <v>682</v>
      </c>
      <c r="L185" s="195" t="str">
        <f t="shared" si="46"/>
        <v xml:space="preserve"> </v>
      </c>
      <c r="M185" s="160" t="s">
        <v>682</v>
      </c>
      <c r="N185" s="195" t="str">
        <f t="shared" si="46"/>
        <v xml:space="preserve"> </v>
      </c>
      <c r="O185" s="160" t="s">
        <v>682</v>
      </c>
      <c r="P185" s="195" t="str">
        <f t="shared" si="47"/>
        <v xml:space="preserve"> </v>
      </c>
      <c r="Q185" s="160" t="s">
        <v>682</v>
      </c>
      <c r="R185" s="195" t="str">
        <f t="shared" si="47"/>
        <v xml:space="preserve"> </v>
      </c>
      <c r="S185" s="160" t="s">
        <v>682</v>
      </c>
      <c r="T185" s="195" t="str">
        <f t="shared" si="34"/>
        <v xml:space="preserve"> </v>
      </c>
      <c r="U185" s="160" t="s">
        <v>682</v>
      </c>
      <c r="V185" s="195" t="str">
        <f t="shared" si="35"/>
        <v xml:space="preserve"> </v>
      </c>
      <c r="W185" s="153"/>
      <c r="X185" s="153" t="str">
        <f t="shared" si="36"/>
        <v xml:space="preserve"> </v>
      </c>
      <c r="Y185" s="153" t="str">
        <f t="shared" si="37"/>
        <v xml:space="preserve"> </v>
      </c>
      <c r="Z185" s="153" t="str">
        <f t="shared" si="38"/>
        <v xml:space="preserve"> </v>
      </c>
      <c r="AA185" s="153" t="str">
        <f t="shared" si="39"/>
        <v xml:space="preserve"> </v>
      </c>
      <c r="AB185" s="153" t="str">
        <f t="shared" si="40"/>
        <v xml:space="preserve"> </v>
      </c>
      <c r="AC185" s="153" t="str">
        <f t="shared" si="41"/>
        <v xml:space="preserve"> </v>
      </c>
    </row>
    <row r="186" spans="1:29" x14ac:dyDescent="0.25">
      <c r="B186" s="57">
        <v>10</v>
      </c>
      <c r="C186" s="150" t="s">
        <v>319</v>
      </c>
      <c r="D186" s="57" t="s">
        <v>748</v>
      </c>
      <c r="E186" s="160" t="str">
        <f>IFERROR(VLOOKUP(A186,Estimate!A:Q,17,FALSE)," ")</f>
        <v xml:space="preserve"> </v>
      </c>
      <c r="F186" s="164" t="s">
        <v>682</v>
      </c>
      <c r="G186" s="164" t="s">
        <v>682</v>
      </c>
      <c r="H186" s="164" t="s">
        <v>682</v>
      </c>
      <c r="I186" s="164" t="s">
        <v>682</v>
      </c>
      <c r="J186" s="164" t="s">
        <v>682</v>
      </c>
      <c r="K186" s="160" t="s">
        <v>682</v>
      </c>
      <c r="L186" s="195" t="str">
        <f t="shared" si="46"/>
        <v xml:space="preserve"> </v>
      </c>
      <c r="M186" s="160" t="s">
        <v>682</v>
      </c>
      <c r="N186" s="195" t="str">
        <f t="shared" si="46"/>
        <v xml:space="preserve"> </v>
      </c>
      <c r="O186" s="160" t="s">
        <v>682</v>
      </c>
      <c r="P186" s="195" t="str">
        <f t="shared" si="47"/>
        <v xml:space="preserve"> </v>
      </c>
      <c r="Q186" s="160" t="s">
        <v>682</v>
      </c>
      <c r="R186" s="195" t="str">
        <f t="shared" si="47"/>
        <v xml:space="preserve"> </v>
      </c>
      <c r="S186" s="160" t="s">
        <v>682</v>
      </c>
      <c r="T186" s="195" t="str">
        <f t="shared" si="34"/>
        <v xml:space="preserve"> </v>
      </c>
      <c r="U186" s="160" t="s">
        <v>682</v>
      </c>
      <c r="V186" s="195" t="str">
        <f t="shared" si="35"/>
        <v xml:space="preserve"> </v>
      </c>
      <c r="W186" s="153"/>
      <c r="X186" s="153" t="str">
        <f t="shared" si="36"/>
        <v xml:space="preserve"> </v>
      </c>
      <c r="Y186" s="153" t="str">
        <f t="shared" si="37"/>
        <v xml:space="preserve"> </v>
      </c>
      <c r="Z186" s="153" t="str">
        <f t="shared" si="38"/>
        <v xml:space="preserve"> </v>
      </c>
      <c r="AA186" s="153" t="str">
        <f t="shared" si="39"/>
        <v xml:space="preserve"> </v>
      </c>
      <c r="AB186" s="153" t="str">
        <f t="shared" si="40"/>
        <v xml:space="preserve"> </v>
      </c>
      <c r="AC186" s="153" t="str">
        <f t="shared" si="41"/>
        <v xml:space="preserve"> </v>
      </c>
    </row>
    <row r="187" spans="1:29" x14ac:dyDescent="0.25">
      <c r="A187" s="58">
        <v>98</v>
      </c>
      <c r="B187" s="57" t="s">
        <v>1214</v>
      </c>
      <c r="C187" s="150" t="s">
        <v>1262</v>
      </c>
      <c r="D187" s="57" t="s">
        <v>32</v>
      </c>
      <c r="E187" s="160">
        <f>IFERROR(VLOOKUP(A187,Estimate!A:Q,17,FALSE)," ")</f>
        <v>5701.195698924731</v>
      </c>
      <c r="F187" s="164">
        <v>67</v>
      </c>
      <c r="G187" s="164">
        <v>67</v>
      </c>
      <c r="H187" s="164">
        <v>107.87</v>
      </c>
      <c r="I187" s="164">
        <v>7227.29</v>
      </c>
      <c r="J187" s="164">
        <v>7227.29</v>
      </c>
      <c r="L187" s="195">
        <f t="shared" si="46"/>
        <v>0</v>
      </c>
      <c r="N187" s="195">
        <f t="shared" si="46"/>
        <v>0</v>
      </c>
      <c r="P187" s="195">
        <f t="shared" si="47"/>
        <v>0</v>
      </c>
      <c r="R187" s="195">
        <f t="shared" si="47"/>
        <v>0</v>
      </c>
      <c r="S187" s="160">
        <v>67</v>
      </c>
      <c r="T187" s="195">
        <f t="shared" si="34"/>
        <v>1</v>
      </c>
      <c r="U187" s="160">
        <v>67</v>
      </c>
      <c r="V187" s="195">
        <f t="shared" si="35"/>
        <v>1</v>
      </c>
      <c r="W187" s="153"/>
      <c r="X187" s="153">
        <f t="shared" si="36"/>
        <v>0</v>
      </c>
      <c r="Y187" s="153">
        <f t="shared" si="37"/>
        <v>0</v>
      </c>
      <c r="Z187" s="153">
        <f t="shared" si="38"/>
        <v>0</v>
      </c>
      <c r="AA187" s="153">
        <f t="shared" si="39"/>
        <v>0</v>
      </c>
      <c r="AB187" s="153">
        <f t="shared" si="40"/>
        <v>7227.29</v>
      </c>
      <c r="AC187" s="153">
        <f t="shared" si="41"/>
        <v>7227.29</v>
      </c>
    </row>
    <row r="188" spans="1:29" x14ac:dyDescent="0.25">
      <c r="B188" s="57" t="s">
        <v>704</v>
      </c>
      <c r="C188" s="150" t="s">
        <v>682</v>
      </c>
      <c r="D188" s="57" t="s">
        <v>748</v>
      </c>
      <c r="E188" s="160" t="str">
        <f>IFERROR(VLOOKUP(A188,Estimate!A:Q,17,FALSE)," ")</f>
        <v xml:space="preserve"> </v>
      </c>
      <c r="F188" s="164" t="s">
        <v>682</v>
      </c>
      <c r="G188" s="164" t="s">
        <v>682</v>
      </c>
      <c r="H188" s="164" t="s">
        <v>682</v>
      </c>
      <c r="I188" s="164" t="s">
        <v>682</v>
      </c>
      <c r="J188" s="164" t="s">
        <v>682</v>
      </c>
      <c r="K188" s="160" t="s">
        <v>682</v>
      </c>
      <c r="L188" s="195" t="str">
        <f t="shared" si="46"/>
        <v xml:space="preserve"> </v>
      </c>
      <c r="M188" s="160" t="s">
        <v>682</v>
      </c>
      <c r="N188" s="195" t="str">
        <f t="shared" si="46"/>
        <v xml:space="preserve"> </v>
      </c>
      <c r="O188" s="160" t="s">
        <v>682</v>
      </c>
      <c r="P188" s="195" t="str">
        <f t="shared" si="47"/>
        <v xml:space="preserve"> </v>
      </c>
      <c r="Q188" s="160" t="s">
        <v>682</v>
      </c>
      <c r="R188" s="195" t="str">
        <f t="shared" si="47"/>
        <v xml:space="preserve"> </v>
      </c>
      <c r="S188" s="160" t="s">
        <v>682</v>
      </c>
      <c r="T188" s="195" t="str">
        <f t="shared" si="34"/>
        <v xml:space="preserve"> </v>
      </c>
      <c r="U188" s="160" t="s">
        <v>682</v>
      </c>
      <c r="V188" s="195" t="str">
        <f t="shared" si="35"/>
        <v xml:space="preserve"> </v>
      </c>
      <c r="W188" s="153"/>
      <c r="X188" s="153" t="str">
        <f t="shared" si="36"/>
        <v xml:space="preserve"> </v>
      </c>
      <c r="Y188" s="153" t="str">
        <f t="shared" si="37"/>
        <v xml:space="preserve"> </v>
      </c>
      <c r="Z188" s="153" t="str">
        <f t="shared" si="38"/>
        <v xml:space="preserve"> </v>
      </c>
      <c r="AA188" s="153" t="str">
        <f t="shared" si="39"/>
        <v xml:space="preserve"> </v>
      </c>
      <c r="AB188" s="153" t="str">
        <f t="shared" si="40"/>
        <v xml:space="preserve"> </v>
      </c>
      <c r="AC188" s="153" t="str">
        <f t="shared" si="41"/>
        <v xml:space="preserve"> </v>
      </c>
    </row>
    <row r="189" spans="1:29" x14ac:dyDescent="0.25">
      <c r="B189" s="57">
        <v>11</v>
      </c>
      <c r="C189" s="150" t="s">
        <v>325</v>
      </c>
      <c r="D189" s="57" t="s">
        <v>748</v>
      </c>
      <c r="E189" s="160" t="str">
        <f>IFERROR(VLOOKUP(A189,Estimate!A:Q,17,FALSE)," ")</f>
        <v xml:space="preserve"> </v>
      </c>
      <c r="F189" s="164" t="s">
        <v>682</v>
      </c>
      <c r="G189" s="164" t="s">
        <v>682</v>
      </c>
      <c r="H189" s="164" t="s">
        <v>682</v>
      </c>
      <c r="I189" s="164" t="s">
        <v>682</v>
      </c>
      <c r="J189" s="164" t="s">
        <v>682</v>
      </c>
      <c r="K189" s="160" t="s">
        <v>682</v>
      </c>
      <c r="L189" s="195" t="str">
        <f t="shared" si="46"/>
        <v xml:space="preserve"> </v>
      </c>
      <c r="M189" s="160" t="s">
        <v>682</v>
      </c>
      <c r="N189" s="195" t="str">
        <f t="shared" si="46"/>
        <v xml:space="preserve"> </v>
      </c>
      <c r="O189" s="160" t="s">
        <v>682</v>
      </c>
      <c r="P189" s="195" t="str">
        <f t="shared" si="47"/>
        <v xml:space="preserve"> </v>
      </c>
      <c r="Q189" s="160" t="s">
        <v>682</v>
      </c>
      <c r="R189" s="195" t="str">
        <f t="shared" si="47"/>
        <v xml:space="preserve"> </v>
      </c>
      <c r="S189" s="160" t="s">
        <v>682</v>
      </c>
      <c r="T189" s="195" t="str">
        <f t="shared" si="34"/>
        <v xml:space="preserve"> </v>
      </c>
      <c r="U189" s="160" t="s">
        <v>682</v>
      </c>
      <c r="V189" s="195" t="str">
        <f t="shared" si="35"/>
        <v xml:space="preserve"> </v>
      </c>
      <c r="W189" s="153"/>
      <c r="X189" s="153" t="str">
        <f t="shared" si="36"/>
        <v xml:space="preserve"> </v>
      </c>
      <c r="Y189" s="153" t="str">
        <f t="shared" si="37"/>
        <v xml:space="preserve"> </v>
      </c>
      <c r="Z189" s="153" t="str">
        <f t="shared" si="38"/>
        <v xml:space="preserve"> </v>
      </c>
      <c r="AA189" s="153" t="str">
        <f t="shared" si="39"/>
        <v xml:space="preserve"> </v>
      </c>
      <c r="AB189" s="153" t="str">
        <f t="shared" si="40"/>
        <v xml:space="preserve"> </v>
      </c>
      <c r="AC189" s="153" t="str">
        <f t="shared" si="41"/>
        <v xml:space="preserve"> </v>
      </c>
    </row>
    <row r="190" spans="1:29" ht="45" x14ac:dyDescent="0.25">
      <c r="A190" s="58">
        <v>99</v>
      </c>
      <c r="B190" s="57" t="s">
        <v>1214</v>
      </c>
      <c r="C190" s="150" t="s">
        <v>1263</v>
      </c>
      <c r="D190" s="57" t="s">
        <v>32</v>
      </c>
      <c r="E190" s="160">
        <f>IFERROR(VLOOKUP(A190,Estimate!A:Q,17,FALSE)," ")</f>
        <v>2078.1624999999999</v>
      </c>
      <c r="F190" s="164">
        <v>79</v>
      </c>
      <c r="G190" s="164">
        <v>79</v>
      </c>
      <c r="H190" s="164">
        <v>45.04</v>
      </c>
      <c r="I190" s="164">
        <v>3558.16</v>
      </c>
      <c r="J190" s="164">
        <v>3558.16</v>
      </c>
      <c r="L190" s="195">
        <f t="shared" si="46"/>
        <v>0</v>
      </c>
      <c r="N190" s="195">
        <f t="shared" si="46"/>
        <v>0</v>
      </c>
      <c r="P190" s="195">
        <f t="shared" si="47"/>
        <v>0</v>
      </c>
      <c r="R190" s="195">
        <f t="shared" si="47"/>
        <v>0</v>
      </c>
      <c r="S190" s="160">
        <v>79</v>
      </c>
      <c r="T190" s="195">
        <f t="shared" si="34"/>
        <v>1</v>
      </c>
      <c r="U190" s="160">
        <v>79</v>
      </c>
      <c r="V190" s="195">
        <f t="shared" si="35"/>
        <v>1</v>
      </c>
      <c r="W190" s="153"/>
      <c r="X190" s="153">
        <f t="shared" si="36"/>
        <v>0</v>
      </c>
      <c r="Y190" s="153">
        <f t="shared" si="37"/>
        <v>0</v>
      </c>
      <c r="Z190" s="153">
        <f t="shared" si="38"/>
        <v>0</v>
      </c>
      <c r="AA190" s="153">
        <f t="shared" si="39"/>
        <v>0</v>
      </c>
      <c r="AB190" s="153">
        <f t="shared" si="40"/>
        <v>3558.16</v>
      </c>
      <c r="AC190" s="153">
        <f t="shared" si="41"/>
        <v>3558.16</v>
      </c>
    </row>
    <row r="191" spans="1:29" ht="45" x14ac:dyDescent="0.25">
      <c r="A191" s="58">
        <v>100</v>
      </c>
      <c r="B191" s="57" t="s">
        <v>1216</v>
      </c>
      <c r="C191" s="150" t="s">
        <v>331</v>
      </c>
      <c r="D191" s="57" t="s">
        <v>32</v>
      </c>
      <c r="E191" s="160">
        <f>IFERROR(VLOOKUP(A191,Estimate!A:Q,17,FALSE)," ")</f>
        <v>3600</v>
      </c>
      <c r="F191" s="164">
        <v>20</v>
      </c>
      <c r="G191" s="164">
        <v>20</v>
      </c>
      <c r="H191" s="164">
        <v>228.18</v>
      </c>
      <c r="I191" s="164">
        <v>4563.6000000000004</v>
      </c>
      <c r="J191" s="164">
        <v>4563.6000000000004</v>
      </c>
      <c r="L191" s="195">
        <f t="shared" si="46"/>
        <v>0</v>
      </c>
      <c r="N191" s="195">
        <f t="shared" si="46"/>
        <v>0</v>
      </c>
      <c r="O191" s="160">
        <v>20</v>
      </c>
      <c r="P191" s="195">
        <f t="shared" si="47"/>
        <v>1</v>
      </c>
      <c r="Q191" s="160">
        <v>20</v>
      </c>
      <c r="R191" s="195">
        <f t="shared" si="47"/>
        <v>1</v>
      </c>
      <c r="S191" s="160">
        <v>20</v>
      </c>
      <c r="T191" s="195">
        <f t="shared" si="34"/>
        <v>1</v>
      </c>
      <c r="U191" s="160">
        <v>20</v>
      </c>
      <c r="V191" s="195">
        <f t="shared" si="35"/>
        <v>1</v>
      </c>
      <c r="W191" s="153"/>
      <c r="X191" s="153">
        <f t="shared" si="36"/>
        <v>0</v>
      </c>
      <c r="Y191" s="153">
        <f t="shared" si="37"/>
        <v>0</v>
      </c>
      <c r="Z191" s="153">
        <f t="shared" si="38"/>
        <v>4563.6000000000004</v>
      </c>
      <c r="AA191" s="153">
        <f t="shared" si="39"/>
        <v>4563.6000000000004</v>
      </c>
      <c r="AB191" s="153">
        <f t="shared" si="40"/>
        <v>4563.6000000000004</v>
      </c>
      <c r="AC191" s="153">
        <f t="shared" si="41"/>
        <v>4563.6000000000004</v>
      </c>
    </row>
    <row r="192" spans="1:29" x14ac:dyDescent="0.25">
      <c r="A192" s="58">
        <v>101</v>
      </c>
      <c r="B192" s="57" t="s">
        <v>1231</v>
      </c>
      <c r="C192" s="150" t="s">
        <v>333</v>
      </c>
      <c r="D192" s="57" t="s">
        <v>145</v>
      </c>
      <c r="E192" s="160">
        <f>IFERROR(VLOOKUP(A192,Estimate!A:Q,17,FALSE)," ")</f>
        <v>2452.8000000000002</v>
      </c>
      <c r="F192" s="164">
        <v>2</v>
      </c>
      <c r="G192" s="164">
        <v>2</v>
      </c>
      <c r="H192" s="164">
        <v>1554.68</v>
      </c>
      <c r="I192" s="164">
        <v>3109.36</v>
      </c>
      <c r="J192" s="164">
        <v>3109.36</v>
      </c>
      <c r="L192" s="195">
        <f t="shared" si="46"/>
        <v>0</v>
      </c>
      <c r="N192" s="195">
        <f t="shared" si="46"/>
        <v>0</v>
      </c>
      <c r="P192" s="195">
        <f t="shared" si="47"/>
        <v>0</v>
      </c>
      <c r="R192" s="195">
        <f t="shared" si="47"/>
        <v>0</v>
      </c>
      <c r="S192" s="160">
        <v>2</v>
      </c>
      <c r="T192" s="195">
        <f t="shared" si="34"/>
        <v>1</v>
      </c>
      <c r="U192" s="160">
        <v>2</v>
      </c>
      <c r="V192" s="195">
        <f t="shared" si="35"/>
        <v>1</v>
      </c>
      <c r="W192" s="153"/>
      <c r="X192" s="153">
        <f t="shared" si="36"/>
        <v>0</v>
      </c>
      <c r="Y192" s="153">
        <f t="shared" si="37"/>
        <v>0</v>
      </c>
      <c r="Z192" s="153">
        <f t="shared" si="38"/>
        <v>0</v>
      </c>
      <c r="AA192" s="153">
        <f t="shared" si="39"/>
        <v>0</v>
      </c>
      <c r="AB192" s="153">
        <f t="shared" si="40"/>
        <v>3109.36</v>
      </c>
      <c r="AC192" s="153">
        <f t="shared" si="41"/>
        <v>3109.36</v>
      </c>
    </row>
    <row r="193" spans="1:29" ht="45" x14ac:dyDescent="0.25">
      <c r="A193" s="58">
        <v>102</v>
      </c>
      <c r="B193" s="57" t="s">
        <v>1232</v>
      </c>
      <c r="C193" s="150" t="s">
        <v>335</v>
      </c>
      <c r="D193" s="57" t="s">
        <v>145</v>
      </c>
      <c r="E193" s="160">
        <f>IFERROR(VLOOKUP(A193,Estimate!A:Q,17,FALSE)," ")</f>
        <v>2690.8</v>
      </c>
      <c r="F193" s="164">
        <v>2</v>
      </c>
      <c r="G193" s="164">
        <v>2</v>
      </c>
      <c r="H193" s="164">
        <v>1705.54</v>
      </c>
      <c r="I193" s="164">
        <v>3411.08</v>
      </c>
      <c r="J193" s="164">
        <v>3411.08</v>
      </c>
      <c r="L193" s="195">
        <f t="shared" si="46"/>
        <v>0</v>
      </c>
      <c r="N193" s="195">
        <f t="shared" si="46"/>
        <v>0</v>
      </c>
      <c r="P193" s="195">
        <f t="shared" si="47"/>
        <v>0</v>
      </c>
      <c r="R193" s="195">
        <f t="shared" si="47"/>
        <v>0</v>
      </c>
      <c r="S193" s="160">
        <v>2</v>
      </c>
      <c r="T193" s="195">
        <f t="shared" si="34"/>
        <v>1</v>
      </c>
      <c r="U193" s="160">
        <v>2</v>
      </c>
      <c r="V193" s="195">
        <f t="shared" si="35"/>
        <v>1</v>
      </c>
      <c r="W193" s="153"/>
      <c r="X193" s="153">
        <f t="shared" si="36"/>
        <v>0</v>
      </c>
      <c r="Y193" s="153">
        <f t="shared" si="37"/>
        <v>0</v>
      </c>
      <c r="Z193" s="153">
        <f t="shared" si="38"/>
        <v>0</v>
      </c>
      <c r="AA193" s="153">
        <f t="shared" si="39"/>
        <v>0</v>
      </c>
      <c r="AB193" s="153">
        <f t="shared" si="40"/>
        <v>3411.08</v>
      </c>
      <c r="AC193" s="153">
        <f t="shared" si="41"/>
        <v>3411.08</v>
      </c>
    </row>
    <row r="194" spans="1:29" x14ac:dyDescent="0.25">
      <c r="B194" s="57" t="s">
        <v>704</v>
      </c>
      <c r="C194" s="150" t="s">
        <v>682</v>
      </c>
      <c r="D194" s="57" t="s">
        <v>748</v>
      </c>
      <c r="E194" s="160" t="str">
        <f>IFERROR(VLOOKUP(A194,Estimate!A:Q,17,FALSE)," ")</f>
        <v xml:space="preserve"> </v>
      </c>
      <c r="F194" s="164" t="s">
        <v>682</v>
      </c>
      <c r="G194" s="164" t="s">
        <v>682</v>
      </c>
      <c r="H194" s="164" t="s">
        <v>682</v>
      </c>
      <c r="I194" s="164" t="s">
        <v>682</v>
      </c>
      <c r="J194" s="164" t="s">
        <v>682</v>
      </c>
      <c r="K194" s="160" t="s">
        <v>682</v>
      </c>
      <c r="L194" s="195" t="str">
        <f t="shared" si="46"/>
        <v xml:space="preserve"> </v>
      </c>
      <c r="M194" s="160" t="s">
        <v>682</v>
      </c>
      <c r="N194" s="195" t="str">
        <f t="shared" si="46"/>
        <v xml:space="preserve"> </v>
      </c>
      <c r="O194" s="160" t="s">
        <v>682</v>
      </c>
      <c r="P194" s="195" t="str">
        <f t="shared" si="47"/>
        <v xml:space="preserve"> </v>
      </c>
      <c r="Q194" s="160" t="s">
        <v>682</v>
      </c>
      <c r="R194" s="195" t="str">
        <f t="shared" si="47"/>
        <v xml:space="preserve"> </v>
      </c>
      <c r="S194" s="160" t="s">
        <v>682</v>
      </c>
      <c r="T194" s="195" t="str">
        <f t="shared" si="34"/>
        <v xml:space="preserve"> </v>
      </c>
      <c r="U194" s="160" t="s">
        <v>682</v>
      </c>
      <c r="V194" s="195" t="str">
        <f t="shared" si="35"/>
        <v xml:space="preserve"> </v>
      </c>
      <c r="W194" s="153"/>
      <c r="X194" s="153" t="str">
        <f t="shared" si="36"/>
        <v xml:space="preserve"> </v>
      </c>
      <c r="Y194" s="153" t="str">
        <f t="shared" si="37"/>
        <v xml:space="preserve"> </v>
      </c>
      <c r="Z194" s="153" t="str">
        <f t="shared" si="38"/>
        <v xml:space="preserve"> </v>
      </c>
      <c r="AA194" s="153" t="str">
        <f t="shared" si="39"/>
        <v xml:space="preserve"> </v>
      </c>
      <c r="AB194" s="153" t="str">
        <f t="shared" si="40"/>
        <v xml:space="preserve"> </v>
      </c>
      <c r="AC194" s="153" t="str">
        <f t="shared" si="41"/>
        <v xml:space="preserve"> </v>
      </c>
    </row>
    <row r="195" spans="1:29" x14ac:dyDescent="0.25">
      <c r="B195" s="57">
        <v>12</v>
      </c>
      <c r="C195" s="150" t="s">
        <v>138</v>
      </c>
      <c r="D195" s="57" t="s">
        <v>748</v>
      </c>
      <c r="E195" s="160" t="str">
        <f>IFERROR(VLOOKUP(A195,Estimate!A:Q,17,FALSE)," ")</f>
        <v xml:space="preserve"> </v>
      </c>
      <c r="F195" s="164" t="s">
        <v>682</v>
      </c>
      <c r="G195" s="164" t="s">
        <v>682</v>
      </c>
      <c r="H195" s="164" t="s">
        <v>682</v>
      </c>
      <c r="I195" s="164" t="s">
        <v>682</v>
      </c>
      <c r="J195" s="164" t="s">
        <v>682</v>
      </c>
      <c r="K195" s="160" t="s">
        <v>682</v>
      </c>
      <c r="L195" s="195" t="str">
        <f t="shared" si="46"/>
        <v xml:space="preserve"> </v>
      </c>
      <c r="M195" s="160" t="s">
        <v>682</v>
      </c>
      <c r="N195" s="195" t="str">
        <f t="shared" si="46"/>
        <v xml:space="preserve"> </v>
      </c>
      <c r="O195" s="160" t="s">
        <v>682</v>
      </c>
      <c r="P195" s="195" t="str">
        <f t="shared" si="47"/>
        <v xml:space="preserve"> </v>
      </c>
      <c r="Q195" s="160" t="s">
        <v>682</v>
      </c>
      <c r="R195" s="195" t="str">
        <f t="shared" si="47"/>
        <v xml:space="preserve"> </v>
      </c>
      <c r="S195" s="160" t="s">
        <v>682</v>
      </c>
      <c r="T195" s="195" t="str">
        <f t="shared" si="34"/>
        <v xml:space="preserve"> </v>
      </c>
      <c r="U195" s="160" t="s">
        <v>682</v>
      </c>
      <c r="V195" s="195" t="str">
        <f t="shared" si="35"/>
        <v xml:space="preserve"> </v>
      </c>
      <c r="W195" s="153"/>
      <c r="X195" s="153" t="str">
        <f t="shared" si="36"/>
        <v xml:space="preserve"> </v>
      </c>
      <c r="Y195" s="153" t="str">
        <f t="shared" si="37"/>
        <v xml:space="preserve"> </v>
      </c>
      <c r="Z195" s="153" t="str">
        <f t="shared" si="38"/>
        <v xml:space="preserve"> </v>
      </c>
      <c r="AA195" s="153" t="str">
        <f t="shared" si="39"/>
        <v xml:space="preserve"> </v>
      </c>
      <c r="AB195" s="153" t="str">
        <f t="shared" si="40"/>
        <v xml:space="preserve"> </v>
      </c>
      <c r="AC195" s="153" t="str">
        <f t="shared" si="41"/>
        <v xml:space="preserve"> </v>
      </c>
    </row>
    <row r="196" spans="1:29" x14ac:dyDescent="0.25">
      <c r="A196" s="58">
        <v>103</v>
      </c>
      <c r="B196" s="57" t="s">
        <v>1214</v>
      </c>
      <c r="C196" s="150" t="s">
        <v>1241</v>
      </c>
      <c r="D196" s="57" t="s">
        <v>88</v>
      </c>
      <c r="E196" s="160">
        <f>IFERROR(VLOOKUP(A196,Estimate!A:Q,17,FALSE)," ")</f>
        <v>767.25</v>
      </c>
      <c r="F196" s="164">
        <v>1000</v>
      </c>
      <c r="G196" s="164">
        <v>1000</v>
      </c>
      <c r="H196" s="164">
        <v>0.97</v>
      </c>
      <c r="I196" s="164">
        <v>970</v>
      </c>
      <c r="J196" s="164">
        <v>970</v>
      </c>
      <c r="L196" s="195">
        <f t="shared" si="46"/>
        <v>0</v>
      </c>
      <c r="N196" s="195">
        <f t="shared" si="46"/>
        <v>0</v>
      </c>
      <c r="P196" s="195">
        <f t="shared" si="47"/>
        <v>0</v>
      </c>
      <c r="R196" s="195">
        <f t="shared" si="47"/>
        <v>0</v>
      </c>
      <c r="S196" s="160">
        <v>1000</v>
      </c>
      <c r="T196" s="195">
        <f t="shared" si="34"/>
        <v>1</v>
      </c>
      <c r="U196" s="160">
        <v>1000</v>
      </c>
      <c r="V196" s="195">
        <f t="shared" si="35"/>
        <v>1</v>
      </c>
      <c r="W196" s="153"/>
      <c r="X196" s="153">
        <f t="shared" si="36"/>
        <v>0</v>
      </c>
      <c r="Y196" s="153">
        <f t="shared" si="37"/>
        <v>0</v>
      </c>
      <c r="Z196" s="153">
        <f t="shared" si="38"/>
        <v>0</v>
      </c>
      <c r="AA196" s="153">
        <f t="shared" si="39"/>
        <v>0</v>
      </c>
      <c r="AB196" s="153">
        <f t="shared" si="40"/>
        <v>970</v>
      </c>
      <c r="AC196" s="153">
        <f t="shared" si="41"/>
        <v>970</v>
      </c>
    </row>
    <row r="197" spans="1:29" ht="30" x14ac:dyDescent="0.25">
      <c r="A197" s="58">
        <v>104</v>
      </c>
      <c r="B197" s="57" t="s">
        <v>1216</v>
      </c>
      <c r="C197" s="150" t="s">
        <v>1264</v>
      </c>
      <c r="D197" s="57" t="s">
        <v>88</v>
      </c>
      <c r="E197" s="160">
        <f>IFERROR(VLOOKUP(A197,Estimate!A:Q,17,FALSE)," ")</f>
        <v>1125</v>
      </c>
      <c r="F197" s="164">
        <v>1000</v>
      </c>
      <c r="G197" s="164">
        <v>1000</v>
      </c>
      <c r="H197" s="164">
        <v>1.43</v>
      </c>
      <c r="I197" s="164">
        <v>1430</v>
      </c>
      <c r="J197" s="164">
        <v>1430</v>
      </c>
      <c r="L197" s="195">
        <f t="shared" si="46"/>
        <v>0</v>
      </c>
      <c r="N197" s="195">
        <f t="shared" si="46"/>
        <v>0</v>
      </c>
      <c r="P197" s="195">
        <f t="shared" si="47"/>
        <v>0</v>
      </c>
      <c r="R197" s="195">
        <f t="shared" si="47"/>
        <v>0</v>
      </c>
      <c r="T197" s="195">
        <f t="shared" si="34"/>
        <v>0</v>
      </c>
      <c r="V197" s="195">
        <f t="shared" si="35"/>
        <v>0</v>
      </c>
      <c r="W197" s="153"/>
      <c r="X197" s="153">
        <f t="shared" si="36"/>
        <v>0</v>
      </c>
      <c r="Y197" s="153">
        <f t="shared" si="37"/>
        <v>0</v>
      </c>
      <c r="Z197" s="153">
        <f t="shared" si="38"/>
        <v>0</v>
      </c>
      <c r="AA197" s="153">
        <f t="shared" si="39"/>
        <v>0</v>
      </c>
      <c r="AB197" s="153">
        <f t="shared" si="40"/>
        <v>0</v>
      </c>
      <c r="AC197" s="153">
        <f t="shared" si="41"/>
        <v>0</v>
      </c>
    </row>
    <row r="198" spans="1:29" x14ac:dyDescent="0.25">
      <c r="A198" s="58">
        <v>105</v>
      </c>
      <c r="B198" s="57" t="s">
        <v>1231</v>
      </c>
      <c r="C198" s="150" t="s">
        <v>144</v>
      </c>
      <c r="D198" s="57" t="s">
        <v>145</v>
      </c>
      <c r="E198" s="160">
        <f>IFERROR(VLOOKUP(A198,Estimate!A:Q,17,FALSE)," ")</f>
        <v>1626.4</v>
      </c>
      <c r="F198" s="164">
        <v>6</v>
      </c>
      <c r="G198" s="164">
        <v>6</v>
      </c>
      <c r="H198" s="164">
        <v>343.63</v>
      </c>
      <c r="I198" s="164">
        <v>2061.7800000000002</v>
      </c>
      <c r="J198" s="164">
        <v>2061.7800000000002</v>
      </c>
      <c r="L198" s="195">
        <f t="shared" si="46"/>
        <v>0</v>
      </c>
      <c r="N198" s="195">
        <f t="shared" si="46"/>
        <v>0</v>
      </c>
      <c r="P198" s="195">
        <f t="shared" si="47"/>
        <v>0</v>
      </c>
      <c r="R198" s="195">
        <f t="shared" si="47"/>
        <v>0</v>
      </c>
      <c r="T198" s="195">
        <f t="shared" si="34"/>
        <v>0</v>
      </c>
      <c r="V198" s="195">
        <f t="shared" si="35"/>
        <v>0</v>
      </c>
      <c r="W198" s="153"/>
      <c r="X198" s="153">
        <f t="shared" si="36"/>
        <v>0</v>
      </c>
      <c r="Y198" s="153">
        <f t="shared" si="37"/>
        <v>0</v>
      </c>
      <c r="Z198" s="153">
        <f t="shared" si="38"/>
        <v>0</v>
      </c>
      <c r="AA198" s="153">
        <f t="shared" si="39"/>
        <v>0</v>
      </c>
      <c r="AB198" s="153">
        <f t="shared" si="40"/>
        <v>0</v>
      </c>
      <c r="AC198" s="153">
        <f t="shared" si="41"/>
        <v>0</v>
      </c>
    </row>
    <row r="199" spans="1:29" x14ac:dyDescent="0.25">
      <c r="B199" s="57" t="s">
        <v>704</v>
      </c>
      <c r="C199" s="150" t="s">
        <v>682</v>
      </c>
      <c r="D199" s="57" t="s">
        <v>748</v>
      </c>
      <c r="E199" s="160" t="str">
        <f>IFERROR(VLOOKUP(A199,Estimate!A:Q,17,FALSE)," ")</f>
        <v xml:space="preserve"> </v>
      </c>
      <c r="F199" s="164" t="s">
        <v>682</v>
      </c>
      <c r="G199" s="164" t="s">
        <v>682</v>
      </c>
      <c r="H199" s="164" t="s">
        <v>682</v>
      </c>
      <c r="I199" s="164" t="s">
        <v>682</v>
      </c>
      <c r="J199" s="164" t="s">
        <v>682</v>
      </c>
      <c r="K199" s="160" t="s">
        <v>682</v>
      </c>
      <c r="L199" s="195" t="str">
        <f t="shared" ref="L199:N214" si="48">IFERROR(K199/$G199," ")</f>
        <v xml:space="preserve"> </v>
      </c>
      <c r="M199" s="160" t="s">
        <v>682</v>
      </c>
      <c r="N199" s="195" t="str">
        <f t="shared" si="48"/>
        <v xml:space="preserve"> </v>
      </c>
      <c r="O199" s="160" t="s">
        <v>682</v>
      </c>
      <c r="P199" s="195" t="str">
        <f t="shared" ref="P199:R214" si="49">IFERROR(O199/$G199," ")</f>
        <v xml:space="preserve"> </v>
      </c>
      <c r="Q199" s="160" t="s">
        <v>682</v>
      </c>
      <c r="R199" s="195" t="str">
        <f t="shared" si="49"/>
        <v xml:space="preserve"> </v>
      </c>
      <c r="S199" s="160" t="s">
        <v>682</v>
      </c>
      <c r="T199" s="195" t="str">
        <f t="shared" ref="T199:T262" si="50">IFERROR(S199/$G199," ")</f>
        <v xml:space="preserve"> </v>
      </c>
      <c r="U199" s="160" t="s">
        <v>682</v>
      </c>
      <c r="V199" s="195" t="str">
        <f t="shared" ref="V199:V262" si="51">IFERROR(U199/$G199," ")</f>
        <v xml:space="preserve"> </v>
      </c>
      <c r="W199" s="153"/>
      <c r="X199" s="153" t="str">
        <f t="shared" ref="X199:X262" si="52">IFERROR(K199*$H199," ")</f>
        <v xml:space="preserve"> </v>
      </c>
      <c r="Y199" s="153" t="str">
        <f t="shared" ref="Y199:Y262" si="53">IFERROR(M199*$H199," ")</f>
        <v xml:space="preserve"> </v>
      </c>
      <c r="Z199" s="153" t="str">
        <f t="shared" ref="Z199:Z262" si="54">IFERROR(O199*$H199," ")</f>
        <v xml:space="preserve"> </v>
      </c>
      <c r="AA199" s="153" t="str">
        <f t="shared" ref="AA199:AA262" si="55">IFERROR(Q199*$H199," ")</f>
        <v xml:space="preserve"> </v>
      </c>
      <c r="AB199" s="153" t="str">
        <f t="shared" ref="AB199:AB262" si="56">IFERROR(S199*$H199," ")</f>
        <v xml:space="preserve"> </v>
      </c>
      <c r="AC199" s="153" t="str">
        <f t="shared" ref="AC199:AC262" si="57">IFERROR(U199*$H199," ")</f>
        <v xml:space="preserve"> </v>
      </c>
    </row>
    <row r="200" spans="1:29" x14ac:dyDescent="0.25">
      <c r="B200" s="57">
        <v>13</v>
      </c>
      <c r="C200" s="150" t="s">
        <v>148</v>
      </c>
      <c r="D200" s="57" t="s">
        <v>748</v>
      </c>
      <c r="E200" s="160" t="str">
        <f>IFERROR(VLOOKUP(A200,Estimate!A:Q,17,FALSE)," ")</f>
        <v xml:space="preserve"> </v>
      </c>
      <c r="F200" s="164" t="s">
        <v>682</v>
      </c>
      <c r="G200" s="164" t="s">
        <v>682</v>
      </c>
      <c r="H200" s="164" t="s">
        <v>682</v>
      </c>
      <c r="I200" s="164" t="s">
        <v>682</v>
      </c>
      <c r="J200" s="164" t="s">
        <v>682</v>
      </c>
      <c r="K200" s="160" t="s">
        <v>682</v>
      </c>
      <c r="L200" s="195" t="str">
        <f t="shared" si="48"/>
        <v xml:space="preserve"> </v>
      </c>
      <c r="M200" s="160" t="s">
        <v>682</v>
      </c>
      <c r="N200" s="195" t="str">
        <f t="shared" si="48"/>
        <v xml:space="preserve"> </v>
      </c>
      <c r="O200" s="160" t="s">
        <v>682</v>
      </c>
      <c r="P200" s="195" t="str">
        <f t="shared" si="49"/>
        <v xml:space="preserve"> </v>
      </c>
      <c r="Q200" s="160" t="s">
        <v>682</v>
      </c>
      <c r="R200" s="195" t="str">
        <f t="shared" si="49"/>
        <v xml:space="preserve"> </v>
      </c>
      <c r="S200" s="160" t="s">
        <v>682</v>
      </c>
      <c r="T200" s="195" t="str">
        <f t="shared" si="50"/>
        <v xml:space="preserve"> </v>
      </c>
      <c r="U200" s="160" t="s">
        <v>682</v>
      </c>
      <c r="V200" s="195" t="str">
        <f t="shared" si="51"/>
        <v xml:space="preserve"> </v>
      </c>
      <c r="W200" s="153"/>
      <c r="X200" s="153" t="str">
        <f t="shared" si="52"/>
        <v xml:space="preserve"> </v>
      </c>
      <c r="Y200" s="153" t="str">
        <f t="shared" si="53"/>
        <v xml:space="preserve"> </v>
      </c>
      <c r="Z200" s="153" t="str">
        <f t="shared" si="54"/>
        <v xml:space="preserve"> </v>
      </c>
      <c r="AA200" s="153" t="str">
        <f t="shared" si="55"/>
        <v xml:space="preserve"> </v>
      </c>
      <c r="AB200" s="153" t="str">
        <f t="shared" si="56"/>
        <v xml:space="preserve"> </v>
      </c>
      <c r="AC200" s="153" t="str">
        <f t="shared" si="57"/>
        <v xml:space="preserve"> </v>
      </c>
    </row>
    <row r="201" spans="1:29" x14ac:dyDescent="0.25">
      <c r="A201" s="58">
        <v>106</v>
      </c>
      <c r="B201" s="57" t="s">
        <v>1214</v>
      </c>
      <c r="C201" s="150" t="s">
        <v>348</v>
      </c>
      <c r="D201" s="57" t="s">
        <v>145</v>
      </c>
      <c r="E201" s="160">
        <f>IFERROR(VLOOKUP(A201,Estimate!A:Q,17,FALSE)," ")</f>
        <v>550</v>
      </c>
      <c r="F201" s="164">
        <v>11</v>
      </c>
      <c r="G201" s="164">
        <v>11</v>
      </c>
      <c r="H201" s="164">
        <v>63.38</v>
      </c>
      <c r="I201" s="164">
        <v>697.18</v>
      </c>
      <c r="J201" s="164">
        <v>697.18</v>
      </c>
      <c r="L201" s="195">
        <f t="shared" si="48"/>
        <v>0</v>
      </c>
      <c r="N201" s="195">
        <f t="shared" si="48"/>
        <v>0</v>
      </c>
      <c r="P201" s="195">
        <f t="shared" si="49"/>
        <v>0</v>
      </c>
      <c r="Q201" s="160">
        <v>11</v>
      </c>
      <c r="R201" s="195">
        <f t="shared" si="49"/>
        <v>1</v>
      </c>
      <c r="S201" s="160">
        <v>11</v>
      </c>
      <c r="T201" s="195">
        <f t="shared" si="50"/>
        <v>1</v>
      </c>
      <c r="U201" s="160">
        <v>11</v>
      </c>
      <c r="V201" s="195">
        <f t="shared" si="51"/>
        <v>1</v>
      </c>
      <c r="W201" s="153"/>
      <c r="X201" s="153">
        <f t="shared" si="52"/>
        <v>0</v>
      </c>
      <c r="Y201" s="153">
        <f t="shared" si="53"/>
        <v>0</v>
      </c>
      <c r="Z201" s="153">
        <f t="shared" si="54"/>
        <v>0</v>
      </c>
      <c r="AA201" s="153">
        <f t="shared" si="55"/>
        <v>697.18000000000006</v>
      </c>
      <c r="AB201" s="153">
        <f t="shared" si="56"/>
        <v>697.18000000000006</v>
      </c>
      <c r="AC201" s="153">
        <f t="shared" si="57"/>
        <v>697.18000000000006</v>
      </c>
    </row>
    <row r="202" spans="1:29" x14ac:dyDescent="0.25">
      <c r="A202" s="58">
        <v>107</v>
      </c>
      <c r="B202" s="57" t="s">
        <v>1216</v>
      </c>
      <c r="C202" s="150" t="s">
        <v>350</v>
      </c>
      <c r="D202" s="57" t="s">
        <v>145</v>
      </c>
      <c r="E202" s="160">
        <f>IFERROR(VLOOKUP(A202,Estimate!A:Q,17,FALSE)," ")</f>
        <v>338.8</v>
      </c>
      <c r="F202" s="164">
        <v>1</v>
      </c>
      <c r="G202" s="164">
        <v>1</v>
      </c>
      <c r="H202" s="164">
        <v>429.49</v>
      </c>
      <c r="I202" s="164">
        <v>429.49</v>
      </c>
      <c r="J202" s="164">
        <v>429.49</v>
      </c>
      <c r="L202" s="195">
        <f t="shared" si="48"/>
        <v>0</v>
      </c>
      <c r="N202" s="195">
        <f t="shared" si="48"/>
        <v>0</v>
      </c>
      <c r="P202" s="195">
        <f t="shared" si="49"/>
        <v>0</v>
      </c>
      <c r="Q202" s="160">
        <v>1</v>
      </c>
      <c r="R202" s="195">
        <f t="shared" si="49"/>
        <v>1</v>
      </c>
      <c r="S202" s="160">
        <v>1</v>
      </c>
      <c r="T202" s="195">
        <f t="shared" si="50"/>
        <v>1</v>
      </c>
      <c r="U202" s="160">
        <v>1</v>
      </c>
      <c r="V202" s="195">
        <f t="shared" si="51"/>
        <v>1</v>
      </c>
      <c r="W202" s="153"/>
      <c r="X202" s="153">
        <f t="shared" si="52"/>
        <v>0</v>
      </c>
      <c r="Y202" s="153">
        <f t="shared" si="53"/>
        <v>0</v>
      </c>
      <c r="Z202" s="153">
        <f t="shared" si="54"/>
        <v>0</v>
      </c>
      <c r="AA202" s="153">
        <f t="shared" si="55"/>
        <v>429.49</v>
      </c>
      <c r="AB202" s="153">
        <f t="shared" si="56"/>
        <v>429.49</v>
      </c>
      <c r="AC202" s="153">
        <f t="shared" si="57"/>
        <v>429.49</v>
      </c>
    </row>
    <row r="203" spans="1:29" ht="45" x14ac:dyDescent="0.25">
      <c r="A203" s="58">
        <v>108</v>
      </c>
      <c r="B203" s="57" t="s">
        <v>1231</v>
      </c>
      <c r="C203" s="150" t="s">
        <v>352</v>
      </c>
      <c r="D203" s="57" t="s">
        <v>18</v>
      </c>
      <c r="E203" s="160">
        <f>IFERROR(VLOOKUP(A203,Estimate!A:Q,17,FALSE)," ")</f>
        <v>7500</v>
      </c>
      <c r="F203" s="164">
        <v>1</v>
      </c>
      <c r="G203" s="164">
        <v>1</v>
      </c>
      <c r="H203" s="164">
        <v>9507.61</v>
      </c>
      <c r="I203" s="164">
        <v>9507.61</v>
      </c>
      <c r="J203" s="164">
        <v>9507.61</v>
      </c>
      <c r="L203" s="195">
        <f t="shared" si="48"/>
        <v>0</v>
      </c>
      <c r="N203" s="195">
        <f t="shared" si="48"/>
        <v>0</v>
      </c>
      <c r="P203" s="195">
        <f t="shared" si="49"/>
        <v>0</v>
      </c>
      <c r="R203" s="195">
        <f t="shared" si="49"/>
        <v>0</v>
      </c>
      <c r="T203" s="195">
        <f t="shared" si="50"/>
        <v>0</v>
      </c>
      <c r="U203" s="160">
        <v>1</v>
      </c>
      <c r="V203" s="195">
        <f t="shared" si="51"/>
        <v>1</v>
      </c>
      <c r="W203" s="153"/>
      <c r="X203" s="153">
        <f t="shared" si="52"/>
        <v>0</v>
      </c>
      <c r="Y203" s="153">
        <f t="shared" si="53"/>
        <v>0</v>
      </c>
      <c r="Z203" s="153">
        <f t="shared" si="54"/>
        <v>0</v>
      </c>
      <c r="AA203" s="153">
        <f t="shared" si="55"/>
        <v>0</v>
      </c>
      <c r="AB203" s="153">
        <f t="shared" si="56"/>
        <v>0</v>
      </c>
      <c r="AC203" s="153">
        <f t="shared" si="57"/>
        <v>9507.61</v>
      </c>
    </row>
    <row r="204" spans="1:29" x14ac:dyDescent="0.25">
      <c r="B204" s="57" t="s">
        <v>704</v>
      </c>
      <c r="C204" s="150" t="s">
        <v>682</v>
      </c>
      <c r="D204" s="57" t="s">
        <v>748</v>
      </c>
      <c r="E204" s="160" t="str">
        <f>IFERROR(VLOOKUP(A204,Estimate!A:Q,17,FALSE)," ")</f>
        <v xml:space="preserve"> </v>
      </c>
      <c r="F204" s="164" t="s">
        <v>682</v>
      </c>
      <c r="G204" s="164" t="s">
        <v>682</v>
      </c>
      <c r="H204" s="164" t="s">
        <v>682</v>
      </c>
      <c r="I204" s="164" t="s">
        <v>682</v>
      </c>
      <c r="J204" s="164" t="s">
        <v>682</v>
      </c>
      <c r="K204" s="160" t="s">
        <v>682</v>
      </c>
      <c r="L204" s="195" t="str">
        <f t="shared" si="48"/>
        <v xml:space="preserve"> </v>
      </c>
      <c r="M204" s="160" t="s">
        <v>682</v>
      </c>
      <c r="N204" s="195" t="str">
        <f t="shared" si="48"/>
        <v xml:space="preserve"> </v>
      </c>
      <c r="O204" s="160" t="s">
        <v>682</v>
      </c>
      <c r="P204" s="195" t="str">
        <f t="shared" si="49"/>
        <v xml:space="preserve"> </v>
      </c>
      <c r="Q204" s="160" t="s">
        <v>682</v>
      </c>
      <c r="R204" s="195" t="str">
        <f t="shared" si="49"/>
        <v xml:space="preserve"> </v>
      </c>
      <c r="S204" s="160" t="s">
        <v>682</v>
      </c>
      <c r="T204" s="195" t="str">
        <f t="shared" si="50"/>
        <v xml:space="preserve"> </v>
      </c>
      <c r="U204" s="160" t="s">
        <v>682</v>
      </c>
      <c r="V204" s="195" t="str">
        <f t="shared" si="51"/>
        <v xml:space="preserve"> </v>
      </c>
      <c r="W204" s="153"/>
      <c r="X204" s="153" t="str">
        <f t="shared" si="52"/>
        <v xml:space="preserve"> </v>
      </c>
      <c r="Y204" s="153" t="str">
        <f t="shared" si="53"/>
        <v xml:space="preserve"> </v>
      </c>
      <c r="Z204" s="153" t="str">
        <f t="shared" si="54"/>
        <v xml:space="preserve"> </v>
      </c>
      <c r="AA204" s="153" t="str">
        <f t="shared" si="55"/>
        <v xml:space="preserve"> </v>
      </c>
      <c r="AB204" s="153" t="str">
        <f t="shared" si="56"/>
        <v xml:space="preserve"> </v>
      </c>
      <c r="AC204" s="153" t="str">
        <f t="shared" si="57"/>
        <v xml:space="preserve"> </v>
      </c>
    </row>
    <row r="205" spans="1:29" x14ac:dyDescent="0.25">
      <c r="B205" s="57">
        <v>14</v>
      </c>
      <c r="C205" s="150" t="s">
        <v>355</v>
      </c>
      <c r="D205" s="57" t="s">
        <v>748</v>
      </c>
      <c r="E205" s="160" t="str">
        <f>IFERROR(VLOOKUP(A205,Estimate!A:Q,17,FALSE)," ")</f>
        <v xml:space="preserve"> </v>
      </c>
      <c r="F205" s="164" t="s">
        <v>682</v>
      </c>
      <c r="G205" s="164" t="s">
        <v>682</v>
      </c>
      <c r="H205" s="164" t="s">
        <v>682</v>
      </c>
      <c r="I205" s="164" t="s">
        <v>682</v>
      </c>
      <c r="J205" s="164" t="s">
        <v>682</v>
      </c>
      <c r="K205" s="160" t="s">
        <v>682</v>
      </c>
      <c r="L205" s="195" t="str">
        <f t="shared" si="48"/>
        <v xml:space="preserve"> </v>
      </c>
      <c r="M205" s="160" t="s">
        <v>682</v>
      </c>
      <c r="N205" s="195" t="str">
        <f t="shared" si="48"/>
        <v xml:space="preserve"> </v>
      </c>
      <c r="O205" s="160" t="s">
        <v>682</v>
      </c>
      <c r="P205" s="195" t="str">
        <f t="shared" si="49"/>
        <v xml:space="preserve"> </v>
      </c>
      <c r="Q205" s="160" t="s">
        <v>682</v>
      </c>
      <c r="R205" s="195" t="str">
        <f t="shared" si="49"/>
        <v xml:space="preserve"> </v>
      </c>
      <c r="S205" s="160" t="s">
        <v>682</v>
      </c>
      <c r="T205" s="195" t="str">
        <f t="shared" si="50"/>
        <v xml:space="preserve"> </v>
      </c>
      <c r="U205" s="160" t="s">
        <v>682</v>
      </c>
      <c r="V205" s="195" t="str">
        <f t="shared" si="51"/>
        <v xml:space="preserve"> </v>
      </c>
      <c r="W205" s="153"/>
      <c r="X205" s="153" t="str">
        <f t="shared" si="52"/>
        <v xml:space="preserve"> </v>
      </c>
      <c r="Y205" s="153" t="str">
        <f t="shared" si="53"/>
        <v xml:space="preserve"> </v>
      </c>
      <c r="Z205" s="153" t="str">
        <f t="shared" si="54"/>
        <v xml:space="preserve"> </v>
      </c>
      <c r="AA205" s="153" t="str">
        <f t="shared" si="55"/>
        <v xml:space="preserve"> </v>
      </c>
      <c r="AB205" s="153" t="str">
        <f t="shared" si="56"/>
        <v xml:space="preserve"> </v>
      </c>
      <c r="AC205" s="153" t="str">
        <f t="shared" si="57"/>
        <v xml:space="preserve"> </v>
      </c>
    </row>
    <row r="206" spans="1:29" ht="45" x14ac:dyDescent="0.25">
      <c r="A206" s="58">
        <v>109</v>
      </c>
      <c r="B206" s="57" t="s">
        <v>1214</v>
      </c>
      <c r="C206" s="150" t="s">
        <v>1265</v>
      </c>
      <c r="D206" s="57" t="s">
        <v>32</v>
      </c>
      <c r="E206" s="160">
        <f>IFERROR(VLOOKUP(A206,Estimate!A:Q,17,FALSE)," ")</f>
        <v>4014.904430139441</v>
      </c>
      <c r="F206" s="164">
        <v>3.6</v>
      </c>
      <c r="G206" s="164">
        <v>3.6</v>
      </c>
      <c r="H206" s="164">
        <v>1413.78</v>
      </c>
      <c r="I206" s="164">
        <v>5089.6099999999997</v>
      </c>
      <c r="J206" s="164">
        <v>5089.6080000000002</v>
      </c>
      <c r="L206" s="195">
        <f t="shared" si="48"/>
        <v>0</v>
      </c>
      <c r="M206" s="160">
        <v>3.6</v>
      </c>
      <c r="N206" s="195">
        <f t="shared" si="48"/>
        <v>1</v>
      </c>
      <c r="O206" s="160">
        <v>3.6</v>
      </c>
      <c r="P206" s="195">
        <f t="shared" si="49"/>
        <v>1</v>
      </c>
      <c r="Q206" s="160">
        <v>3.6</v>
      </c>
      <c r="R206" s="195">
        <f t="shared" si="49"/>
        <v>1</v>
      </c>
      <c r="S206" s="160">
        <v>3.6</v>
      </c>
      <c r="T206" s="195">
        <f t="shared" si="50"/>
        <v>1</v>
      </c>
      <c r="U206" s="160">
        <v>3.6</v>
      </c>
      <c r="V206" s="195">
        <f t="shared" si="51"/>
        <v>1</v>
      </c>
      <c r="W206" s="153"/>
      <c r="X206" s="153">
        <f t="shared" si="52"/>
        <v>0</v>
      </c>
      <c r="Y206" s="153">
        <f t="shared" si="53"/>
        <v>5089.6080000000002</v>
      </c>
      <c r="Z206" s="153">
        <f t="shared" si="54"/>
        <v>5089.6080000000002</v>
      </c>
      <c r="AA206" s="153">
        <f t="shared" si="55"/>
        <v>5089.6080000000002</v>
      </c>
      <c r="AB206" s="153">
        <f t="shared" si="56"/>
        <v>5089.6080000000002</v>
      </c>
      <c r="AC206" s="153">
        <f t="shared" si="57"/>
        <v>5089.6080000000002</v>
      </c>
    </row>
    <row r="207" spans="1:29" ht="30" x14ac:dyDescent="0.25">
      <c r="A207" s="58">
        <v>110</v>
      </c>
      <c r="B207" s="57" t="s">
        <v>1216</v>
      </c>
      <c r="C207" s="150" t="s">
        <v>1266</v>
      </c>
      <c r="D207" s="57" t="s">
        <v>145</v>
      </c>
      <c r="E207" s="160">
        <f>IFERROR(VLOOKUP(A207,Estimate!A:Q,17,FALSE)," ")</f>
        <v>947.8</v>
      </c>
      <c r="F207" s="164">
        <v>1</v>
      </c>
      <c r="G207" s="164">
        <v>1</v>
      </c>
      <c r="H207" s="164">
        <v>1201.51</v>
      </c>
      <c r="I207" s="164">
        <v>1201.51</v>
      </c>
      <c r="J207" s="164">
        <v>1201.51</v>
      </c>
      <c r="L207" s="195">
        <f t="shared" si="48"/>
        <v>0</v>
      </c>
      <c r="M207" s="160">
        <v>1</v>
      </c>
      <c r="N207" s="195">
        <f t="shared" si="48"/>
        <v>1</v>
      </c>
      <c r="O207" s="160">
        <v>1</v>
      </c>
      <c r="P207" s="195">
        <f t="shared" si="49"/>
        <v>1</v>
      </c>
      <c r="Q207" s="160">
        <v>1</v>
      </c>
      <c r="R207" s="195">
        <f t="shared" si="49"/>
        <v>1</v>
      </c>
      <c r="S207" s="160">
        <v>1</v>
      </c>
      <c r="T207" s="195">
        <f t="shared" si="50"/>
        <v>1</v>
      </c>
      <c r="U207" s="160">
        <v>1</v>
      </c>
      <c r="V207" s="195">
        <f t="shared" si="51"/>
        <v>1</v>
      </c>
      <c r="W207" s="153"/>
      <c r="X207" s="153">
        <f t="shared" si="52"/>
        <v>0</v>
      </c>
      <c r="Y207" s="153">
        <f t="shared" si="53"/>
        <v>1201.51</v>
      </c>
      <c r="Z207" s="153">
        <f t="shared" si="54"/>
        <v>1201.51</v>
      </c>
      <c r="AA207" s="153">
        <f t="shared" si="55"/>
        <v>1201.51</v>
      </c>
      <c r="AB207" s="153">
        <f t="shared" si="56"/>
        <v>1201.51</v>
      </c>
      <c r="AC207" s="153">
        <f t="shared" si="57"/>
        <v>1201.51</v>
      </c>
    </row>
    <row r="208" spans="1:29" x14ac:dyDescent="0.25">
      <c r="B208" s="57" t="s">
        <v>704</v>
      </c>
      <c r="C208" s="150" t="s">
        <v>682</v>
      </c>
      <c r="D208" s="57" t="s">
        <v>748</v>
      </c>
      <c r="E208" s="160" t="str">
        <f>IFERROR(VLOOKUP(A208,Estimate!A:Q,17,FALSE)," ")</f>
        <v xml:space="preserve"> </v>
      </c>
      <c r="F208" s="164" t="s">
        <v>682</v>
      </c>
      <c r="G208" s="164" t="s">
        <v>682</v>
      </c>
      <c r="H208" s="164" t="s">
        <v>682</v>
      </c>
      <c r="I208" s="164" t="s">
        <v>682</v>
      </c>
      <c r="J208" s="164" t="s">
        <v>682</v>
      </c>
      <c r="K208" s="160" t="s">
        <v>682</v>
      </c>
      <c r="L208" s="195" t="str">
        <f t="shared" si="48"/>
        <v xml:space="preserve"> </v>
      </c>
      <c r="M208" s="160" t="s">
        <v>682</v>
      </c>
      <c r="N208" s="195" t="str">
        <f t="shared" si="48"/>
        <v xml:space="preserve"> </v>
      </c>
      <c r="O208" s="160" t="s">
        <v>682</v>
      </c>
      <c r="P208" s="195" t="str">
        <f t="shared" si="49"/>
        <v xml:space="preserve"> </v>
      </c>
      <c r="Q208" s="160" t="s">
        <v>682</v>
      </c>
      <c r="R208" s="195" t="str">
        <f t="shared" si="49"/>
        <v xml:space="preserve"> </v>
      </c>
      <c r="S208" s="160" t="s">
        <v>682</v>
      </c>
      <c r="T208" s="195" t="str">
        <f t="shared" si="50"/>
        <v xml:space="preserve"> </v>
      </c>
      <c r="U208" s="160" t="s">
        <v>682</v>
      </c>
      <c r="V208" s="195" t="str">
        <f t="shared" si="51"/>
        <v xml:space="preserve"> </v>
      </c>
      <c r="W208" s="153"/>
      <c r="X208" s="153" t="str">
        <f t="shared" si="52"/>
        <v xml:space="preserve"> </v>
      </c>
      <c r="Y208" s="153" t="str">
        <f t="shared" si="53"/>
        <v xml:space="preserve"> </v>
      </c>
      <c r="Z208" s="153" t="str">
        <f t="shared" si="54"/>
        <v xml:space="preserve"> </v>
      </c>
      <c r="AA208" s="153" t="str">
        <f t="shared" si="55"/>
        <v xml:space="preserve"> </v>
      </c>
      <c r="AB208" s="153" t="str">
        <f t="shared" si="56"/>
        <v xml:space="preserve"> </v>
      </c>
      <c r="AC208" s="153" t="str">
        <f t="shared" si="57"/>
        <v xml:space="preserve"> </v>
      </c>
    </row>
    <row r="209" spans="1:29" x14ac:dyDescent="0.25">
      <c r="B209" s="57">
        <v>15</v>
      </c>
      <c r="C209" s="150" t="s">
        <v>1242</v>
      </c>
      <c r="D209" s="57" t="s">
        <v>1243</v>
      </c>
      <c r="E209" s="160" t="str">
        <f>IFERROR(VLOOKUP(A209,Estimate!A:Q,17,FALSE)," ")</f>
        <v xml:space="preserve"> </v>
      </c>
      <c r="F209" s="164">
        <v>1</v>
      </c>
      <c r="G209" s="164">
        <v>1</v>
      </c>
      <c r="H209" s="164">
        <v>10000</v>
      </c>
      <c r="I209" s="164">
        <v>10000</v>
      </c>
      <c r="J209" s="164">
        <v>10000</v>
      </c>
      <c r="L209" s="195">
        <f t="shared" si="48"/>
        <v>0</v>
      </c>
      <c r="N209" s="195">
        <f t="shared" si="48"/>
        <v>0</v>
      </c>
      <c r="P209" s="195">
        <f t="shared" si="49"/>
        <v>0</v>
      </c>
      <c r="R209" s="195">
        <f t="shared" si="49"/>
        <v>0</v>
      </c>
      <c r="T209" s="195">
        <f t="shared" si="50"/>
        <v>0</v>
      </c>
      <c r="V209" s="195">
        <f t="shared" si="51"/>
        <v>0</v>
      </c>
      <c r="W209" s="153"/>
      <c r="X209" s="153">
        <f t="shared" si="52"/>
        <v>0</v>
      </c>
      <c r="Y209" s="153">
        <f t="shared" si="53"/>
        <v>0</v>
      </c>
      <c r="Z209" s="153">
        <f t="shared" si="54"/>
        <v>0</v>
      </c>
      <c r="AA209" s="153">
        <f t="shared" si="55"/>
        <v>0</v>
      </c>
      <c r="AB209" s="153">
        <f t="shared" si="56"/>
        <v>0</v>
      </c>
      <c r="AC209" s="153">
        <f t="shared" si="57"/>
        <v>0</v>
      </c>
    </row>
    <row r="210" spans="1:29" x14ac:dyDescent="0.25">
      <c r="B210" s="196" t="s">
        <v>704</v>
      </c>
      <c r="C210" s="197" t="s">
        <v>682</v>
      </c>
      <c r="D210" s="196" t="s">
        <v>748</v>
      </c>
      <c r="E210" s="160" t="str">
        <f>IFERROR(VLOOKUP(A210,Estimate!A:Q,17,FALSE)," ")</f>
        <v xml:space="preserve"> </v>
      </c>
      <c r="F210" s="198" t="s">
        <v>682</v>
      </c>
      <c r="G210" s="198" t="s">
        <v>682</v>
      </c>
      <c r="H210" s="198" t="s">
        <v>682</v>
      </c>
      <c r="I210" s="198">
        <v>336248.69</v>
      </c>
      <c r="J210" s="198" t="s">
        <v>682</v>
      </c>
      <c r="K210" s="199" t="s">
        <v>682</v>
      </c>
      <c r="L210" s="195" t="str">
        <f t="shared" si="48"/>
        <v xml:space="preserve"> </v>
      </c>
      <c r="M210" s="199" t="s">
        <v>682</v>
      </c>
      <c r="N210" s="195" t="str">
        <f t="shared" si="48"/>
        <v xml:space="preserve"> </v>
      </c>
      <c r="O210" s="199" t="s">
        <v>682</v>
      </c>
      <c r="P210" s="195" t="str">
        <f t="shared" si="49"/>
        <v xml:space="preserve"> </v>
      </c>
      <c r="Q210" s="199" t="s">
        <v>682</v>
      </c>
      <c r="R210" s="195" t="str">
        <f t="shared" si="49"/>
        <v xml:space="preserve"> </v>
      </c>
      <c r="S210" s="199" t="s">
        <v>682</v>
      </c>
      <c r="T210" s="195" t="str">
        <f t="shared" si="50"/>
        <v xml:space="preserve"> </v>
      </c>
      <c r="U210" s="199" t="s">
        <v>682</v>
      </c>
      <c r="V210" s="195" t="str">
        <f t="shared" si="51"/>
        <v xml:space="preserve"> </v>
      </c>
      <c r="W210" s="200"/>
      <c r="X210" s="153" t="str">
        <f t="shared" si="52"/>
        <v xml:space="preserve"> </v>
      </c>
      <c r="Y210" s="153" t="str">
        <f t="shared" si="53"/>
        <v xml:space="preserve"> </v>
      </c>
      <c r="Z210" s="153" t="str">
        <f t="shared" si="54"/>
        <v xml:space="preserve"> </v>
      </c>
      <c r="AA210" s="153" t="str">
        <f t="shared" si="55"/>
        <v xml:space="preserve"> </v>
      </c>
      <c r="AB210" s="153" t="str">
        <f t="shared" si="56"/>
        <v xml:space="preserve"> </v>
      </c>
      <c r="AC210" s="153" t="str">
        <f t="shared" si="57"/>
        <v xml:space="preserve"> </v>
      </c>
    </row>
    <row r="211" spans="1:29" x14ac:dyDescent="0.25">
      <c r="B211" s="57" t="s">
        <v>704</v>
      </c>
      <c r="C211" s="150" t="s">
        <v>682</v>
      </c>
      <c r="D211" s="57" t="s">
        <v>748</v>
      </c>
      <c r="E211" s="160" t="str">
        <f>IFERROR(VLOOKUP(A211,Estimate!A:Q,17,FALSE)," ")</f>
        <v xml:space="preserve"> </v>
      </c>
      <c r="F211" s="164" t="s">
        <v>682</v>
      </c>
      <c r="G211" s="164" t="s">
        <v>682</v>
      </c>
      <c r="H211" s="164" t="s">
        <v>682</v>
      </c>
      <c r="I211" s="164" t="s">
        <v>682</v>
      </c>
      <c r="J211" s="164" t="s">
        <v>682</v>
      </c>
      <c r="K211" s="160" t="s">
        <v>682</v>
      </c>
      <c r="L211" s="195" t="str">
        <f t="shared" si="48"/>
        <v xml:space="preserve"> </v>
      </c>
      <c r="M211" s="160" t="s">
        <v>682</v>
      </c>
      <c r="N211" s="195" t="str">
        <f t="shared" si="48"/>
        <v xml:space="preserve"> </v>
      </c>
      <c r="O211" s="160" t="s">
        <v>682</v>
      </c>
      <c r="P211" s="195" t="str">
        <f t="shared" si="49"/>
        <v xml:space="preserve"> </v>
      </c>
      <c r="Q211" s="160" t="s">
        <v>682</v>
      </c>
      <c r="R211" s="195" t="str">
        <f t="shared" si="49"/>
        <v xml:space="preserve"> </v>
      </c>
      <c r="S211" s="160" t="s">
        <v>682</v>
      </c>
      <c r="T211" s="195" t="str">
        <f t="shared" si="50"/>
        <v xml:space="preserve"> </v>
      </c>
      <c r="U211" s="160" t="s">
        <v>682</v>
      </c>
      <c r="V211" s="195" t="str">
        <f t="shared" si="51"/>
        <v xml:space="preserve"> </v>
      </c>
      <c r="W211" s="153"/>
      <c r="X211" s="153" t="str">
        <f t="shared" si="52"/>
        <v xml:space="preserve"> </v>
      </c>
      <c r="Y211" s="153" t="str">
        <f t="shared" si="53"/>
        <v xml:space="preserve"> </v>
      </c>
      <c r="Z211" s="153" t="str">
        <f t="shared" si="54"/>
        <v xml:space="preserve"> </v>
      </c>
      <c r="AA211" s="153" t="str">
        <f t="shared" si="55"/>
        <v xml:space="preserve"> </v>
      </c>
      <c r="AB211" s="153" t="str">
        <f t="shared" si="56"/>
        <v xml:space="preserve"> </v>
      </c>
      <c r="AC211" s="153" t="str">
        <f t="shared" si="57"/>
        <v xml:space="preserve"> </v>
      </c>
    </row>
    <row r="212" spans="1:29" x14ac:dyDescent="0.25">
      <c r="B212" s="57" t="s">
        <v>704</v>
      </c>
      <c r="C212" s="150" t="s">
        <v>682</v>
      </c>
      <c r="D212" s="57" t="s">
        <v>748</v>
      </c>
      <c r="E212" s="160" t="str">
        <f>IFERROR(VLOOKUP(A212,Estimate!A:Q,17,FALSE)," ")</f>
        <v xml:space="preserve"> </v>
      </c>
      <c r="F212" s="164" t="s">
        <v>682</v>
      </c>
      <c r="G212" s="164" t="s">
        <v>682</v>
      </c>
      <c r="H212" s="164" t="s">
        <v>682</v>
      </c>
      <c r="I212" s="164" t="s">
        <v>682</v>
      </c>
      <c r="J212" s="164" t="s">
        <v>682</v>
      </c>
      <c r="K212" s="160" t="s">
        <v>682</v>
      </c>
      <c r="L212" s="195" t="str">
        <f t="shared" si="48"/>
        <v xml:space="preserve"> </v>
      </c>
      <c r="M212" s="160" t="s">
        <v>682</v>
      </c>
      <c r="N212" s="195" t="str">
        <f t="shared" si="48"/>
        <v xml:space="preserve"> </v>
      </c>
      <c r="O212" s="160" t="s">
        <v>682</v>
      </c>
      <c r="P212" s="195" t="str">
        <f t="shared" si="49"/>
        <v xml:space="preserve"> </v>
      </c>
      <c r="Q212" s="160" t="s">
        <v>682</v>
      </c>
      <c r="R212" s="195" t="str">
        <f t="shared" si="49"/>
        <v xml:space="preserve"> </v>
      </c>
      <c r="S212" s="160" t="s">
        <v>682</v>
      </c>
      <c r="T212" s="195" t="str">
        <f t="shared" si="50"/>
        <v xml:space="preserve"> </v>
      </c>
      <c r="U212" s="160" t="s">
        <v>682</v>
      </c>
      <c r="V212" s="195" t="str">
        <f t="shared" si="51"/>
        <v xml:space="preserve"> </v>
      </c>
      <c r="W212" s="153"/>
      <c r="X212" s="153" t="str">
        <f t="shared" si="52"/>
        <v xml:space="preserve"> </v>
      </c>
      <c r="Y212" s="153" t="str">
        <f t="shared" si="53"/>
        <v xml:space="preserve"> </v>
      </c>
      <c r="Z212" s="153" t="str">
        <f t="shared" si="54"/>
        <v xml:space="preserve"> </v>
      </c>
      <c r="AA212" s="153" t="str">
        <f t="shared" si="55"/>
        <v xml:space="preserve"> </v>
      </c>
      <c r="AB212" s="153" t="str">
        <f t="shared" si="56"/>
        <v xml:space="preserve"> </v>
      </c>
      <c r="AC212" s="153" t="str">
        <f t="shared" si="57"/>
        <v xml:space="preserve"> </v>
      </c>
    </row>
    <row r="213" spans="1:29" ht="30" x14ac:dyDescent="0.25">
      <c r="B213" s="57" t="s">
        <v>704</v>
      </c>
      <c r="C213" s="150" t="s">
        <v>359</v>
      </c>
      <c r="D213" s="57" t="s">
        <v>748</v>
      </c>
      <c r="E213" s="160" t="str">
        <f>IFERROR(VLOOKUP(A213,Estimate!A:Q,17,FALSE)," ")</f>
        <v xml:space="preserve"> </v>
      </c>
      <c r="F213" s="164" t="s">
        <v>682</v>
      </c>
      <c r="G213" s="164" t="s">
        <v>682</v>
      </c>
      <c r="H213" s="164" t="s">
        <v>682</v>
      </c>
      <c r="I213" s="164" t="s">
        <v>682</v>
      </c>
      <c r="J213" s="164" t="s">
        <v>682</v>
      </c>
      <c r="K213" s="160" t="s">
        <v>682</v>
      </c>
      <c r="L213" s="195" t="str">
        <f t="shared" si="48"/>
        <v xml:space="preserve"> </v>
      </c>
      <c r="M213" s="160" t="s">
        <v>682</v>
      </c>
      <c r="N213" s="195" t="str">
        <f t="shared" si="48"/>
        <v xml:space="preserve"> </v>
      </c>
      <c r="O213" s="160" t="s">
        <v>682</v>
      </c>
      <c r="P213" s="195" t="str">
        <f t="shared" si="49"/>
        <v xml:space="preserve"> </v>
      </c>
      <c r="Q213" s="160" t="s">
        <v>682</v>
      </c>
      <c r="R213" s="195" t="str">
        <f t="shared" si="49"/>
        <v xml:space="preserve"> </v>
      </c>
      <c r="S213" s="160" t="s">
        <v>682</v>
      </c>
      <c r="T213" s="195" t="str">
        <f t="shared" si="50"/>
        <v xml:space="preserve"> </v>
      </c>
      <c r="U213" s="160" t="s">
        <v>682</v>
      </c>
      <c r="V213" s="195" t="str">
        <f t="shared" si="51"/>
        <v xml:space="preserve"> </v>
      </c>
      <c r="W213" s="153"/>
      <c r="X213" s="153" t="str">
        <f t="shared" si="52"/>
        <v xml:space="preserve"> </v>
      </c>
      <c r="Y213" s="153" t="str">
        <f t="shared" si="53"/>
        <v xml:space="preserve"> </v>
      </c>
      <c r="Z213" s="153" t="str">
        <f t="shared" si="54"/>
        <v xml:space="preserve"> </v>
      </c>
      <c r="AA213" s="153" t="str">
        <f t="shared" si="55"/>
        <v xml:space="preserve"> </v>
      </c>
      <c r="AB213" s="153" t="str">
        <f t="shared" si="56"/>
        <v xml:space="preserve"> </v>
      </c>
      <c r="AC213" s="153" t="str">
        <f t="shared" si="57"/>
        <v xml:space="preserve"> </v>
      </c>
    </row>
    <row r="214" spans="1:29" x14ac:dyDescent="0.25">
      <c r="B214" s="57">
        <v>1</v>
      </c>
      <c r="C214" s="150" t="s">
        <v>16</v>
      </c>
      <c r="D214" s="57" t="s">
        <v>748</v>
      </c>
      <c r="E214" s="160" t="str">
        <f>IFERROR(VLOOKUP(A214,Estimate!A:Q,17,FALSE)," ")</f>
        <v xml:space="preserve"> </v>
      </c>
      <c r="F214" s="164" t="s">
        <v>682</v>
      </c>
      <c r="G214" s="164" t="s">
        <v>682</v>
      </c>
      <c r="H214" s="164" t="s">
        <v>682</v>
      </c>
      <c r="I214" s="164" t="s">
        <v>682</v>
      </c>
      <c r="J214" s="164" t="s">
        <v>682</v>
      </c>
      <c r="K214" s="160" t="s">
        <v>682</v>
      </c>
      <c r="L214" s="195" t="str">
        <f t="shared" si="48"/>
        <v xml:space="preserve"> </v>
      </c>
      <c r="M214" s="160" t="s">
        <v>682</v>
      </c>
      <c r="N214" s="195" t="str">
        <f t="shared" si="48"/>
        <v xml:space="preserve"> </v>
      </c>
      <c r="O214" s="160" t="s">
        <v>682</v>
      </c>
      <c r="P214" s="195" t="str">
        <f t="shared" si="49"/>
        <v xml:space="preserve"> </v>
      </c>
      <c r="Q214" s="160" t="s">
        <v>682</v>
      </c>
      <c r="R214" s="195" t="str">
        <f t="shared" si="49"/>
        <v xml:space="preserve"> </v>
      </c>
      <c r="S214" s="160" t="s">
        <v>682</v>
      </c>
      <c r="T214" s="195" t="str">
        <f t="shared" si="50"/>
        <v xml:space="preserve"> </v>
      </c>
      <c r="U214" s="160" t="s">
        <v>682</v>
      </c>
      <c r="V214" s="195" t="str">
        <f t="shared" si="51"/>
        <v xml:space="preserve"> </v>
      </c>
      <c r="W214" s="153"/>
      <c r="X214" s="153" t="str">
        <f t="shared" si="52"/>
        <v xml:space="preserve"> </v>
      </c>
      <c r="Y214" s="153" t="str">
        <f t="shared" si="53"/>
        <v xml:space="preserve"> </v>
      </c>
      <c r="Z214" s="153" t="str">
        <f t="shared" si="54"/>
        <v xml:space="preserve"> </v>
      </c>
      <c r="AA214" s="153" t="str">
        <f t="shared" si="55"/>
        <v xml:space="preserve"> </v>
      </c>
      <c r="AB214" s="153" t="str">
        <f t="shared" si="56"/>
        <v xml:space="preserve"> </v>
      </c>
      <c r="AC214" s="153" t="str">
        <f t="shared" si="57"/>
        <v xml:space="preserve"> </v>
      </c>
    </row>
    <row r="215" spans="1:29" ht="30" x14ac:dyDescent="0.25">
      <c r="B215" s="57" t="s">
        <v>1214</v>
      </c>
      <c r="C215" s="150" t="s">
        <v>1215</v>
      </c>
      <c r="D215" s="57" t="s">
        <v>18</v>
      </c>
      <c r="E215" s="160" t="str">
        <f>IFERROR(VLOOKUP(A215,Estimate!A:Q,17,FALSE)," ")</f>
        <v xml:space="preserve"> </v>
      </c>
      <c r="F215" s="164">
        <v>1</v>
      </c>
      <c r="G215" s="164">
        <v>1</v>
      </c>
      <c r="H215" s="164"/>
      <c r="I215" s="164"/>
      <c r="J215" s="164"/>
      <c r="L215" s="195">
        <f t="shared" ref="L215:N230" si="58">IFERROR(K215/$G215," ")</f>
        <v>0</v>
      </c>
      <c r="N215" s="195">
        <f t="shared" si="58"/>
        <v>0</v>
      </c>
      <c r="P215" s="195">
        <f t="shared" ref="P215:R230" si="59">IFERROR(O215/$G215," ")</f>
        <v>0</v>
      </c>
      <c r="R215" s="195">
        <f t="shared" si="59"/>
        <v>0</v>
      </c>
      <c r="T215" s="195">
        <f t="shared" si="50"/>
        <v>0</v>
      </c>
      <c r="V215" s="195">
        <f t="shared" si="51"/>
        <v>0</v>
      </c>
      <c r="W215" s="153"/>
      <c r="X215" s="153">
        <f t="shared" si="52"/>
        <v>0</v>
      </c>
      <c r="Y215" s="153">
        <f t="shared" si="53"/>
        <v>0</v>
      </c>
      <c r="Z215" s="153">
        <f t="shared" si="54"/>
        <v>0</v>
      </c>
      <c r="AA215" s="153">
        <f t="shared" si="55"/>
        <v>0</v>
      </c>
      <c r="AB215" s="153">
        <f t="shared" si="56"/>
        <v>0</v>
      </c>
      <c r="AC215" s="153">
        <f t="shared" si="57"/>
        <v>0</v>
      </c>
    </row>
    <row r="216" spans="1:29" ht="45" x14ac:dyDescent="0.25">
      <c r="A216" s="58">
        <v>111</v>
      </c>
      <c r="B216" s="57" t="s">
        <v>1216</v>
      </c>
      <c r="C216" s="150" t="s">
        <v>30</v>
      </c>
      <c r="D216" s="57" t="s">
        <v>18</v>
      </c>
      <c r="E216" s="160">
        <f>IFERROR(VLOOKUP(A216,Estimate!A:Q,17,FALSE)," ")</f>
        <v>28325.046910652924</v>
      </c>
      <c r="F216" s="164">
        <v>1</v>
      </c>
      <c r="G216" s="164">
        <v>1</v>
      </c>
      <c r="H216" s="164">
        <v>35907.08</v>
      </c>
      <c r="I216" s="164">
        <v>35907.08</v>
      </c>
      <c r="J216" s="164">
        <v>35907.08</v>
      </c>
      <c r="L216" s="195">
        <f t="shared" si="58"/>
        <v>0</v>
      </c>
      <c r="N216" s="195">
        <f t="shared" si="58"/>
        <v>0</v>
      </c>
      <c r="P216" s="195">
        <f t="shared" si="59"/>
        <v>0</v>
      </c>
      <c r="R216" s="195">
        <f t="shared" si="59"/>
        <v>0</v>
      </c>
      <c r="T216" s="195">
        <f t="shared" si="50"/>
        <v>0</v>
      </c>
      <c r="V216" s="195">
        <f t="shared" si="51"/>
        <v>0</v>
      </c>
      <c r="W216" s="153"/>
      <c r="X216" s="153">
        <f t="shared" si="52"/>
        <v>0</v>
      </c>
      <c r="Y216" s="153">
        <f t="shared" si="53"/>
        <v>0</v>
      </c>
      <c r="Z216" s="153">
        <f t="shared" si="54"/>
        <v>0</v>
      </c>
      <c r="AA216" s="153">
        <f t="shared" si="55"/>
        <v>0</v>
      </c>
      <c r="AB216" s="153">
        <f t="shared" si="56"/>
        <v>0</v>
      </c>
      <c r="AC216" s="153">
        <f t="shared" si="57"/>
        <v>0</v>
      </c>
    </row>
    <row r="217" spans="1:29" x14ac:dyDescent="0.25">
      <c r="A217" s="58">
        <v>112</v>
      </c>
      <c r="B217" s="57" t="s">
        <v>1217</v>
      </c>
      <c r="C217" s="150" t="s">
        <v>34</v>
      </c>
      <c r="D217" s="57" t="s">
        <v>18</v>
      </c>
      <c r="E217" s="160">
        <f>IFERROR(VLOOKUP(A217,Estimate!A:Q,17,FALSE)," ")</f>
        <v>5180</v>
      </c>
      <c r="F217" s="164">
        <v>1</v>
      </c>
      <c r="G217" s="164">
        <v>1</v>
      </c>
      <c r="H217" s="164">
        <v>6566.59</v>
      </c>
      <c r="I217" s="164">
        <v>6566.59</v>
      </c>
      <c r="J217" s="164">
        <v>6566.59</v>
      </c>
      <c r="L217" s="195">
        <f t="shared" si="58"/>
        <v>0</v>
      </c>
      <c r="N217" s="195">
        <f t="shared" si="58"/>
        <v>0</v>
      </c>
      <c r="P217" s="195">
        <f t="shared" si="59"/>
        <v>0</v>
      </c>
      <c r="R217" s="195">
        <f t="shared" si="59"/>
        <v>0</v>
      </c>
      <c r="T217" s="195">
        <f t="shared" si="50"/>
        <v>0</v>
      </c>
      <c r="V217" s="195">
        <f t="shared" si="51"/>
        <v>0</v>
      </c>
      <c r="W217" s="153"/>
      <c r="X217" s="153">
        <f t="shared" si="52"/>
        <v>0</v>
      </c>
      <c r="Y217" s="153">
        <f t="shared" si="53"/>
        <v>0</v>
      </c>
      <c r="Z217" s="153">
        <f t="shared" si="54"/>
        <v>0</v>
      </c>
      <c r="AA217" s="153">
        <f t="shared" si="55"/>
        <v>0</v>
      </c>
      <c r="AB217" s="153">
        <f t="shared" si="56"/>
        <v>0</v>
      </c>
      <c r="AC217" s="153">
        <f t="shared" si="57"/>
        <v>0</v>
      </c>
    </row>
    <row r="218" spans="1:29" ht="45" x14ac:dyDescent="0.25">
      <c r="B218" s="57" t="s">
        <v>704</v>
      </c>
      <c r="C218" s="150" t="s">
        <v>37</v>
      </c>
      <c r="D218" s="57" t="s">
        <v>748</v>
      </c>
      <c r="E218" s="160" t="str">
        <f>IFERROR(VLOOKUP(A218,Estimate!A:Q,17,FALSE)," ")</f>
        <v xml:space="preserve"> </v>
      </c>
      <c r="F218" s="164" t="s">
        <v>682</v>
      </c>
      <c r="G218" s="164" t="s">
        <v>682</v>
      </c>
      <c r="H218" s="164" t="s">
        <v>682</v>
      </c>
      <c r="I218" s="164" t="s">
        <v>682</v>
      </c>
      <c r="J218" s="164" t="s">
        <v>682</v>
      </c>
      <c r="K218" s="160" t="s">
        <v>682</v>
      </c>
      <c r="L218" s="195" t="str">
        <f t="shared" si="58"/>
        <v xml:space="preserve"> </v>
      </c>
      <c r="M218" s="160" t="s">
        <v>682</v>
      </c>
      <c r="N218" s="195" t="str">
        <f t="shared" si="58"/>
        <v xml:space="preserve"> </v>
      </c>
      <c r="O218" s="160" t="s">
        <v>682</v>
      </c>
      <c r="P218" s="195" t="str">
        <f t="shared" si="59"/>
        <v xml:space="preserve"> </v>
      </c>
      <c r="Q218" s="160" t="s">
        <v>682</v>
      </c>
      <c r="R218" s="195" t="str">
        <f t="shared" si="59"/>
        <v xml:space="preserve"> </v>
      </c>
      <c r="S218" s="160" t="s">
        <v>682</v>
      </c>
      <c r="T218" s="195" t="str">
        <f t="shared" si="50"/>
        <v xml:space="preserve"> </v>
      </c>
      <c r="U218" s="160" t="s">
        <v>682</v>
      </c>
      <c r="V218" s="195" t="str">
        <f t="shared" si="51"/>
        <v xml:space="preserve"> </v>
      </c>
      <c r="W218" s="153"/>
      <c r="X218" s="153" t="str">
        <f t="shared" si="52"/>
        <v xml:space="preserve"> </v>
      </c>
      <c r="Y218" s="153" t="str">
        <f t="shared" si="53"/>
        <v xml:space="preserve"> </v>
      </c>
      <c r="Z218" s="153" t="str">
        <f t="shared" si="54"/>
        <v xml:space="preserve"> </v>
      </c>
      <c r="AA218" s="153" t="str">
        <f t="shared" si="55"/>
        <v xml:space="preserve"> </v>
      </c>
      <c r="AB218" s="153" t="str">
        <f t="shared" si="56"/>
        <v xml:space="preserve"> </v>
      </c>
      <c r="AC218" s="153" t="str">
        <f t="shared" si="57"/>
        <v xml:space="preserve"> </v>
      </c>
    </row>
    <row r="219" spans="1:29" ht="45" x14ac:dyDescent="0.25">
      <c r="A219" s="58">
        <v>113</v>
      </c>
      <c r="B219" s="57" t="s">
        <v>1218</v>
      </c>
      <c r="C219" s="150" t="s">
        <v>39</v>
      </c>
      <c r="D219" s="57" t="s">
        <v>18</v>
      </c>
      <c r="E219" s="160">
        <f>IFERROR(VLOOKUP(A219,Estimate!A:Q,17,FALSE)," ")</f>
        <v>2800</v>
      </c>
      <c r="F219" s="164">
        <v>1</v>
      </c>
      <c r="G219" s="164">
        <v>1</v>
      </c>
      <c r="H219" s="164">
        <v>3549.51</v>
      </c>
      <c r="I219" s="164">
        <v>3549.51</v>
      </c>
      <c r="J219" s="164">
        <v>3549.51</v>
      </c>
      <c r="L219" s="195">
        <f t="shared" si="58"/>
        <v>0</v>
      </c>
      <c r="N219" s="195">
        <f t="shared" si="58"/>
        <v>0</v>
      </c>
      <c r="P219" s="195">
        <f t="shared" si="59"/>
        <v>0</v>
      </c>
      <c r="R219" s="195">
        <f t="shared" si="59"/>
        <v>0</v>
      </c>
      <c r="T219" s="195">
        <f t="shared" si="50"/>
        <v>0</v>
      </c>
      <c r="V219" s="195">
        <f t="shared" si="51"/>
        <v>0</v>
      </c>
      <c r="W219" s="153"/>
      <c r="X219" s="153">
        <f t="shared" si="52"/>
        <v>0</v>
      </c>
      <c r="Y219" s="153">
        <f t="shared" si="53"/>
        <v>0</v>
      </c>
      <c r="Z219" s="153">
        <f t="shared" si="54"/>
        <v>0</v>
      </c>
      <c r="AA219" s="153">
        <f t="shared" si="55"/>
        <v>0</v>
      </c>
      <c r="AB219" s="153">
        <f t="shared" si="56"/>
        <v>0</v>
      </c>
      <c r="AC219" s="153">
        <f t="shared" si="57"/>
        <v>0</v>
      </c>
    </row>
    <row r="220" spans="1:29" ht="30" x14ac:dyDescent="0.25">
      <c r="A220" s="58">
        <v>114</v>
      </c>
      <c r="B220" s="57" t="s">
        <v>1219</v>
      </c>
      <c r="C220" s="150" t="s">
        <v>42</v>
      </c>
      <c r="D220" s="57" t="s">
        <v>18</v>
      </c>
      <c r="E220" s="160">
        <f>IFERROR(VLOOKUP(A220,Estimate!A:Q,17,FALSE)," ")</f>
        <v>3200</v>
      </c>
      <c r="F220" s="164">
        <v>1</v>
      </c>
      <c r="G220" s="164">
        <v>1</v>
      </c>
      <c r="H220" s="164">
        <v>4056.58</v>
      </c>
      <c r="I220" s="164">
        <v>4056.58</v>
      </c>
      <c r="J220" s="164">
        <v>4056.58</v>
      </c>
      <c r="L220" s="195">
        <f t="shared" si="58"/>
        <v>0</v>
      </c>
      <c r="N220" s="195">
        <f t="shared" si="58"/>
        <v>0</v>
      </c>
      <c r="P220" s="195">
        <f t="shared" si="59"/>
        <v>0</v>
      </c>
      <c r="R220" s="195">
        <f t="shared" si="59"/>
        <v>0</v>
      </c>
      <c r="T220" s="195">
        <f t="shared" si="50"/>
        <v>0</v>
      </c>
      <c r="V220" s="195">
        <f t="shared" si="51"/>
        <v>0</v>
      </c>
      <c r="W220" s="153"/>
      <c r="X220" s="153">
        <f t="shared" si="52"/>
        <v>0</v>
      </c>
      <c r="Y220" s="153">
        <f t="shared" si="53"/>
        <v>0</v>
      </c>
      <c r="Z220" s="153">
        <f t="shared" si="54"/>
        <v>0</v>
      </c>
      <c r="AA220" s="153">
        <f t="shared" si="55"/>
        <v>0</v>
      </c>
      <c r="AB220" s="153">
        <f t="shared" si="56"/>
        <v>0</v>
      </c>
      <c r="AC220" s="153">
        <f t="shared" si="57"/>
        <v>0</v>
      </c>
    </row>
    <row r="221" spans="1:29" x14ac:dyDescent="0.25">
      <c r="A221" s="58">
        <v>115</v>
      </c>
      <c r="B221" s="57" t="s">
        <v>1220</v>
      </c>
      <c r="C221" s="150" t="s">
        <v>46</v>
      </c>
      <c r="D221" s="57" t="s">
        <v>18</v>
      </c>
      <c r="E221" s="160">
        <f>IFERROR(VLOOKUP(A221,Estimate!A:Q,17,FALSE)," ")</f>
        <v>5920</v>
      </c>
      <c r="F221" s="164">
        <v>1</v>
      </c>
      <c r="G221" s="164">
        <v>1</v>
      </c>
      <c r="H221" s="164">
        <v>7504.67</v>
      </c>
      <c r="I221" s="164">
        <v>7504.67</v>
      </c>
      <c r="J221" s="164">
        <v>7504.67</v>
      </c>
      <c r="L221" s="195">
        <f t="shared" si="58"/>
        <v>0</v>
      </c>
      <c r="N221" s="195">
        <f t="shared" si="58"/>
        <v>0</v>
      </c>
      <c r="P221" s="195">
        <f t="shared" si="59"/>
        <v>0</v>
      </c>
      <c r="R221" s="195">
        <f t="shared" si="59"/>
        <v>0</v>
      </c>
      <c r="T221" s="195">
        <f t="shared" si="50"/>
        <v>0</v>
      </c>
      <c r="V221" s="195">
        <f t="shared" si="51"/>
        <v>0</v>
      </c>
      <c r="W221" s="153"/>
      <c r="X221" s="153">
        <f t="shared" si="52"/>
        <v>0</v>
      </c>
      <c r="Y221" s="153">
        <f t="shared" si="53"/>
        <v>0</v>
      </c>
      <c r="Z221" s="153">
        <f t="shared" si="54"/>
        <v>0</v>
      </c>
      <c r="AA221" s="153">
        <f t="shared" si="55"/>
        <v>0</v>
      </c>
      <c r="AB221" s="153">
        <f t="shared" si="56"/>
        <v>0</v>
      </c>
      <c r="AC221" s="153">
        <f t="shared" si="57"/>
        <v>0</v>
      </c>
    </row>
    <row r="222" spans="1:29" x14ac:dyDescent="0.25">
      <c r="B222" s="57" t="s">
        <v>1221</v>
      </c>
      <c r="C222" s="150" t="s">
        <v>48</v>
      </c>
      <c r="D222" s="57" t="s">
        <v>748</v>
      </c>
      <c r="E222" s="160" t="str">
        <f>IFERROR(VLOOKUP(A222,Estimate!A:Q,17,FALSE)," ")</f>
        <v xml:space="preserve"> </v>
      </c>
      <c r="F222" s="164" t="s">
        <v>682</v>
      </c>
      <c r="G222" s="164" t="s">
        <v>682</v>
      </c>
      <c r="H222" s="164" t="s">
        <v>682</v>
      </c>
      <c r="I222" s="164" t="s">
        <v>682</v>
      </c>
      <c r="J222" s="164" t="s">
        <v>682</v>
      </c>
      <c r="K222" s="160" t="s">
        <v>682</v>
      </c>
      <c r="L222" s="195" t="str">
        <f t="shared" si="58"/>
        <v xml:space="preserve"> </v>
      </c>
      <c r="M222" s="160" t="s">
        <v>682</v>
      </c>
      <c r="N222" s="195" t="str">
        <f t="shared" si="58"/>
        <v xml:space="preserve"> </v>
      </c>
      <c r="O222" s="160" t="s">
        <v>682</v>
      </c>
      <c r="P222" s="195" t="str">
        <f t="shared" si="59"/>
        <v xml:space="preserve"> </v>
      </c>
      <c r="Q222" s="160" t="s">
        <v>682</v>
      </c>
      <c r="R222" s="195" t="str">
        <f t="shared" si="59"/>
        <v xml:space="preserve"> </v>
      </c>
      <c r="S222" s="160" t="s">
        <v>682</v>
      </c>
      <c r="T222" s="195" t="str">
        <f t="shared" si="50"/>
        <v xml:space="preserve"> </v>
      </c>
      <c r="U222" s="160" t="s">
        <v>682</v>
      </c>
      <c r="V222" s="195" t="str">
        <f t="shared" si="51"/>
        <v xml:space="preserve"> </v>
      </c>
      <c r="W222" s="153"/>
      <c r="X222" s="153" t="str">
        <f t="shared" si="52"/>
        <v xml:space="preserve"> </v>
      </c>
      <c r="Y222" s="153" t="str">
        <f t="shared" si="53"/>
        <v xml:space="preserve"> </v>
      </c>
      <c r="Z222" s="153" t="str">
        <f t="shared" si="54"/>
        <v xml:space="preserve"> </v>
      </c>
      <c r="AA222" s="153" t="str">
        <f t="shared" si="55"/>
        <v xml:space="preserve"> </v>
      </c>
      <c r="AB222" s="153" t="str">
        <f t="shared" si="56"/>
        <v xml:space="preserve"> </v>
      </c>
      <c r="AC222" s="153" t="str">
        <f t="shared" si="57"/>
        <v xml:space="preserve"> </v>
      </c>
    </row>
    <row r="223" spans="1:29" x14ac:dyDescent="0.25">
      <c r="A223" s="58">
        <v>116</v>
      </c>
      <c r="B223" s="57" t="s">
        <v>1222</v>
      </c>
      <c r="C223" s="150" t="s">
        <v>55</v>
      </c>
      <c r="D223" s="57" t="s">
        <v>50</v>
      </c>
      <c r="E223" s="160">
        <f>IFERROR(VLOOKUP(A223,Estimate!A:Q,17,FALSE)," ")</f>
        <v>846.66666666666663</v>
      </c>
      <c r="F223" s="164">
        <v>4</v>
      </c>
      <c r="G223" s="164">
        <v>4</v>
      </c>
      <c r="H223" s="164">
        <v>268.32</v>
      </c>
      <c r="I223" s="164">
        <v>1073.28</v>
      </c>
      <c r="J223" s="164">
        <v>1073.28</v>
      </c>
      <c r="L223" s="195">
        <f t="shared" si="58"/>
        <v>0</v>
      </c>
      <c r="N223" s="195">
        <f t="shared" si="58"/>
        <v>0</v>
      </c>
      <c r="P223" s="195">
        <f t="shared" si="59"/>
        <v>0</v>
      </c>
      <c r="R223" s="195">
        <f t="shared" si="59"/>
        <v>0</v>
      </c>
      <c r="T223" s="195">
        <f t="shared" si="50"/>
        <v>0</v>
      </c>
      <c r="V223" s="195">
        <f t="shared" si="51"/>
        <v>0</v>
      </c>
      <c r="W223" s="153"/>
      <c r="X223" s="153">
        <f t="shared" si="52"/>
        <v>0</v>
      </c>
      <c r="Y223" s="153">
        <f t="shared" si="53"/>
        <v>0</v>
      </c>
      <c r="Z223" s="153">
        <f t="shared" si="54"/>
        <v>0</v>
      </c>
      <c r="AA223" s="153">
        <f t="shared" si="55"/>
        <v>0</v>
      </c>
      <c r="AB223" s="153">
        <f t="shared" si="56"/>
        <v>0</v>
      </c>
      <c r="AC223" s="153">
        <f t="shared" si="57"/>
        <v>0</v>
      </c>
    </row>
    <row r="224" spans="1:29" ht="30" x14ac:dyDescent="0.25">
      <c r="A224" s="58">
        <v>117</v>
      </c>
      <c r="B224" s="57" t="s">
        <v>1224</v>
      </c>
      <c r="C224" s="150" t="s">
        <v>275</v>
      </c>
      <c r="D224" s="57" t="s">
        <v>50</v>
      </c>
      <c r="E224" s="160">
        <f>IFERROR(VLOOKUP(A224,Estimate!A:Q,17,FALSE)," ")</f>
        <v>846.66666666666663</v>
      </c>
      <c r="F224" s="164">
        <v>4</v>
      </c>
      <c r="G224" s="164">
        <v>4</v>
      </c>
      <c r="H224" s="164">
        <v>268.32</v>
      </c>
      <c r="I224" s="164">
        <v>1073.28</v>
      </c>
      <c r="J224" s="164">
        <v>1073.28</v>
      </c>
      <c r="L224" s="195">
        <f t="shared" si="58"/>
        <v>0</v>
      </c>
      <c r="N224" s="195">
        <f t="shared" si="58"/>
        <v>0</v>
      </c>
      <c r="P224" s="195">
        <f t="shared" si="59"/>
        <v>0</v>
      </c>
      <c r="R224" s="195">
        <f t="shared" si="59"/>
        <v>0</v>
      </c>
      <c r="T224" s="195">
        <f t="shared" si="50"/>
        <v>0</v>
      </c>
      <c r="V224" s="195">
        <f t="shared" si="51"/>
        <v>0</v>
      </c>
      <c r="W224" s="153"/>
      <c r="X224" s="153">
        <f t="shared" si="52"/>
        <v>0</v>
      </c>
      <c r="Y224" s="153">
        <f t="shared" si="53"/>
        <v>0</v>
      </c>
      <c r="Z224" s="153">
        <f t="shared" si="54"/>
        <v>0</v>
      </c>
      <c r="AA224" s="153">
        <f t="shared" si="55"/>
        <v>0</v>
      </c>
      <c r="AB224" s="153">
        <f t="shared" si="56"/>
        <v>0</v>
      </c>
      <c r="AC224" s="153">
        <f t="shared" si="57"/>
        <v>0</v>
      </c>
    </row>
    <row r="225" spans="1:29" x14ac:dyDescent="0.25">
      <c r="A225" s="58">
        <v>118</v>
      </c>
      <c r="B225" s="57" t="s">
        <v>1225</v>
      </c>
      <c r="C225" s="150" t="s">
        <v>60</v>
      </c>
      <c r="D225" s="57" t="s">
        <v>50</v>
      </c>
      <c r="E225" s="160">
        <f>IFERROR(VLOOKUP(A225,Estimate!A:Q,17,FALSE)," ")</f>
        <v>423.33333333333331</v>
      </c>
      <c r="F225" s="164">
        <v>2</v>
      </c>
      <c r="G225" s="164">
        <v>2</v>
      </c>
      <c r="H225" s="164">
        <v>268.33999999999997</v>
      </c>
      <c r="I225" s="164">
        <v>536.67999999999995</v>
      </c>
      <c r="J225" s="164">
        <v>536.67999999999995</v>
      </c>
      <c r="L225" s="195">
        <f t="shared" si="58"/>
        <v>0</v>
      </c>
      <c r="N225" s="195">
        <f t="shared" si="58"/>
        <v>0</v>
      </c>
      <c r="P225" s="195">
        <f t="shared" si="59"/>
        <v>0</v>
      </c>
      <c r="R225" s="195">
        <f t="shared" si="59"/>
        <v>0</v>
      </c>
      <c r="T225" s="195">
        <f t="shared" si="50"/>
        <v>0</v>
      </c>
      <c r="V225" s="195">
        <f t="shared" si="51"/>
        <v>0</v>
      </c>
      <c r="W225" s="153"/>
      <c r="X225" s="153">
        <f t="shared" si="52"/>
        <v>0</v>
      </c>
      <c r="Y225" s="153">
        <f t="shared" si="53"/>
        <v>0</v>
      </c>
      <c r="Z225" s="153">
        <f t="shared" si="54"/>
        <v>0</v>
      </c>
      <c r="AA225" s="153">
        <f t="shared" si="55"/>
        <v>0</v>
      </c>
      <c r="AB225" s="153">
        <f t="shared" si="56"/>
        <v>0</v>
      </c>
      <c r="AC225" s="153">
        <f t="shared" si="57"/>
        <v>0</v>
      </c>
    </row>
    <row r="226" spans="1:29" ht="45" x14ac:dyDescent="0.25">
      <c r="A226" s="58">
        <v>119</v>
      </c>
      <c r="B226" s="57" t="s">
        <v>1226</v>
      </c>
      <c r="C226" s="150" t="s">
        <v>278</v>
      </c>
      <c r="D226" s="57" t="s">
        <v>50</v>
      </c>
      <c r="E226" s="160">
        <f>IFERROR(VLOOKUP(A226,Estimate!A:Q,17,FALSE)," ")</f>
        <v>1290</v>
      </c>
      <c r="F226" s="164">
        <v>1</v>
      </c>
      <c r="G226" s="164">
        <v>1</v>
      </c>
      <c r="H226" s="164">
        <v>1635.31</v>
      </c>
      <c r="I226" s="164">
        <v>1635.31</v>
      </c>
      <c r="J226" s="164">
        <v>1635.31</v>
      </c>
      <c r="L226" s="195">
        <f t="shared" si="58"/>
        <v>0</v>
      </c>
      <c r="N226" s="195">
        <f t="shared" si="58"/>
        <v>0</v>
      </c>
      <c r="P226" s="195">
        <f t="shared" si="59"/>
        <v>0</v>
      </c>
      <c r="R226" s="195">
        <f t="shared" si="59"/>
        <v>0</v>
      </c>
      <c r="T226" s="195">
        <f t="shared" si="50"/>
        <v>0</v>
      </c>
      <c r="V226" s="195">
        <f t="shared" si="51"/>
        <v>0</v>
      </c>
      <c r="W226" s="153"/>
      <c r="X226" s="153">
        <f t="shared" si="52"/>
        <v>0</v>
      </c>
      <c r="Y226" s="153">
        <f t="shared" si="53"/>
        <v>0</v>
      </c>
      <c r="Z226" s="153">
        <f t="shared" si="54"/>
        <v>0</v>
      </c>
      <c r="AA226" s="153">
        <f t="shared" si="55"/>
        <v>0</v>
      </c>
      <c r="AB226" s="153">
        <f t="shared" si="56"/>
        <v>0</v>
      </c>
      <c r="AC226" s="153">
        <f t="shared" si="57"/>
        <v>0</v>
      </c>
    </row>
    <row r="227" spans="1:29" ht="30" x14ac:dyDescent="0.25">
      <c r="A227" s="58">
        <v>120</v>
      </c>
      <c r="B227" s="57" t="s">
        <v>1227</v>
      </c>
      <c r="C227" s="150" t="s">
        <v>280</v>
      </c>
      <c r="D227" s="57" t="s">
        <v>50</v>
      </c>
      <c r="E227" s="160">
        <f>IFERROR(VLOOKUP(A227,Estimate!A:Q,17,FALSE)," ")</f>
        <v>1290</v>
      </c>
      <c r="F227" s="164">
        <v>1</v>
      </c>
      <c r="G227" s="164">
        <v>1</v>
      </c>
      <c r="H227" s="164">
        <v>1635.31</v>
      </c>
      <c r="I227" s="164">
        <v>1635.31</v>
      </c>
      <c r="J227" s="164">
        <v>1635.31</v>
      </c>
      <c r="L227" s="195">
        <f t="shared" si="58"/>
        <v>0</v>
      </c>
      <c r="N227" s="195">
        <f t="shared" si="58"/>
        <v>0</v>
      </c>
      <c r="P227" s="195">
        <f t="shared" si="59"/>
        <v>0</v>
      </c>
      <c r="R227" s="195">
        <f t="shared" si="59"/>
        <v>0</v>
      </c>
      <c r="T227" s="195">
        <f t="shared" si="50"/>
        <v>0</v>
      </c>
      <c r="V227" s="195">
        <f t="shared" si="51"/>
        <v>0</v>
      </c>
      <c r="W227" s="153"/>
      <c r="X227" s="153">
        <f t="shared" si="52"/>
        <v>0</v>
      </c>
      <c r="Y227" s="153">
        <f t="shared" si="53"/>
        <v>0</v>
      </c>
      <c r="Z227" s="153">
        <f t="shared" si="54"/>
        <v>0</v>
      </c>
      <c r="AA227" s="153">
        <f t="shared" si="55"/>
        <v>0</v>
      </c>
      <c r="AB227" s="153">
        <f t="shared" si="56"/>
        <v>0</v>
      </c>
      <c r="AC227" s="153">
        <f t="shared" si="57"/>
        <v>0</v>
      </c>
    </row>
    <row r="228" spans="1:29" x14ac:dyDescent="0.25">
      <c r="B228" s="57" t="s">
        <v>704</v>
      </c>
      <c r="C228" s="150" t="s">
        <v>682</v>
      </c>
      <c r="D228" s="57" t="s">
        <v>748</v>
      </c>
      <c r="E228" s="160" t="str">
        <f>IFERROR(VLOOKUP(A228,Estimate!A:Q,17,FALSE)," ")</f>
        <v xml:space="preserve"> </v>
      </c>
      <c r="F228" s="164" t="s">
        <v>682</v>
      </c>
      <c r="G228" s="164" t="s">
        <v>682</v>
      </c>
      <c r="H228" s="164" t="s">
        <v>682</v>
      </c>
      <c r="I228" s="164" t="s">
        <v>682</v>
      </c>
      <c r="J228" s="164" t="s">
        <v>682</v>
      </c>
      <c r="K228" s="160" t="s">
        <v>682</v>
      </c>
      <c r="L228" s="195" t="str">
        <f t="shared" si="58"/>
        <v xml:space="preserve"> </v>
      </c>
      <c r="M228" s="160" t="s">
        <v>682</v>
      </c>
      <c r="N228" s="195" t="str">
        <f t="shared" si="58"/>
        <v xml:space="preserve"> </v>
      </c>
      <c r="O228" s="160" t="s">
        <v>682</v>
      </c>
      <c r="P228" s="195" t="str">
        <f t="shared" si="59"/>
        <v xml:space="preserve"> </v>
      </c>
      <c r="Q228" s="160" t="s">
        <v>682</v>
      </c>
      <c r="R228" s="195" t="str">
        <f t="shared" si="59"/>
        <v xml:space="preserve"> </v>
      </c>
      <c r="S228" s="160" t="s">
        <v>682</v>
      </c>
      <c r="T228" s="195" t="str">
        <f t="shared" si="50"/>
        <v xml:space="preserve"> </v>
      </c>
      <c r="U228" s="160" t="s">
        <v>682</v>
      </c>
      <c r="V228" s="195" t="str">
        <f t="shared" si="51"/>
        <v xml:space="preserve"> </v>
      </c>
      <c r="W228" s="153"/>
      <c r="X228" s="153" t="str">
        <f t="shared" si="52"/>
        <v xml:space="preserve"> </v>
      </c>
      <c r="Y228" s="153" t="str">
        <f t="shared" si="53"/>
        <v xml:space="preserve"> </v>
      </c>
      <c r="Z228" s="153" t="str">
        <f t="shared" si="54"/>
        <v xml:space="preserve"> </v>
      </c>
      <c r="AA228" s="153" t="str">
        <f t="shared" si="55"/>
        <v xml:space="preserve"> </v>
      </c>
      <c r="AB228" s="153" t="str">
        <f t="shared" si="56"/>
        <v xml:space="preserve"> </v>
      </c>
      <c r="AC228" s="153" t="str">
        <f t="shared" si="57"/>
        <v xml:space="preserve"> </v>
      </c>
    </row>
    <row r="229" spans="1:29" ht="45" x14ac:dyDescent="0.25">
      <c r="A229" s="58">
        <v>121</v>
      </c>
      <c r="B229" s="57">
        <v>2</v>
      </c>
      <c r="C229" s="150" t="s">
        <v>282</v>
      </c>
      <c r="D229" s="57" t="s">
        <v>18</v>
      </c>
      <c r="E229" s="160">
        <f>IFERROR(VLOOKUP(A229,Estimate!A:Q,17,FALSE)," ")</f>
        <v>5321.3963963963961</v>
      </c>
      <c r="F229" s="164">
        <v>1</v>
      </c>
      <c r="G229" s="164">
        <v>1</v>
      </c>
      <c r="H229" s="164">
        <v>6740.02</v>
      </c>
      <c r="I229" s="164">
        <v>6740.02</v>
      </c>
      <c r="J229" s="164">
        <v>6740.02</v>
      </c>
      <c r="L229" s="195">
        <f t="shared" si="58"/>
        <v>0</v>
      </c>
      <c r="N229" s="195">
        <f t="shared" si="58"/>
        <v>0</v>
      </c>
      <c r="P229" s="195">
        <f t="shared" si="59"/>
        <v>0</v>
      </c>
      <c r="R229" s="195">
        <f t="shared" si="59"/>
        <v>0</v>
      </c>
      <c r="T229" s="195">
        <f t="shared" si="50"/>
        <v>0</v>
      </c>
      <c r="V229" s="195">
        <f t="shared" si="51"/>
        <v>0</v>
      </c>
      <c r="W229" s="153"/>
      <c r="X229" s="153">
        <f t="shared" si="52"/>
        <v>0</v>
      </c>
      <c r="Y229" s="153">
        <f t="shared" si="53"/>
        <v>0</v>
      </c>
      <c r="Z229" s="153">
        <f t="shared" si="54"/>
        <v>0</v>
      </c>
      <c r="AA229" s="153">
        <f t="shared" si="55"/>
        <v>0</v>
      </c>
      <c r="AB229" s="153">
        <f t="shared" si="56"/>
        <v>0</v>
      </c>
      <c r="AC229" s="153">
        <f t="shared" si="57"/>
        <v>0</v>
      </c>
    </row>
    <row r="230" spans="1:29" x14ac:dyDescent="0.25">
      <c r="B230" s="57" t="s">
        <v>704</v>
      </c>
      <c r="C230" s="150" t="s">
        <v>682</v>
      </c>
      <c r="D230" s="57" t="s">
        <v>748</v>
      </c>
      <c r="E230" s="160" t="str">
        <f>IFERROR(VLOOKUP(A230,Estimate!A:Q,17,FALSE)," ")</f>
        <v xml:space="preserve"> </v>
      </c>
      <c r="F230" s="164" t="s">
        <v>682</v>
      </c>
      <c r="G230" s="164" t="s">
        <v>682</v>
      </c>
      <c r="H230" s="164" t="s">
        <v>682</v>
      </c>
      <c r="I230" s="164" t="s">
        <v>682</v>
      </c>
      <c r="J230" s="164" t="s">
        <v>682</v>
      </c>
      <c r="K230" s="160" t="s">
        <v>682</v>
      </c>
      <c r="L230" s="195" t="str">
        <f t="shared" si="58"/>
        <v xml:space="preserve"> </v>
      </c>
      <c r="M230" s="160" t="s">
        <v>682</v>
      </c>
      <c r="N230" s="195" t="str">
        <f t="shared" si="58"/>
        <v xml:space="preserve"> </v>
      </c>
      <c r="O230" s="160" t="s">
        <v>682</v>
      </c>
      <c r="P230" s="195" t="str">
        <f t="shared" si="59"/>
        <v xml:space="preserve"> </v>
      </c>
      <c r="Q230" s="160" t="s">
        <v>682</v>
      </c>
      <c r="R230" s="195" t="str">
        <f t="shared" si="59"/>
        <v xml:space="preserve"> </v>
      </c>
      <c r="S230" s="160" t="s">
        <v>682</v>
      </c>
      <c r="T230" s="195" t="str">
        <f t="shared" si="50"/>
        <v xml:space="preserve"> </v>
      </c>
      <c r="U230" s="160" t="s">
        <v>682</v>
      </c>
      <c r="V230" s="195" t="str">
        <f t="shared" si="51"/>
        <v xml:space="preserve"> </v>
      </c>
      <c r="W230" s="153"/>
      <c r="X230" s="153" t="str">
        <f t="shared" si="52"/>
        <v xml:space="preserve"> </v>
      </c>
      <c r="Y230" s="153" t="str">
        <f t="shared" si="53"/>
        <v xml:space="preserve"> </v>
      </c>
      <c r="Z230" s="153" t="str">
        <f t="shared" si="54"/>
        <v xml:space="preserve"> </v>
      </c>
      <c r="AA230" s="153" t="str">
        <f t="shared" si="55"/>
        <v xml:space="preserve"> </v>
      </c>
      <c r="AB230" s="153" t="str">
        <f t="shared" si="56"/>
        <v xml:space="preserve"> </v>
      </c>
      <c r="AC230" s="153" t="str">
        <f t="shared" si="57"/>
        <v xml:space="preserve"> </v>
      </c>
    </row>
    <row r="231" spans="1:29" ht="30" x14ac:dyDescent="0.25">
      <c r="B231" s="57">
        <v>3</v>
      </c>
      <c r="C231" s="150" t="s">
        <v>378</v>
      </c>
      <c r="D231" s="57" t="s">
        <v>748</v>
      </c>
      <c r="E231" s="160" t="str">
        <f>IFERROR(VLOOKUP(A231,Estimate!A:Q,17,FALSE)," ")</f>
        <v xml:space="preserve"> </v>
      </c>
      <c r="F231" s="164" t="s">
        <v>682</v>
      </c>
      <c r="G231" s="164" t="s">
        <v>682</v>
      </c>
      <c r="H231" s="164" t="s">
        <v>682</v>
      </c>
      <c r="I231" s="164" t="s">
        <v>682</v>
      </c>
      <c r="J231" s="164" t="s">
        <v>682</v>
      </c>
      <c r="K231" s="160" t="s">
        <v>682</v>
      </c>
      <c r="L231" s="195" t="str">
        <f t="shared" ref="L231:N246" si="60">IFERROR(K231/$G231," ")</f>
        <v xml:space="preserve"> </v>
      </c>
      <c r="M231" s="160" t="s">
        <v>682</v>
      </c>
      <c r="N231" s="195" t="str">
        <f t="shared" si="60"/>
        <v xml:space="preserve"> </v>
      </c>
      <c r="O231" s="160" t="s">
        <v>682</v>
      </c>
      <c r="P231" s="195" t="str">
        <f t="shared" ref="P231:R246" si="61">IFERROR(O231/$G231," ")</f>
        <v xml:space="preserve"> </v>
      </c>
      <c r="Q231" s="160" t="s">
        <v>682</v>
      </c>
      <c r="R231" s="195" t="str">
        <f t="shared" si="61"/>
        <v xml:space="preserve"> </v>
      </c>
      <c r="S231" s="160" t="s">
        <v>682</v>
      </c>
      <c r="T231" s="195" t="str">
        <f t="shared" si="50"/>
        <v xml:space="preserve"> </v>
      </c>
      <c r="U231" s="160" t="s">
        <v>682</v>
      </c>
      <c r="V231" s="195" t="str">
        <f t="shared" si="51"/>
        <v xml:space="preserve"> </v>
      </c>
      <c r="W231" s="153"/>
      <c r="X231" s="153" t="str">
        <f t="shared" si="52"/>
        <v xml:space="preserve"> </v>
      </c>
      <c r="Y231" s="153" t="str">
        <f t="shared" si="53"/>
        <v xml:space="preserve"> </v>
      </c>
      <c r="Z231" s="153" t="str">
        <f t="shared" si="54"/>
        <v xml:space="preserve"> </v>
      </c>
      <c r="AA231" s="153" t="str">
        <f t="shared" si="55"/>
        <v xml:space="preserve"> </v>
      </c>
      <c r="AB231" s="153" t="str">
        <f t="shared" si="56"/>
        <v xml:space="preserve"> </v>
      </c>
      <c r="AC231" s="153" t="str">
        <f t="shared" si="57"/>
        <v xml:space="preserve"> </v>
      </c>
    </row>
    <row r="232" spans="1:29" ht="45" x14ac:dyDescent="0.25">
      <c r="A232" s="58">
        <v>122</v>
      </c>
      <c r="B232" s="57" t="s">
        <v>1214</v>
      </c>
      <c r="C232" s="150" t="s">
        <v>604</v>
      </c>
      <c r="D232" s="57" t="s">
        <v>74</v>
      </c>
      <c r="E232" s="160">
        <f>IFERROR(VLOOKUP(A232,Estimate!A:Q,17,FALSE)," ")</f>
        <v>4967.1000000000004</v>
      </c>
      <c r="F232" s="164">
        <v>396</v>
      </c>
      <c r="G232" s="164">
        <v>396</v>
      </c>
      <c r="H232" s="164">
        <v>15.9</v>
      </c>
      <c r="I232" s="164">
        <v>6296.4</v>
      </c>
      <c r="J232" s="164">
        <v>6296.4</v>
      </c>
      <c r="L232" s="195">
        <f t="shared" si="60"/>
        <v>0</v>
      </c>
      <c r="N232" s="195">
        <f t="shared" si="60"/>
        <v>0</v>
      </c>
      <c r="P232" s="195">
        <f t="shared" si="61"/>
        <v>0</v>
      </c>
      <c r="R232" s="195">
        <f t="shared" si="61"/>
        <v>0</v>
      </c>
      <c r="T232" s="195">
        <f t="shared" si="50"/>
        <v>0</v>
      </c>
      <c r="V232" s="195">
        <f t="shared" si="51"/>
        <v>0</v>
      </c>
      <c r="W232" s="153"/>
      <c r="X232" s="153">
        <f t="shared" si="52"/>
        <v>0</v>
      </c>
      <c r="Y232" s="153">
        <f t="shared" si="53"/>
        <v>0</v>
      </c>
      <c r="Z232" s="153">
        <f t="shared" si="54"/>
        <v>0</v>
      </c>
      <c r="AA232" s="153">
        <f t="shared" si="55"/>
        <v>0</v>
      </c>
      <c r="AB232" s="153">
        <f t="shared" si="56"/>
        <v>0</v>
      </c>
      <c r="AC232" s="153">
        <f t="shared" si="57"/>
        <v>0</v>
      </c>
    </row>
    <row r="233" spans="1:29" ht="30" x14ac:dyDescent="0.25">
      <c r="A233" s="58">
        <v>123</v>
      </c>
      <c r="B233" s="57" t="s">
        <v>1216</v>
      </c>
      <c r="C233" s="150" t="s">
        <v>80</v>
      </c>
      <c r="D233" s="57" t="s">
        <v>74</v>
      </c>
      <c r="E233" s="160">
        <f>IFERROR(VLOOKUP(A233,Estimate!A:Q,17,FALSE)," ")</f>
        <v>3143.5</v>
      </c>
      <c r="F233" s="164">
        <v>50</v>
      </c>
      <c r="G233" s="164">
        <v>50</v>
      </c>
      <c r="H233" s="164">
        <v>62.87</v>
      </c>
      <c r="I233" s="164">
        <v>3143.5</v>
      </c>
      <c r="J233" s="164">
        <v>3143.5</v>
      </c>
      <c r="L233" s="195">
        <f t="shared" si="60"/>
        <v>0</v>
      </c>
      <c r="N233" s="195">
        <f t="shared" si="60"/>
        <v>0</v>
      </c>
      <c r="P233" s="195">
        <f t="shared" si="61"/>
        <v>0</v>
      </c>
      <c r="R233" s="195">
        <f t="shared" si="61"/>
        <v>0</v>
      </c>
      <c r="T233" s="195">
        <f t="shared" si="50"/>
        <v>0</v>
      </c>
      <c r="V233" s="195">
        <f t="shared" si="51"/>
        <v>0</v>
      </c>
      <c r="W233" s="153"/>
      <c r="X233" s="153">
        <f t="shared" si="52"/>
        <v>0</v>
      </c>
      <c r="Y233" s="153">
        <f t="shared" si="53"/>
        <v>0</v>
      </c>
      <c r="Z233" s="153">
        <f t="shared" si="54"/>
        <v>0</v>
      </c>
      <c r="AA233" s="153">
        <f t="shared" si="55"/>
        <v>0</v>
      </c>
      <c r="AB233" s="153">
        <f t="shared" si="56"/>
        <v>0</v>
      </c>
      <c r="AC233" s="153">
        <f t="shared" si="57"/>
        <v>0</v>
      </c>
    </row>
    <row r="234" spans="1:29" x14ac:dyDescent="0.25">
      <c r="B234" s="57" t="s">
        <v>704</v>
      </c>
      <c r="C234" s="150" t="s">
        <v>682</v>
      </c>
      <c r="D234" s="57" t="s">
        <v>748</v>
      </c>
      <c r="E234" s="160" t="str">
        <f>IFERROR(VLOOKUP(A234,Estimate!A:Q,17,FALSE)," ")</f>
        <v xml:space="preserve"> </v>
      </c>
      <c r="F234" s="164" t="s">
        <v>682</v>
      </c>
      <c r="G234" s="164" t="s">
        <v>682</v>
      </c>
      <c r="H234" s="164" t="s">
        <v>682</v>
      </c>
      <c r="I234" s="164" t="s">
        <v>682</v>
      </c>
      <c r="J234" s="164" t="s">
        <v>682</v>
      </c>
      <c r="K234" s="160" t="s">
        <v>682</v>
      </c>
      <c r="L234" s="195" t="str">
        <f t="shared" si="60"/>
        <v xml:space="preserve"> </v>
      </c>
      <c r="M234" s="160" t="s">
        <v>682</v>
      </c>
      <c r="N234" s="195" t="str">
        <f t="shared" si="60"/>
        <v xml:space="preserve"> </v>
      </c>
      <c r="O234" s="160" t="s">
        <v>682</v>
      </c>
      <c r="P234" s="195" t="str">
        <f t="shared" si="61"/>
        <v xml:space="preserve"> </v>
      </c>
      <c r="Q234" s="160" t="s">
        <v>682</v>
      </c>
      <c r="R234" s="195" t="str">
        <f t="shared" si="61"/>
        <v xml:space="preserve"> </v>
      </c>
      <c r="S234" s="160" t="s">
        <v>682</v>
      </c>
      <c r="T234" s="195" t="str">
        <f t="shared" si="50"/>
        <v xml:space="preserve"> </v>
      </c>
      <c r="U234" s="160" t="s">
        <v>682</v>
      </c>
      <c r="V234" s="195" t="str">
        <f t="shared" si="51"/>
        <v xml:space="preserve"> </v>
      </c>
      <c r="W234" s="153"/>
      <c r="X234" s="153" t="str">
        <f t="shared" si="52"/>
        <v xml:space="preserve"> </v>
      </c>
      <c r="Y234" s="153" t="str">
        <f t="shared" si="53"/>
        <v xml:space="preserve"> </v>
      </c>
      <c r="Z234" s="153" t="str">
        <f t="shared" si="54"/>
        <v xml:space="preserve"> </v>
      </c>
      <c r="AA234" s="153" t="str">
        <f t="shared" si="55"/>
        <v xml:space="preserve"> </v>
      </c>
      <c r="AB234" s="153" t="str">
        <f t="shared" si="56"/>
        <v xml:space="preserve"> </v>
      </c>
      <c r="AC234" s="153" t="str">
        <f t="shared" si="57"/>
        <v xml:space="preserve"> </v>
      </c>
    </row>
    <row r="235" spans="1:29" ht="60" x14ac:dyDescent="0.25">
      <c r="B235" s="57">
        <v>4</v>
      </c>
      <c r="C235" s="150" t="s">
        <v>383</v>
      </c>
      <c r="D235" s="57" t="s">
        <v>748</v>
      </c>
      <c r="E235" s="160" t="str">
        <f>IFERROR(VLOOKUP(A235,Estimate!A:Q,17,FALSE)," ")</f>
        <v xml:space="preserve"> </v>
      </c>
      <c r="F235" s="164" t="s">
        <v>682</v>
      </c>
      <c r="G235" s="164" t="s">
        <v>682</v>
      </c>
      <c r="H235" s="164" t="s">
        <v>682</v>
      </c>
      <c r="I235" s="164" t="s">
        <v>682</v>
      </c>
      <c r="J235" s="164" t="s">
        <v>682</v>
      </c>
      <c r="K235" s="160" t="s">
        <v>682</v>
      </c>
      <c r="L235" s="195" t="str">
        <f t="shared" si="60"/>
        <v xml:space="preserve"> </v>
      </c>
      <c r="M235" s="160" t="s">
        <v>682</v>
      </c>
      <c r="N235" s="195" t="str">
        <f t="shared" si="60"/>
        <v xml:space="preserve"> </v>
      </c>
      <c r="O235" s="160" t="s">
        <v>682</v>
      </c>
      <c r="P235" s="195" t="str">
        <f t="shared" si="61"/>
        <v xml:space="preserve"> </v>
      </c>
      <c r="Q235" s="160" t="s">
        <v>682</v>
      </c>
      <c r="R235" s="195" t="str">
        <f t="shared" si="61"/>
        <v xml:space="preserve"> </v>
      </c>
      <c r="S235" s="160" t="s">
        <v>682</v>
      </c>
      <c r="T235" s="195" t="str">
        <f t="shared" si="50"/>
        <v xml:space="preserve"> </v>
      </c>
      <c r="U235" s="160" t="s">
        <v>682</v>
      </c>
      <c r="V235" s="195" t="str">
        <f t="shared" si="51"/>
        <v xml:space="preserve"> </v>
      </c>
      <c r="W235" s="153"/>
      <c r="X235" s="153" t="str">
        <f t="shared" si="52"/>
        <v xml:space="preserve"> </v>
      </c>
      <c r="Y235" s="153" t="str">
        <f t="shared" si="53"/>
        <v xml:space="preserve"> </v>
      </c>
      <c r="Z235" s="153" t="str">
        <f t="shared" si="54"/>
        <v xml:space="preserve"> </v>
      </c>
      <c r="AA235" s="153" t="str">
        <f t="shared" si="55"/>
        <v xml:space="preserve"> </v>
      </c>
      <c r="AB235" s="153" t="str">
        <f t="shared" si="56"/>
        <v xml:space="preserve"> </v>
      </c>
      <c r="AC235" s="153" t="str">
        <f t="shared" si="57"/>
        <v xml:space="preserve"> </v>
      </c>
    </row>
    <row r="236" spans="1:29" x14ac:dyDescent="0.25">
      <c r="A236" s="58">
        <v>124</v>
      </c>
      <c r="B236" s="57" t="s">
        <v>1214</v>
      </c>
      <c r="C236" s="150" t="s">
        <v>385</v>
      </c>
      <c r="D236" s="57" t="s">
        <v>88</v>
      </c>
      <c r="E236" s="160">
        <f>IFERROR(VLOOKUP(A236,Estimate!A:Q,17,FALSE)," ")</f>
        <v>1270.2456666666665</v>
      </c>
      <c r="F236" s="164">
        <v>434</v>
      </c>
      <c r="G236" s="164">
        <v>434</v>
      </c>
      <c r="H236" s="164">
        <v>3.71</v>
      </c>
      <c r="I236" s="164">
        <v>1610.14</v>
      </c>
      <c r="J236" s="164">
        <v>1610.14</v>
      </c>
      <c r="L236" s="195">
        <f t="shared" si="60"/>
        <v>0</v>
      </c>
      <c r="N236" s="195">
        <f t="shared" si="60"/>
        <v>0</v>
      </c>
      <c r="P236" s="195">
        <f t="shared" si="61"/>
        <v>0</v>
      </c>
      <c r="R236" s="195">
        <f t="shared" si="61"/>
        <v>0</v>
      </c>
      <c r="T236" s="195">
        <f t="shared" si="50"/>
        <v>0</v>
      </c>
      <c r="V236" s="195">
        <f t="shared" si="51"/>
        <v>0</v>
      </c>
      <c r="W236" s="153"/>
      <c r="X236" s="153">
        <f t="shared" si="52"/>
        <v>0</v>
      </c>
      <c r="Y236" s="153">
        <f t="shared" si="53"/>
        <v>0</v>
      </c>
      <c r="Z236" s="153">
        <f t="shared" si="54"/>
        <v>0</v>
      </c>
      <c r="AA236" s="153">
        <f t="shared" si="55"/>
        <v>0</v>
      </c>
      <c r="AB236" s="153">
        <f t="shared" si="56"/>
        <v>0</v>
      </c>
      <c r="AC236" s="153">
        <f t="shared" si="57"/>
        <v>0</v>
      </c>
    </row>
    <row r="237" spans="1:29" x14ac:dyDescent="0.25">
      <c r="A237" s="58">
        <v>125</v>
      </c>
      <c r="B237" s="57" t="s">
        <v>1216</v>
      </c>
      <c r="C237" s="150" t="s">
        <v>387</v>
      </c>
      <c r="D237" s="57" t="s">
        <v>88</v>
      </c>
      <c r="E237" s="160">
        <f>IFERROR(VLOOKUP(A237,Estimate!A:Q,17,FALSE)," ")</f>
        <v>2429.2716666666665</v>
      </c>
      <c r="F237" s="164">
        <v>830</v>
      </c>
      <c r="G237" s="164">
        <v>830</v>
      </c>
      <c r="H237" s="164">
        <v>3.71</v>
      </c>
      <c r="I237" s="164">
        <v>3079.3</v>
      </c>
      <c r="J237" s="164">
        <v>3079.3</v>
      </c>
      <c r="L237" s="195">
        <f t="shared" si="60"/>
        <v>0</v>
      </c>
      <c r="N237" s="195">
        <f t="shared" si="60"/>
        <v>0</v>
      </c>
      <c r="P237" s="195">
        <f t="shared" si="61"/>
        <v>0</v>
      </c>
      <c r="R237" s="195">
        <f t="shared" si="61"/>
        <v>0</v>
      </c>
      <c r="T237" s="195">
        <f t="shared" si="50"/>
        <v>0</v>
      </c>
      <c r="V237" s="195">
        <f t="shared" si="51"/>
        <v>0</v>
      </c>
      <c r="W237" s="153"/>
      <c r="X237" s="153">
        <f t="shared" si="52"/>
        <v>0</v>
      </c>
      <c r="Y237" s="153">
        <f t="shared" si="53"/>
        <v>0</v>
      </c>
      <c r="Z237" s="153">
        <f t="shared" si="54"/>
        <v>0</v>
      </c>
      <c r="AA237" s="153">
        <f t="shared" si="55"/>
        <v>0</v>
      </c>
      <c r="AB237" s="153">
        <f t="shared" si="56"/>
        <v>0</v>
      </c>
      <c r="AC237" s="153">
        <f t="shared" si="57"/>
        <v>0</v>
      </c>
    </row>
    <row r="238" spans="1:29" x14ac:dyDescent="0.25">
      <c r="B238" s="57" t="s">
        <v>704</v>
      </c>
      <c r="C238" s="150" t="s">
        <v>682</v>
      </c>
      <c r="D238" s="57" t="s">
        <v>748</v>
      </c>
      <c r="E238" s="160" t="str">
        <f>IFERROR(VLOOKUP(A238,Estimate!A:Q,17,FALSE)," ")</f>
        <v xml:space="preserve"> </v>
      </c>
      <c r="F238" s="164" t="s">
        <v>682</v>
      </c>
      <c r="G238" s="164" t="s">
        <v>682</v>
      </c>
      <c r="H238" s="164" t="s">
        <v>682</v>
      </c>
      <c r="I238" s="164" t="s">
        <v>682</v>
      </c>
      <c r="J238" s="164" t="s">
        <v>682</v>
      </c>
      <c r="K238" s="160" t="s">
        <v>682</v>
      </c>
      <c r="L238" s="195" t="str">
        <f t="shared" si="60"/>
        <v xml:space="preserve"> </v>
      </c>
      <c r="M238" s="160" t="s">
        <v>682</v>
      </c>
      <c r="N238" s="195" t="str">
        <f t="shared" si="60"/>
        <v xml:space="preserve"> </v>
      </c>
      <c r="O238" s="160" t="s">
        <v>682</v>
      </c>
      <c r="P238" s="195" t="str">
        <f t="shared" si="61"/>
        <v xml:space="preserve"> </v>
      </c>
      <c r="Q238" s="160" t="s">
        <v>682</v>
      </c>
      <c r="R238" s="195" t="str">
        <f t="shared" si="61"/>
        <v xml:space="preserve"> </v>
      </c>
      <c r="S238" s="160" t="s">
        <v>682</v>
      </c>
      <c r="T238" s="195" t="str">
        <f t="shared" si="50"/>
        <v xml:space="preserve"> </v>
      </c>
      <c r="U238" s="160" t="s">
        <v>682</v>
      </c>
      <c r="V238" s="195" t="str">
        <f t="shared" si="51"/>
        <v xml:space="preserve"> </v>
      </c>
      <c r="W238" s="153"/>
      <c r="X238" s="153" t="str">
        <f t="shared" si="52"/>
        <v xml:space="preserve"> </v>
      </c>
      <c r="Y238" s="153" t="str">
        <f t="shared" si="53"/>
        <v xml:space="preserve"> </v>
      </c>
      <c r="Z238" s="153" t="str">
        <f t="shared" si="54"/>
        <v xml:space="preserve"> </v>
      </c>
      <c r="AA238" s="153" t="str">
        <f t="shared" si="55"/>
        <v xml:space="preserve"> </v>
      </c>
      <c r="AB238" s="153" t="str">
        <f t="shared" si="56"/>
        <v xml:space="preserve"> </v>
      </c>
      <c r="AC238" s="153" t="str">
        <f t="shared" si="57"/>
        <v xml:space="preserve"> </v>
      </c>
    </row>
    <row r="239" spans="1:29" ht="45" x14ac:dyDescent="0.25">
      <c r="B239" s="57">
        <v>5</v>
      </c>
      <c r="C239" s="150" t="s">
        <v>91</v>
      </c>
      <c r="D239" s="57" t="s">
        <v>748</v>
      </c>
      <c r="E239" s="160" t="str">
        <f>IFERROR(VLOOKUP(A239,Estimate!A:Q,17,FALSE)," ")</f>
        <v xml:space="preserve"> </v>
      </c>
      <c r="F239" s="164" t="s">
        <v>682</v>
      </c>
      <c r="G239" s="164" t="s">
        <v>682</v>
      </c>
      <c r="H239" s="164" t="s">
        <v>682</v>
      </c>
      <c r="I239" s="164" t="s">
        <v>682</v>
      </c>
      <c r="J239" s="164" t="s">
        <v>682</v>
      </c>
      <c r="K239" s="160" t="s">
        <v>682</v>
      </c>
      <c r="L239" s="195" t="str">
        <f t="shared" si="60"/>
        <v xml:space="preserve"> </v>
      </c>
      <c r="M239" s="160" t="s">
        <v>682</v>
      </c>
      <c r="N239" s="195" t="str">
        <f t="shared" si="60"/>
        <v xml:space="preserve"> </v>
      </c>
      <c r="O239" s="160" t="s">
        <v>682</v>
      </c>
      <c r="P239" s="195" t="str">
        <f t="shared" si="61"/>
        <v xml:space="preserve"> </v>
      </c>
      <c r="Q239" s="160" t="s">
        <v>682</v>
      </c>
      <c r="R239" s="195" t="str">
        <f t="shared" si="61"/>
        <v xml:space="preserve"> </v>
      </c>
      <c r="S239" s="160" t="s">
        <v>682</v>
      </c>
      <c r="T239" s="195" t="str">
        <f t="shared" si="50"/>
        <v xml:space="preserve"> </v>
      </c>
      <c r="U239" s="160" t="s">
        <v>682</v>
      </c>
      <c r="V239" s="195" t="str">
        <f t="shared" si="51"/>
        <v xml:space="preserve"> </v>
      </c>
      <c r="W239" s="153"/>
      <c r="X239" s="153" t="str">
        <f t="shared" si="52"/>
        <v xml:space="preserve"> </v>
      </c>
      <c r="Y239" s="153" t="str">
        <f t="shared" si="53"/>
        <v xml:space="preserve"> </v>
      </c>
      <c r="Z239" s="153" t="str">
        <f t="shared" si="54"/>
        <v xml:space="preserve"> </v>
      </c>
      <c r="AA239" s="153" t="str">
        <f t="shared" si="55"/>
        <v xml:space="preserve"> </v>
      </c>
      <c r="AB239" s="153" t="str">
        <f t="shared" si="56"/>
        <v xml:space="preserve"> </v>
      </c>
      <c r="AC239" s="153" t="str">
        <f t="shared" si="57"/>
        <v xml:space="preserve"> </v>
      </c>
    </row>
    <row r="240" spans="1:29" x14ac:dyDescent="0.25">
      <c r="A240" s="58">
        <v>126</v>
      </c>
      <c r="B240" s="57" t="s">
        <v>1214</v>
      </c>
      <c r="C240" s="150" t="s">
        <v>385</v>
      </c>
      <c r="D240" s="57" t="s">
        <v>88</v>
      </c>
      <c r="E240" s="160">
        <f>IFERROR(VLOOKUP(A240,Estimate!A:Q,17,FALSE)," ")</f>
        <v>599.30824242424251</v>
      </c>
      <c r="F240" s="164">
        <v>283</v>
      </c>
      <c r="G240" s="164">
        <v>283</v>
      </c>
      <c r="H240" s="164">
        <v>2.68</v>
      </c>
      <c r="I240" s="164">
        <v>758.44</v>
      </c>
      <c r="J240" s="164">
        <v>758.44</v>
      </c>
      <c r="L240" s="195">
        <f t="shared" si="60"/>
        <v>0</v>
      </c>
      <c r="N240" s="195">
        <f t="shared" si="60"/>
        <v>0</v>
      </c>
      <c r="P240" s="195">
        <f t="shared" si="61"/>
        <v>0</v>
      </c>
      <c r="R240" s="195">
        <f t="shared" si="61"/>
        <v>0</v>
      </c>
      <c r="T240" s="195">
        <f t="shared" si="50"/>
        <v>0</v>
      </c>
      <c r="V240" s="195">
        <f t="shared" si="51"/>
        <v>0</v>
      </c>
      <c r="W240" s="153"/>
      <c r="X240" s="153">
        <f t="shared" si="52"/>
        <v>0</v>
      </c>
      <c r="Y240" s="153">
        <f t="shared" si="53"/>
        <v>0</v>
      </c>
      <c r="Z240" s="153">
        <f t="shared" si="54"/>
        <v>0</v>
      </c>
      <c r="AA240" s="153">
        <f t="shared" si="55"/>
        <v>0</v>
      </c>
      <c r="AB240" s="153">
        <f t="shared" si="56"/>
        <v>0</v>
      </c>
      <c r="AC240" s="153">
        <f t="shared" si="57"/>
        <v>0</v>
      </c>
    </row>
    <row r="241" spans="1:29" x14ac:dyDescent="0.25">
      <c r="A241" s="58">
        <v>127</v>
      </c>
      <c r="B241" s="57" t="s">
        <v>1216</v>
      </c>
      <c r="C241" s="150" t="s">
        <v>387</v>
      </c>
      <c r="D241" s="57" t="s">
        <v>88</v>
      </c>
      <c r="E241" s="160">
        <f>IFERROR(VLOOKUP(A241,Estimate!A:Q,17,FALSE)," ")</f>
        <v>1264.2650909090908</v>
      </c>
      <c r="F241" s="164">
        <v>597</v>
      </c>
      <c r="G241" s="164">
        <v>597</v>
      </c>
      <c r="H241" s="164">
        <v>2.68</v>
      </c>
      <c r="I241" s="164">
        <v>1599.96</v>
      </c>
      <c r="J241" s="164">
        <v>1599.96</v>
      </c>
      <c r="L241" s="195">
        <f t="shared" si="60"/>
        <v>0</v>
      </c>
      <c r="N241" s="195">
        <f t="shared" si="60"/>
        <v>0</v>
      </c>
      <c r="P241" s="195">
        <f t="shared" si="61"/>
        <v>0</v>
      </c>
      <c r="R241" s="195">
        <f t="shared" si="61"/>
        <v>0</v>
      </c>
      <c r="T241" s="195">
        <f t="shared" si="50"/>
        <v>0</v>
      </c>
      <c r="V241" s="195">
        <f t="shared" si="51"/>
        <v>0</v>
      </c>
      <c r="W241" s="153"/>
      <c r="X241" s="153">
        <f t="shared" si="52"/>
        <v>0</v>
      </c>
      <c r="Y241" s="153">
        <f t="shared" si="53"/>
        <v>0</v>
      </c>
      <c r="Z241" s="153">
        <f t="shared" si="54"/>
        <v>0</v>
      </c>
      <c r="AA241" s="153">
        <f t="shared" si="55"/>
        <v>0</v>
      </c>
      <c r="AB241" s="153">
        <f t="shared" si="56"/>
        <v>0</v>
      </c>
      <c r="AC241" s="153">
        <f t="shared" si="57"/>
        <v>0</v>
      </c>
    </row>
    <row r="242" spans="1:29" x14ac:dyDescent="0.25">
      <c r="B242" s="57" t="s">
        <v>704</v>
      </c>
      <c r="C242" s="150" t="s">
        <v>682</v>
      </c>
      <c r="D242" s="57" t="s">
        <v>748</v>
      </c>
      <c r="E242" s="160" t="str">
        <f>IFERROR(VLOOKUP(A242,Estimate!A:Q,17,FALSE)," ")</f>
        <v xml:space="preserve"> </v>
      </c>
      <c r="F242" s="164" t="s">
        <v>682</v>
      </c>
      <c r="G242" s="164" t="s">
        <v>682</v>
      </c>
      <c r="H242" s="164" t="s">
        <v>682</v>
      </c>
      <c r="I242" s="164" t="s">
        <v>682</v>
      </c>
      <c r="J242" s="164" t="s">
        <v>682</v>
      </c>
      <c r="K242" s="160" t="s">
        <v>682</v>
      </c>
      <c r="L242" s="195" t="str">
        <f t="shared" si="60"/>
        <v xml:space="preserve"> </v>
      </c>
      <c r="M242" s="160" t="s">
        <v>682</v>
      </c>
      <c r="N242" s="195" t="str">
        <f t="shared" si="60"/>
        <v xml:space="preserve"> </v>
      </c>
      <c r="O242" s="160" t="s">
        <v>682</v>
      </c>
      <c r="P242" s="195" t="str">
        <f t="shared" si="61"/>
        <v xml:space="preserve"> </v>
      </c>
      <c r="Q242" s="160" t="s">
        <v>682</v>
      </c>
      <c r="R242" s="195" t="str">
        <f t="shared" si="61"/>
        <v xml:space="preserve"> </v>
      </c>
      <c r="S242" s="160" t="s">
        <v>682</v>
      </c>
      <c r="T242" s="195" t="str">
        <f t="shared" si="50"/>
        <v xml:space="preserve"> </v>
      </c>
      <c r="U242" s="160" t="s">
        <v>682</v>
      </c>
      <c r="V242" s="195" t="str">
        <f t="shared" si="51"/>
        <v xml:space="preserve"> </v>
      </c>
      <c r="W242" s="153"/>
      <c r="X242" s="153" t="str">
        <f t="shared" si="52"/>
        <v xml:space="preserve"> </v>
      </c>
      <c r="Y242" s="153" t="str">
        <f t="shared" si="53"/>
        <v xml:space="preserve"> </v>
      </c>
      <c r="Z242" s="153" t="str">
        <f t="shared" si="54"/>
        <v xml:space="preserve"> </v>
      </c>
      <c r="AA242" s="153" t="str">
        <f t="shared" si="55"/>
        <v xml:space="preserve"> </v>
      </c>
      <c r="AB242" s="153" t="str">
        <f t="shared" si="56"/>
        <v xml:space="preserve"> </v>
      </c>
      <c r="AC242" s="153" t="str">
        <f t="shared" si="57"/>
        <v xml:space="preserve"> </v>
      </c>
    </row>
    <row r="243" spans="1:29" x14ac:dyDescent="0.25">
      <c r="B243" s="57">
        <v>6</v>
      </c>
      <c r="C243" s="150" t="s">
        <v>94</v>
      </c>
      <c r="D243" s="57" t="s">
        <v>748</v>
      </c>
      <c r="E243" s="160" t="str">
        <f>IFERROR(VLOOKUP(A243,Estimate!A:Q,17,FALSE)," ")</f>
        <v xml:space="preserve"> </v>
      </c>
      <c r="F243" s="164" t="s">
        <v>682</v>
      </c>
      <c r="G243" s="164" t="s">
        <v>682</v>
      </c>
      <c r="H243" s="164" t="s">
        <v>682</v>
      </c>
      <c r="I243" s="164" t="s">
        <v>682</v>
      </c>
      <c r="J243" s="164" t="s">
        <v>682</v>
      </c>
      <c r="K243" s="160" t="s">
        <v>682</v>
      </c>
      <c r="L243" s="195" t="str">
        <f t="shared" si="60"/>
        <v xml:space="preserve"> </v>
      </c>
      <c r="M243" s="160" t="s">
        <v>682</v>
      </c>
      <c r="N243" s="195" t="str">
        <f t="shared" si="60"/>
        <v xml:space="preserve"> </v>
      </c>
      <c r="O243" s="160" t="s">
        <v>682</v>
      </c>
      <c r="P243" s="195" t="str">
        <f t="shared" si="61"/>
        <v xml:space="preserve"> </v>
      </c>
      <c r="Q243" s="160" t="s">
        <v>682</v>
      </c>
      <c r="R243" s="195" t="str">
        <f t="shared" si="61"/>
        <v xml:space="preserve"> </v>
      </c>
      <c r="S243" s="160" t="s">
        <v>682</v>
      </c>
      <c r="T243" s="195" t="str">
        <f t="shared" si="50"/>
        <v xml:space="preserve"> </v>
      </c>
      <c r="U243" s="160" t="s">
        <v>682</v>
      </c>
      <c r="V243" s="195" t="str">
        <f t="shared" si="51"/>
        <v xml:space="preserve"> </v>
      </c>
      <c r="W243" s="153"/>
      <c r="X243" s="153" t="str">
        <f t="shared" si="52"/>
        <v xml:space="preserve"> </v>
      </c>
      <c r="Y243" s="153" t="str">
        <f t="shared" si="53"/>
        <v xml:space="preserve"> </v>
      </c>
      <c r="Z243" s="153" t="str">
        <f t="shared" si="54"/>
        <v xml:space="preserve"> </v>
      </c>
      <c r="AA243" s="153" t="str">
        <f t="shared" si="55"/>
        <v xml:space="preserve"> </v>
      </c>
      <c r="AB243" s="153" t="str">
        <f t="shared" si="56"/>
        <v xml:space="preserve"> </v>
      </c>
      <c r="AC243" s="153" t="str">
        <f t="shared" si="57"/>
        <v xml:space="preserve"> </v>
      </c>
    </row>
    <row r="244" spans="1:29" ht="30" x14ac:dyDescent="0.25">
      <c r="B244" s="57" t="s">
        <v>704</v>
      </c>
      <c r="C244" s="150" t="s">
        <v>96</v>
      </c>
      <c r="D244" s="57" t="s">
        <v>748</v>
      </c>
      <c r="E244" s="160" t="str">
        <f>IFERROR(VLOOKUP(A244,Estimate!A:Q,17,FALSE)," ")</f>
        <v xml:space="preserve"> </v>
      </c>
      <c r="F244" s="164" t="s">
        <v>682</v>
      </c>
      <c r="G244" s="164" t="s">
        <v>682</v>
      </c>
      <c r="H244" s="164" t="s">
        <v>682</v>
      </c>
      <c r="I244" s="164" t="s">
        <v>682</v>
      </c>
      <c r="J244" s="164" t="s">
        <v>682</v>
      </c>
      <c r="K244" s="160" t="s">
        <v>682</v>
      </c>
      <c r="L244" s="195" t="str">
        <f t="shared" si="60"/>
        <v xml:space="preserve"> </v>
      </c>
      <c r="M244" s="160" t="s">
        <v>682</v>
      </c>
      <c r="N244" s="195" t="str">
        <f t="shared" si="60"/>
        <v xml:space="preserve"> </v>
      </c>
      <c r="O244" s="160" t="s">
        <v>682</v>
      </c>
      <c r="P244" s="195" t="str">
        <f t="shared" si="61"/>
        <v xml:space="preserve"> </v>
      </c>
      <c r="Q244" s="160" t="s">
        <v>682</v>
      </c>
      <c r="R244" s="195" t="str">
        <f t="shared" si="61"/>
        <v xml:space="preserve"> </v>
      </c>
      <c r="S244" s="160" t="s">
        <v>682</v>
      </c>
      <c r="T244" s="195" t="str">
        <f t="shared" si="50"/>
        <v xml:space="preserve"> </v>
      </c>
      <c r="U244" s="160" t="s">
        <v>682</v>
      </c>
      <c r="V244" s="195" t="str">
        <f t="shared" si="51"/>
        <v xml:space="preserve"> </v>
      </c>
      <c r="W244" s="153"/>
      <c r="X244" s="153" t="str">
        <f t="shared" si="52"/>
        <v xml:space="preserve"> </v>
      </c>
      <c r="Y244" s="153" t="str">
        <f t="shared" si="53"/>
        <v xml:space="preserve"> </v>
      </c>
      <c r="Z244" s="153" t="str">
        <f t="shared" si="54"/>
        <v xml:space="preserve"> </v>
      </c>
      <c r="AA244" s="153" t="str">
        <f t="shared" si="55"/>
        <v xml:space="preserve"> </v>
      </c>
      <c r="AB244" s="153" t="str">
        <f t="shared" si="56"/>
        <v xml:space="preserve"> </v>
      </c>
      <c r="AC244" s="153" t="str">
        <f t="shared" si="57"/>
        <v xml:space="preserve"> </v>
      </c>
    </row>
    <row r="245" spans="1:29" x14ac:dyDescent="0.25">
      <c r="B245" s="57" t="s">
        <v>1214</v>
      </c>
      <c r="C245" s="150" t="s">
        <v>385</v>
      </c>
      <c r="D245" s="57" t="s">
        <v>748</v>
      </c>
      <c r="E245" s="160" t="str">
        <f>IFERROR(VLOOKUP(A245,Estimate!A:Q,17,FALSE)," ")</f>
        <v xml:space="preserve"> </v>
      </c>
      <c r="F245" s="164" t="s">
        <v>682</v>
      </c>
      <c r="G245" s="164" t="s">
        <v>682</v>
      </c>
      <c r="H245" s="164" t="s">
        <v>682</v>
      </c>
      <c r="I245" s="164" t="s">
        <v>682</v>
      </c>
      <c r="J245" s="164" t="s">
        <v>682</v>
      </c>
      <c r="K245" s="160" t="s">
        <v>682</v>
      </c>
      <c r="L245" s="195" t="str">
        <f t="shared" si="60"/>
        <v xml:space="preserve"> </v>
      </c>
      <c r="M245" s="160" t="s">
        <v>682</v>
      </c>
      <c r="N245" s="195" t="str">
        <f t="shared" si="60"/>
        <v xml:space="preserve"> </v>
      </c>
      <c r="O245" s="160" t="s">
        <v>682</v>
      </c>
      <c r="P245" s="195" t="str">
        <f t="shared" si="61"/>
        <v xml:space="preserve"> </v>
      </c>
      <c r="Q245" s="160" t="s">
        <v>682</v>
      </c>
      <c r="R245" s="195" t="str">
        <f t="shared" si="61"/>
        <v xml:space="preserve"> </v>
      </c>
      <c r="S245" s="160" t="s">
        <v>682</v>
      </c>
      <c r="T245" s="195" t="str">
        <f t="shared" si="50"/>
        <v xml:space="preserve"> </v>
      </c>
      <c r="U245" s="160" t="s">
        <v>682</v>
      </c>
      <c r="V245" s="195" t="str">
        <f t="shared" si="51"/>
        <v xml:space="preserve"> </v>
      </c>
      <c r="W245" s="153"/>
      <c r="X245" s="153" t="str">
        <f t="shared" si="52"/>
        <v xml:space="preserve"> </v>
      </c>
      <c r="Y245" s="153" t="str">
        <f t="shared" si="53"/>
        <v xml:space="preserve"> </v>
      </c>
      <c r="Z245" s="153" t="str">
        <f t="shared" si="54"/>
        <v xml:space="preserve"> </v>
      </c>
      <c r="AA245" s="153" t="str">
        <f t="shared" si="55"/>
        <v xml:space="preserve"> </v>
      </c>
      <c r="AB245" s="153" t="str">
        <f t="shared" si="56"/>
        <v xml:space="preserve"> </v>
      </c>
      <c r="AC245" s="153" t="str">
        <f t="shared" si="57"/>
        <v xml:space="preserve"> </v>
      </c>
    </row>
    <row r="246" spans="1:29" x14ac:dyDescent="0.25">
      <c r="A246" s="58">
        <v>128</v>
      </c>
      <c r="B246" s="57" t="s">
        <v>1222</v>
      </c>
      <c r="C246" s="150" t="s">
        <v>1257</v>
      </c>
      <c r="D246" s="57" t="s">
        <v>74</v>
      </c>
      <c r="E246" s="160">
        <f>IFERROR(VLOOKUP(A246,Estimate!A:Q,17,FALSE)," ")</f>
        <v>4914.2737205063986</v>
      </c>
      <c r="F246" s="164">
        <v>46</v>
      </c>
      <c r="G246" s="164">
        <v>46</v>
      </c>
      <c r="H246" s="164">
        <v>135.43</v>
      </c>
      <c r="I246" s="164">
        <v>6229.78</v>
      </c>
      <c r="J246" s="164">
        <v>6229.78</v>
      </c>
      <c r="L246" s="195">
        <f t="shared" si="60"/>
        <v>0</v>
      </c>
      <c r="N246" s="195">
        <f t="shared" si="60"/>
        <v>0</v>
      </c>
      <c r="P246" s="195">
        <f t="shared" si="61"/>
        <v>0</v>
      </c>
      <c r="R246" s="195">
        <f t="shared" si="61"/>
        <v>0</v>
      </c>
      <c r="T246" s="195">
        <f t="shared" si="50"/>
        <v>0</v>
      </c>
      <c r="V246" s="195">
        <f t="shared" si="51"/>
        <v>0</v>
      </c>
      <c r="W246" s="153"/>
      <c r="X246" s="153">
        <f t="shared" si="52"/>
        <v>0</v>
      </c>
      <c r="Y246" s="153">
        <f t="shared" si="53"/>
        <v>0</v>
      </c>
      <c r="Z246" s="153">
        <f t="shared" si="54"/>
        <v>0</v>
      </c>
      <c r="AA246" s="153">
        <f t="shared" si="55"/>
        <v>0</v>
      </c>
      <c r="AB246" s="153">
        <f t="shared" si="56"/>
        <v>0</v>
      </c>
      <c r="AC246" s="153">
        <f t="shared" si="57"/>
        <v>0</v>
      </c>
    </row>
    <row r="247" spans="1:29" x14ac:dyDescent="0.25">
      <c r="A247" s="58">
        <v>129</v>
      </c>
      <c r="B247" s="57" t="s">
        <v>1224</v>
      </c>
      <c r="C247" s="150" t="s">
        <v>1258</v>
      </c>
      <c r="D247" s="57" t="s">
        <v>74</v>
      </c>
      <c r="E247" s="160">
        <f>IFERROR(VLOOKUP(A247,Estimate!A:Q,17,FALSE)," ")</f>
        <v>7480.406692966536</v>
      </c>
      <c r="F247" s="164">
        <v>72</v>
      </c>
      <c r="G247" s="164">
        <v>72</v>
      </c>
      <c r="H247" s="164">
        <v>131.71</v>
      </c>
      <c r="I247" s="164">
        <v>9483.1200000000008</v>
      </c>
      <c r="J247" s="164">
        <v>9483.1200000000008</v>
      </c>
      <c r="L247" s="195">
        <f t="shared" ref="L247:N262" si="62">IFERROR(K247/$G247," ")</f>
        <v>0</v>
      </c>
      <c r="N247" s="195">
        <f t="shared" si="62"/>
        <v>0</v>
      </c>
      <c r="P247" s="195">
        <f t="shared" ref="P247:R262" si="63">IFERROR(O247/$G247," ")</f>
        <v>0</v>
      </c>
      <c r="R247" s="195">
        <f t="shared" si="63"/>
        <v>0</v>
      </c>
      <c r="T247" s="195">
        <f t="shared" si="50"/>
        <v>0</v>
      </c>
      <c r="V247" s="195">
        <f t="shared" si="51"/>
        <v>0</v>
      </c>
      <c r="W247" s="153"/>
      <c r="X247" s="153">
        <f t="shared" si="52"/>
        <v>0</v>
      </c>
      <c r="Y247" s="153">
        <f t="shared" si="53"/>
        <v>0</v>
      </c>
      <c r="Z247" s="153">
        <f t="shared" si="54"/>
        <v>0</v>
      </c>
      <c r="AA247" s="153">
        <f t="shared" si="55"/>
        <v>0</v>
      </c>
      <c r="AB247" s="153">
        <f t="shared" si="56"/>
        <v>0</v>
      </c>
      <c r="AC247" s="153">
        <f t="shared" si="57"/>
        <v>0</v>
      </c>
    </row>
    <row r="248" spans="1:29" x14ac:dyDescent="0.25">
      <c r="A248" s="58">
        <v>130</v>
      </c>
      <c r="B248" s="57" t="s">
        <v>1225</v>
      </c>
      <c r="C248" s="150" t="s">
        <v>1259</v>
      </c>
      <c r="D248" s="57" t="s">
        <v>74</v>
      </c>
      <c r="E248" s="160">
        <f>IFERROR(VLOOKUP(A248,Estimate!A:Q,17,FALSE)," ")</f>
        <v>6310.3313189434066</v>
      </c>
      <c r="F248" s="164">
        <v>62</v>
      </c>
      <c r="G248" s="164">
        <v>62</v>
      </c>
      <c r="H248" s="164">
        <v>129.02000000000001</v>
      </c>
      <c r="I248" s="164">
        <v>7999.24</v>
      </c>
      <c r="J248" s="164">
        <v>7999.24</v>
      </c>
      <c r="L248" s="195">
        <f t="shared" si="62"/>
        <v>0</v>
      </c>
      <c r="N248" s="195">
        <f t="shared" si="62"/>
        <v>0</v>
      </c>
      <c r="P248" s="195">
        <f t="shared" si="63"/>
        <v>0</v>
      </c>
      <c r="R248" s="195">
        <f t="shared" si="63"/>
        <v>0</v>
      </c>
      <c r="T248" s="195">
        <f t="shared" si="50"/>
        <v>0</v>
      </c>
      <c r="V248" s="195">
        <f t="shared" si="51"/>
        <v>0</v>
      </c>
      <c r="W248" s="153"/>
      <c r="X248" s="153">
        <f t="shared" si="52"/>
        <v>0</v>
      </c>
      <c r="Y248" s="153">
        <f t="shared" si="53"/>
        <v>0</v>
      </c>
      <c r="Z248" s="153">
        <f t="shared" si="54"/>
        <v>0</v>
      </c>
      <c r="AA248" s="153">
        <f t="shared" si="55"/>
        <v>0</v>
      </c>
      <c r="AB248" s="153">
        <f t="shared" si="56"/>
        <v>0</v>
      </c>
      <c r="AC248" s="153">
        <f t="shared" si="57"/>
        <v>0</v>
      </c>
    </row>
    <row r="249" spans="1:29" x14ac:dyDescent="0.25">
      <c r="B249" s="57" t="s">
        <v>1216</v>
      </c>
      <c r="C249" s="150" t="s">
        <v>387</v>
      </c>
      <c r="D249" s="57" t="s">
        <v>748</v>
      </c>
      <c r="E249" s="160" t="str">
        <f>IFERROR(VLOOKUP(A249,Estimate!A:Q,17,FALSE)," ")</f>
        <v xml:space="preserve"> </v>
      </c>
      <c r="F249" s="164" t="s">
        <v>682</v>
      </c>
      <c r="G249" s="164" t="s">
        <v>682</v>
      </c>
      <c r="H249" s="164" t="s">
        <v>682</v>
      </c>
      <c r="I249" s="164" t="s">
        <v>682</v>
      </c>
      <c r="J249" s="164" t="s">
        <v>682</v>
      </c>
      <c r="K249" s="160" t="s">
        <v>682</v>
      </c>
      <c r="L249" s="195" t="str">
        <f t="shared" si="62"/>
        <v xml:space="preserve"> </v>
      </c>
      <c r="M249" s="160" t="s">
        <v>682</v>
      </c>
      <c r="N249" s="195" t="str">
        <f t="shared" si="62"/>
        <v xml:space="preserve"> </v>
      </c>
      <c r="O249" s="160" t="s">
        <v>682</v>
      </c>
      <c r="P249" s="195" t="str">
        <f t="shared" si="63"/>
        <v xml:space="preserve"> </v>
      </c>
      <c r="Q249" s="160" t="s">
        <v>682</v>
      </c>
      <c r="R249" s="195" t="str">
        <f t="shared" si="63"/>
        <v xml:space="preserve"> </v>
      </c>
      <c r="S249" s="160" t="s">
        <v>682</v>
      </c>
      <c r="T249" s="195" t="str">
        <f t="shared" si="50"/>
        <v xml:space="preserve"> </v>
      </c>
      <c r="U249" s="160" t="s">
        <v>682</v>
      </c>
      <c r="V249" s="195" t="str">
        <f t="shared" si="51"/>
        <v xml:space="preserve"> </v>
      </c>
      <c r="W249" s="153"/>
      <c r="X249" s="153" t="str">
        <f t="shared" si="52"/>
        <v xml:space="preserve"> </v>
      </c>
      <c r="Y249" s="153" t="str">
        <f t="shared" si="53"/>
        <v xml:space="preserve"> </v>
      </c>
      <c r="Z249" s="153" t="str">
        <f t="shared" si="54"/>
        <v xml:space="preserve"> </v>
      </c>
      <c r="AA249" s="153" t="str">
        <f t="shared" si="55"/>
        <v xml:space="preserve"> </v>
      </c>
      <c r="AB249" s="153" t="str">
        <f t="shared" si="56"/>
        <v xml:space="preserve"> </v>
      </c>
      <c r="AC249" s="153" t="str">
        <f t="shared" si="57"/>
        <v xml:space="preserve"> </v>
      </c>
    </row>
    <row r="250" spans="1:29" x14ac:dyDescent="0.25">
      <c r="A250" s="58">
        <v>131</v>
      </c>
      <c r="B250" s="57" t="s">
        <v>1222</v>
      </c>
      <c r="C250" s="150" t="s">
        <v>1257</v>
      </c>
      <c r="D250" s="57" t="s">
        <v>74</v>
      </c>
      <c r="E250" s="160">
        <f>IFERROR(VLOOKUP(A250,Estimate!A:Q,17,FALSE)," ")</f>
        <v>10149.043553219735</v>
      </c>
      <c r="F250" s="164">
        <v>95</v>
      </c>
      <c r="G250" s="164">
        <v>95</v>
      </c>
      <c r="H250" s="164">
        <v>135.43</v>
      </c>
      <c r="I250" s="164">
        <v>12865.85</v>
      </c>
      <c r="J250" s="164">
        <v>12865.85</v>
      </c>
      <c r="L250" s="195">
        <f t="shared" si="62"/>
        <v>0</v>
      </c>
      <c r="N250" s="195">
        <f t="shared" si="62"/>
        <v>0</v>
      </c>
      <c r="P250" s="195">
        <f t="shared" si="63"/>
        <v>0</v>
      </c>
      <c r="R250" s="195">
        <f t="shared" si="63"/>
        <v>0</v>
      </c>
      <c r="T250" s="195">
        <f t="shared" si="50"/>
        <v>0</v>
      </c>
      <c r="V250" s="195">
        <f t="shared" si="51"/>
        <v>0</v>
      </c>
      <c r="W250" s="153"/>
      <c r="X250" s="153">
        <f t="shared" si="52"/>
        <v>0</v>
      </c>
      <c r="Y250" s="153">
        <f t="shared" si="53"/>
        <v>0</v>
      </c>
      <c r="Z250" s="153">
        <f t="shared" si="54"/>
        <v>0</v>
      </c>
      <c r="AA250" s="153">
        <f t="shared" si="55"/>
        <v>0</v>
      </c>
      <c r="AB250" s="153">
        <f t="shared" si="56"/>
        <v>0</v>
      </c>
      <c r="AC250" s="153">
        <f t="shared" si="57"/>
        <v>0</v>
      </c>
    </row>
    <row r="251" spans="1:29" x14ac:dyDescent="0.25">
      <c r="A251" s="58">
        <v>132</v>
      </c>
      <c r="B251" s="57" t="s">
        <v>1224</v>
      </c>
      <c r="C251" s="150" t="s">
        <v>1258</v>
      </c>
      <c r="D251" s="57" t="s">
        <v>74</v>
      </c>
      <c r="E251" s="160">
        <f>IFERROR(VLOOKUP(A251,Estimate!A:Q,17,FALSE)," ")</f>
        <v>14856.918848530759</v>
      </c>
      <c r="F251" s="164">
        <v>143</v>
      </c>
      <c r="G251" s="164">
        <v>143</v>
      </c>
      <c r="H251" s="164">
        <v>131.71</v>
      </c>
      <c r="I251" s="164">
        <v>18834.53</v>
      </c>
      <c r="J251" s="164">
        <v>18834.53</v>
      </c>
      <c r="L251" s="195">
        <f t="shared" si="62"/>
        <v>0</v>
      </c>
      <c r="N251" s="195">
        <f t="shared" si="62"/>
        <v>0</v>
      </c>
      <c r="P251" s="195">
        <f t="shared" si="63"/>
        <v>0</v>
      </c>
      <c r="R251" s="195">
        <f t="shared" si="63"/>
        <v>0</v>
      </c>
      <c r="T251" s="195">
        <f t="shared" si="50"/>
        <v>0</v>
      </c>
      <c r="V251" s="195">
        <f t="shared" si="51"/>
        <v>0</v>
      </c>
      <c r="W251" s="153"/>
      <c r="X251" s="153">
        <f t="shared" si="52"/>
        <v>0</v>
      </c>
      <c r="Y251" s="153">
        <f t="shared" si="53"/>
        <v>0</v>
      </c>
      <c r="Z251" s="153">
        <f t="shared" si="54"/>
        <v>0</v>
      </c>
      <c r="AA251" s="153">
        <f t="shared" si="55"/>
        <v>0</v>
      </c>
      <c r="AB251" s="153">
        <f t="shared" si="56"/>
        <v>0</v>
      </c>
      <c r="AC251" s="153">
        <f t="shared" si="57"/>
        <v>0</v>
      </c>
    </row>
    <row r="252" spans="1:29" x14ac:dyDescent="0.25">
      <c r="A252" s="58">
        <v>133</v>
      </c>
      <c r="B252" s="57" t="s">
        <v>1225</v>
      </c>
      <c r="C252" s="150" t="s">
        <v>1259</v>
      </c>
      <c r="D252" s="57" t="s">
        <v>74</v>
      </c>
      <c r="E252" s="160">
        <f>IFERROR(VLOOKUP(A252,Estimate!A:Q,17,FALSE)," ")</f>
        <v>12111.764950875249</v>
      </c>
      <c r="F252" s="164">
        <v>119</v>
      </c>
      <c r="G252" s="164">
        <v>119</v>
      </c>
      <c r="H252" s="164">
        <v>129.02000000000001</v>
      </c>
      <c r="I252" s="164">
        <v>15353.38</v>
      </c>
      <c r="J252" s="164">
        <v>15353.38</v>
      </c>
      <c r="L252" s="195">
        <f t="shared" si="62"/>
        <v>0</v>
      </c>
      <c r="N252" s="195">
        <f t="shared" si="62"/>
        <v>0</v>
      </c>
      <c r="P252" s="195">
        <f t="shared" si="63"/>
        <v>0</v>
      </c>
      <c r="R252" s="195">
        <f t="shared" si="63"/>
        <v>0</v>
      </c>
      <c r="T252" s="195">
        <f t="shared" si="50"/>
        <v>0</v>
      </c>
      <c r="V252" s="195">
        <f t="shared" si="51"/>
        <v>0</v>
      </c>
      <c r="W252" s="153"/>
      <c r="X252" s="153">
        <f t="shared" si="52"/>
        <v>0</v>
      </c>
      <c r="Y252" s="153">
        <f t="shared" si="53"/>
        <v>0</v>
      </c>
      <c r="Z252" s="153">
        <f t="shared" si="54"/>
        <v>0</v>
      </c>
      <c r="AA252" s="153">
        <f t="shared" si="55"/>
        <v>0</v>
      </c>
      <c r="AB252" s="153">
        <f t="shared" si="56"/>
        <v>0</v>
      </c>
      <c r="AC252" s="153">
        <f t="shared" si="57"/>
        <v>0</v>
      </c>
    </row>
    <row r="253" spans="1:29" x14ac:dyDescent="0.25">
      <c r="B253" s="57" t="s">
        <v>704</v>
      </c>
      <c r="C253" s="150" t="s">
        <v>682</v>
      </c>
      <c r="D253" s="57" t="s">
        <v>748</v>
      </c>
      <c r="E253" s="160" t="str">
        <f>IFERROR(VLOOKUP(A253,Estimate!A:Q,17,FALSE)," ")</f>
        <v xml:space="preserve"> </v>
      </c>
      <c r="F253" s="164" t="s">
        <v>682</v>
      </c>
      <c r="G253" s="164" t="s">
        <v>682</v>
      </c>
      <c r="H253" s="164" t="s">
        <v>682</v>
      </c>
      <c r="I253" s="164" t="s">
        <v>682</v>
      </c>
      <c r="J253" s="164" t="s">
        <v>682</v>
      </c>
      <c r="K253" s="160" t="s">
        <v>682</v>
      </c>
      <c r="L253" s="195" t="str">
        <f t="shared" si="62"/>
        <v xml:space="preserve"> </v>
      </c>
      <c r="M253" s="160" t="s">
        <v>682</v>
      </c>
      <c r="N253" s="195" t="str">
        <f t="shared" si="62"/>
        <v xml:space="preserve"> </v>
      </c>
      <c r="O253" s="160" t="s">
        <v>682</v>
      </c>
      <c r="P253" s="195" t="str">
        <f t="shared" si="63"/>
        <v xml:space="preserve"> </v>
      </c>
      <c r="Q253" s="160" t="s">
        <v>682</v>
      </c>
      <c r="R253" s="195" t="str">
        <f t="shared" si="63"/>
        <v xml:space="preserve"> </v>
      </c>
      <c r="S253" s="160" t="s">
        <v>682</v>
      </c>
      <c r="T253" s="195" t="str">
        <f t="shared" si="50"/>
        <v xml:space="preserve"> </v>
      </c>
      <c r="U253" s="160" t="s">
        <v>682</v>
      </c>
      <c r="V253" s="195" t="str">
        <f t="shared" si="51"/>
        <v xml:space="preserve"> </v>
      </c>
      <c r="W253" s="153"/>
      <c r="X253" s="153" t="str">
        <f t="shared" si="52"/>
        <v xml:space="preserve"> </v>
      </c>
      <c r="Y253" s="153" t="str">
        <f t="shared" si="53"/>
        <v xml:space="preserve"> </v>
      </c>
      <c r="Z253" s="153" t="str">
        <f t="shared" si="54"/>
        <v xml:space="preserve"> </v>
      </c>
      <c r="AA253" s="153" t="str">
        <f t="shared" si="55"/>
        <v xml:space="preserve"> </v>
      </c>
      <c r="AB253" s="153" t="str">
        <f t="shared" si="56"/>
        <v xml:space="preserve"> </v>
      </c>
      <c r="AC253" s="153" t="str">
        <f t="shared" si="57"/>
        <v xml:space="preserve"> </v>
      </c>
    </row>
    <row r="254" spans="1:29" x14ac:dyDescent="0.25">
      <c r="B254" s="57">
        <v>7</v>
      </c>
      <c r="C254" s="150" t="s">
        <v>308</v>
      </c>
      <c r="D254" s="57" t="s">
        <v>748</v>
      </c>
      <c r="E254" s="160" t="str">
        <f>IFERROR(VLOOKUP(A254,Estimate!A:Q,17,FALSE)," ")</f>
        <v xml:space="preserve"> </v>
      </c>
      <c r="F254" s="164" t="s">
        <v>682</v>
      </c>
      <c r="G254" s="164" t="s">
        <v>682</v>
      </c>
      <c r="H254" s="164" t="s">
        <v>682</v>
      </c>
      <c r="I254" s="164" t="s">
        <v>682</v>
      </c>
      <c r="J254" s="164" t="s">
        <v>682</v>
      </c>
      <c r="K254" s="160" t="s">
        <v>682</v>
      </c>
      <c r="L254" s="195" t="str">
        <f t="shared" si="62"/>
        <v xml:space="preserve"> </v>
      </c>
      <c r="M254" s="160" t="s">
        <v>682</v>
      </c>
      <c r="N254" s="195" t="str">
        <f t="shared" si="62"/>
        <v xml:space="preserve"> </v>
      </c>
      <c r="O254" s="160" t="s">
        <v>682</v>
      </c>
      <c r="P254" s="195" t="str">
        <f t="shared" si="63"/>
        <v xml:space="preserve"> </v>
      </c>
      <c r="Q254" s="160" t="s">
        <v>682</v>
      </c>
      <c r="R254" s="195" t="str">
        <f t="shared" si="63"/>
        <v xml:space="preserve"> </v>
      </c>
      <c r="S254" s="160" t="s">
        <v>682</v>
      </c>
      <c r="T254" s="195" t="str">
        <f t="shared" si="50"/>
        <v xml:space="preserve"> </v>
      </c>
      <c r="U254" s="160" t="s">
        <v>682</v>
      </c>
      <c r="V254" s="195" t="str">
        <f t="shared" si="51"/>
        <v xml:space="preserve"> </v>
      </c>
      <c r="W254" s="153"/>
      <c r="X254" s="153" t="str">
        <f t="shared" si="52"/>
        <v xml:space="preserve"> </v>
      </c>
      <c r="Y254" s="153" t="str">
        <f t="shared" si="53"/>
        <v xml:space="preserve"> </v>
      </c>
      <c r="Z254" s="153" t="str">
        <f t="shared" si="54"/>
        <v xml:space="preserve"> </v>
      </c>
      <c r="AA254" s="153" t="str">
        <f t="shared" si="55"/>
        <v xml:space="preserve"> </v>
      </c>
      <c r="AB254" s="153" t="str">
        <f t="shared" si="56"/>
        <v xml:space="preserve"> </v>
      </c>
      <c r="AC254" s="153" t="str">
        <f t="shared" si="57"/>
        <v xml:space="preserve"> </v>
      </c>
    </row>
    <row r="255" spans="1:29" ht="30" x14ac:dyDescent="0.25">
      <c r="A255" s="58">
        <v>134</v>
      </c>
      <c r="B255" s="57" t="s">
        <v>1214</v>
      </c>
      <c r="C255" s="150" t="s">
        <v>1260</v>
      </c>
      <c r="D255" s="57" t="s">
        <v>88</v>
      </c>
      <c r="E255" s="160">
        <f>IFERROR(VLOOKUP(A255,Estimate!A:Q,17,FALSE)," ")</f>
        <v>5610.0654544832396</v>
      </c>
      <c r="F255" s="164">
        <v>30</v>
      </c>
      <c r="G255" s="164">
        <v>30</v>
      </c>
      <c r="H255" s="164">
        <v>186.99</v>
      </c>
      <c r="I255" s="164">
        <v>5609.7</v>
      </c>
      <c r="J255" s="164">
        <v>5609.7</v>
      </c>
      <c r="L255" s="195">
        <f t="shared" si="62"/>
        <v>0</v>
      </c>
      <c r="N255" s="195">
        <f t="shared" si="62"/>
        <v>0</v>
      </c>
      <c r="P255" s="195">
        <f t="shared" si="63"/>
        <v>0</v>
      </c>
      <c r="R255" s="195">
        <f t="shared" si="63"/>
        <v>0</v>
      </c>
      <c r="T255" s="195">
        <f t="shared" si="50"/>
        <v>0</v>
      </c>
      <c r="V255" s="195">
        <f t="shared" si="51"/>
        <v>0</v>
      </c>
      <c r="W255" s="153"/>
      <c r="X255" s="153">
        <f t="shared" si="52"/>
        <v>0</v>
      </c>
      <c r="Y255" s="153">
        <f t="shared" si="53"/>
        <v>0</v>
      </c>
      <c r="Z255" s="153">
        <f t="shared" si="54"/>
        <v>0</v>
      </c>
      <c r="AA255" s="153">
        <f t="shared" si="55"/>
        <v>0</v>
      </c>
      <c r="AB255" s="153">
        <f t="shared" si="56"/>
        <v>0</v>
      </c>
      <c r="AC255" s="153">
        <f t="shared" si="57"/>
        <v>0</v>
      </c>
    </row>
    <row r="256" spans="1:29" x14ac:dyDescent="0.25">
      <c r="B256" s="57" t="s">
        <v>704</v>
      </c>
      <c r="C256" s="150" t="s">
        <v>682</v>
      </c>
      <c r="D256" s="57" t="s">
        <v>748</v>
      </c>
      <c r="E256" s="160" t="str">
        <f>IFERROR(VLOOKUP(A256,Estimate!A:Q,17,FALSE)," ")</f>
        <v xml:space="preserve"> </v>
      </c>
      <c r="F256" s="164" t="s">
        <v>682</v>
      </c>
      <c r="G256" s="164" t="s">
        <v>682</v>
      </c>
      <c r="H256" s="164" t="s">
        <v>682</v>
      </c>
      <c r="I256" s="164" t="s">
        <v>682</v>
      </c>
      <c r="J256" s="164" t="s">
        <v>682</v>
      </c>
      <c r="K256" s="160" t="s">
        <v>682</v>
      </c>
      <c r="L256" s="195" t="str">
        <f t="shared" si="62"/>
        <v xml:space="preserve"> </v>
      </c>
      <c r="M256" s="160" t="s">
        <v>682</v>
      </c>
      <c r="N256" s="195" t="str">
        <f t="shared" si="62"/>
        <v xml:space="preserve"> </v>
      </c>
      <c r="O256" s="160" t="s">
        <v>682</v>
      </c>
      <c r="P256" s="195" t="str">
        <f t="shared" si="63"/>
        <v xml:space="preserve"> </v>
      </c>
      <c r="Q256" s="160" t="s">
        <v>682</v>
      </c>
      <c r="R256" s="195" t="str">
        <f t="shared" si="63"/>
        <v xml:space="preserve"> </v>
      </c>
      <c r="S256" s="160" t="s">
        <v>682</v>
      </c>
      <c r="T256" s="195" t="str">
        <f t="shared" si="50"/>
        <v xml:space="preserve"> </v>
      </c>
      <c r="U256" s="160" t="s">
        <v>682</v>
      </c>
      <c r="V256" s="195" t="str">
        <f t="shared" si="51"/>
        <v xml:space="preserve"> </v>
      </c>
      <c r="W256" s="153"/>
      <c r="X256" s="153" t="str">
        <f t="shared" si="52"/>
        <v xml:space="preserve"> </v>
      </c>
      <c r="Y256" s="153" t="str">
        <f t="shared" si="53"/>
        <v xml:space="preserve"> </v>
      </c>
      <c r="Z256" s="153" t="str">
        <f t="shared" si="54"/>
        <v xml:space="preserve"> </v>
      </c>
      <c r="AA256" s="153" t="str">
        <f t="shared" si="55"/>
        <v xml:space="preserve"> </v>
      </c>
      <c r="AB256" s="153" t="str">
        <f t="shared" si="56"/>
        <v xml:space="preserve"> </v>
      </c>
      <c r="AC256" s="153" t="str">
        <f t="shared" si="57"/>
        <v xml:space="preserve"> </v>
      </c>
    </row>
    <row r="257" spans="1:29" ht="45" x14ac:dyDescent="0.25">
      <c r="B257" s="57">
        <v>8</v>
      </c>
      <c r="C257" s="150" t="s">
        <v>311</v>
      </c>
      <c r="D257" s="57" t="s">
        <v>748</v>
      </c>
      <c r="E257" s="160" t="str">
        <f>IFERROR(VLOOKUP(A257,Estimate!A:Q,17,FALSE)," ")</f>
        <v xml:space="preserve"> </v>
      </c>
      <c r="F257" s="164" t="s">
        <v>682</v>
      </c>
      <c r="G257" s="164" t="s">
        <v>682</v>
      </c>
      <c r="H257" s="164" t="s">
        <v>682</v>
      </c>
      <c r="I257" s="164" t="s">
        <v>682</v>
      </c>
      <c r="J257" s="164" t="s">
        <v>682</v>
      </c>
      <c r="K257" s="160" t="s">
        <v>682</v>
      </c>
      <c r="L257" s="195" t="str">
        <f t="shared" si="62"/>
        <v xml:space="preserve"> </v>
      </c>
      <c r="M257" s="160" t="s">
        <v>682</v>
      </c>
      <c r="N257" s="195" t="str">
        <f t="shared" si="62"/>
        <v xml:space="preserve"> </v>
      </c>
      <c r="O257" s="160" t="s">
        <v>682</v>
      </c>
      <c r="P257" s="195" t="str">
        <f t="shared" si="63"/>
        <v xml:space="preserve"> </v>
      </c>
      <c r="Q257" s="160" t="s">
        <v>682</v>
      </c>
      <c r="R257" s="195" t="str">
        <f t="shared" si="63"/>
        <v xml:space="preserve"> </v>
      </c>
      <c r="S257" s="160" t="s">
        <v>682</v>
      </c>
      <c r="T257" s="195" t="str">
        <f t="shared" si="50"/>
        <v xml:space="preserve"> </v>
      </c>
      <c r="U257" s="160" t="s">
        <v>682</v>
      </c>
      <c r="V257" s="195" t="str">
        <f t="shared" si="51"/>
        <v xml:space="preserve"> </v>
      </c>
      <c r="W257" s="153"/>
      <c r="X257" s="153" t="str">
        <f t="shared" si="52"/>
        <v xml:space="preserve"> </v>
      </c>
      <c r="Y257" s="153" t="str">
        <f t="shared" si="53"/>
        <v xml:space="preserve"> </v>
      </c>
      <c r="Z257" s="153" t="str">
        <f t="shared" si="54"/>
        <v xml:space="preserve"> </v>
      </c>
      <c r="AA257" s="153" t="str">
        <f t="shared" si="55"/>
        <v xml:space="preserve"> </v>
      </c>
      <c r="AB257" s="153" t="str">
        <f t="shared" si="56"/>
        <v xml:space="preserve"> </v>
      </c>
      <c r="AC257" s="153" t="str">
        <f t="shared" si="57"/>
        <v xml:space="preserve"> </v>
      </c>
    </row>
    <row r="258" spans="1:29" x14ac:dyDescent="0.25">
      <c r="A258" s="58">
        <v>135</v>
      </c>
      <c r="B258" s="57" t="s">
        <v>1214</v>
      </c>
      <c r="C258" s="150" t="s">
        <v>385</v>
      </c>
      <c r="D258" s="57" t="s">
        <v>88</v>
      </c>
      <c r="E258" s="160">
        <f>IFERROR(VLOOKUP(A258,Estimate!A:Q,17,FALSE)," ")</f>
        <v>1525.3700000000001</v>
      </c>
      <c r="F258" s="164">
        <v>283</v>
      </c>
      <c r="G258" s="164">
        <v>283</v>
      </c>
      <c r="H258" s="164">
        <v>5.52</v>
      </c>
      <c r="I258" s="164">
        <v>1562.16</v>
      </c>
      <c r="J258" s="164">
        <v>1562.16</v>
      </c>
      <c r="L258" s="195">
        <f t="shared" si="62"/>
        <v>0</v>
      </c>
      <c r="N258" s="195">
        <f t="shared" si="62"/>
        <v>0</v>
      </c>
      <c r="P258" s="195">
        <f t="shared" si="63"/>
        <v>0</v>
      </c>
      <c r="R258" s="195">
        <f t="shared" si="63"/>
        <v>0</v>
      </c>
      <c r="T258" s="195">
        <f t="shared" si="50"/>
        <v>0</v>
      </c>
      <c r="V258" s="195">
        <f t="shared" si="51"/>
        <v>0</v>
      </c>
      <c r="W258" s="153"/>
      <c r="X258" s="153">
        <f t="shared" si="52"/>
        <v>0</v>
      </c>
      <c r="Y258" s="153">
        <f t="shared" si="53"/>
        <v>0</v>
      </c>
      <c r="Z258" s="153">
        <f t="shared" si="54"/>
        <v>0</v>
      </c>
      <c r="AA258" s="153">
        <f t="shared" si="55"/>
        <v>0</v>
      </c>
      <c r="AB258" s="153">
        <f t="shared" si="56"/>
        <v>0</v>
      </c>
      <c r="AC258" s="153">
        <f t="shared" si="57"/>
        <v>0</v>
      </c>
    </row>
    <row r="259" spans="1:29" x14ac:dyDescent="0.25">
      <c r="A259" s="58">
        <v>136</v>
      </c>
      <c r="B259" s="57" t="s">
        <v>1216</v>
      </c>
      <c r="C259" s="150" t="s">
        <v>387</v>
      </c>
      <c r="D259" s="57" t="s">
        <v>88</v>
      </c>
      <c r="E259" s="160">
        <f>IFERROR(VLOOKUP(A259,Estimate!A:Q,17,FALSE)," ")</f>
        <v>3217.8300000000004</v>
      </c>
      <c r="F259" s="164">
        <v>597</v>
      </c>
      <c r="G259" s="164">
        <v>597</v>
      </c>
      <c r="H259" s="164">
        <v>5.52</v>
      </c>
      <c r="I259" s="164">
        <v>3295.44</v>
      </c>
      <c r="J259" s="164">
        <v>3295.44</v>
      </c>
      <c r="L259" s="195">
        <f t="shared" si="62"/>
        <v>0</v>
      </c>
      <c r="N259" s="195">
        <f t="shared" si="62"/>
        <v>0</v>
      </c>
      <c r="P259" s="195">
        <f t="shared" si="63"/>
        <v>0</v>
      </c>
      <c r="R259" s="195">
        <f t="shared" si="63"/>
        <v>0</v>
      </c>
      <c r="T259" s="195">
        <f t="shared" si="50"/>
        <v>0</v>
      </c>
      <c r="V259" s="195">
        <f t="shared" si="51"/>
        <v>0</v>
      </c>
      <c r="W259" s="153"/>
      <c r="X259" s="153">
        <f t="shared" si="52"/>
        <v>0</v>
      </c>
      <c r="Y259" s="153">
        <f t="shared" si="53"/>
        <v>0</v>
      </c>
      <c r="Z259" s="153">
        <f t="shared" si="54"/>
        <v>0</v>
      </c>
      <c r="AA259" s="153">
        <f t="shared" si="55"/>
        <v>0</v>
      </c>
      <c r="AB259" s="153">
        <f t="shared" si="56"/>
        <v>0</v>
      </c>
      <c r="AC259" s="153">
        <f t="shared" si="57"/>
        <v>0</v>
      </c>
    </row>
    <row r="260" spans="1:29" x14ac:dyDescent="0.25">
      <c r="B260" s="57" t="s">
        <v>704</v>
      </c>
      <c r="C260" s="150" t="s">
        <v>682</v>
      </c>
      <c r="D260" s="57" t="s">
        <v>748</v>
      </c>
      <c r="E260" s="160" t="str">
        <f>IFERROR(VLOOKUP(A260,Estimate!A:Q,17,FALSE)," ")</f>
        <v xml:space="preserve"> </v>
      </c>
      <c r="F260" s="164" t="s">
        <v>682</v>
      </c>
      <c r="G260" s="164" t="s">
        <v>682</v>
      </c>
      <c r="H260" s="164" t="s">
        <v>682</v>
      </c>
      <c r="I260" s="164" t="s">
        <v>682</v>
      </c>
      <c r="J260" s="164" t="s">
        <v>682</v>
      </c>
      <c r="K260" s="160" t="s">
        <v>682</v>
      </c>
      <c r="L260" s="195" t="str">
        <f t="shared" si="62"/>
        <v xml:space="preserve"> </v>
      </c>
      <c r="M260" s="160" t="s">
        <v>682</v>
      </c>
      <c r="N260" s="195" t="str">
        <f t="shared" si="62"/>
        <v xml:space="preserve"> </v>
      </c>
      <c r="O260" s="160" t="s">
        <v>682</v>
      </c>
      <c r="P260" s="195" t="str">
        <f t="shared" si="63"/>
        <v xml:space="preserve"> </v>
      </c>
      <c r="Q260" s="160" t="s">
        <v>682</v>
      </c>
      <c r="R260" s="195" t="str">
        <f t="shared" si="63"/>
        <v xml:space="preserve"> </v>
      </c>
      <c r="S260" s="160" t="s">
        <v>682</v>
      </c>
      <c r="T260" s="195" t="str">
        <f t="shared" si="50"/>
        <v xml:space="preserve"> </v>
      </c>
      <c r="U260" s="160" t="s">
        <v>682</v>
      </c>
      <c r="V260" s="195" t="str">
        <f t="shared" si="51"/>
        <v xml:space="preserve"> </v>
      </c>
      <c r="W260" s="153"/>
      <c r="X260" s="153" t="str">
        <f t="shared" si="52"/>
        <v xml:space="preserve"> </v>
      </c>
      <c r="Y260" s="153" t="str">
        <f t="shared" si="53"/>
        <v xml:space="preserve"> </v>
      </c>
      <c r="Z260" s="153" t="str">
        <f t="shared" si="54"/>
        <v xml:space="preserve"> </v>
      </c>
      <c r="AA260" s="153" t="str">
        <f t="shared" si="55"/>
        <v xml:space="preserve"> </v>
      </c>
      <c r="AB260" s="153" t="str">
        <f t="shared" si="56"/>
        <v xml:space="preserve"> </v>
      </c>
      <c r="AC260" s="153" t="str">
        <f t="shared" si="57"/>
        <v xml:space="preserve"> </v>
      </c>
    </row>
    <row r="261" spans="1:29" ht="30" x14ac:dyDescent="0.25">
      <c r="B261" s="57">
        <v>9</v>
      </c>
      <c r="C261" s="150" t="s">
        <v>315</v>
      </c>
      <c r="D261" s="57" t="s">
        <v>748</v>
      </c>
      <c r="E261" s="160" t="str">
        <f>IFERROR(VLOOKUP(A261,Estimate!A:Q,17,FALSE)," ")</f>
        <v xml:space="preserve"> </v>
      </c>
      <c r="F261" s="164" t="s">
        <v>682</v>
      </c>
      <c r="G261" s="164" t="s">
        <v>682</v>
      </c>
      <c r="H261" s="164" t="s">
        <v>682</v>
      </c>
      <c r="I261" s="164" t="s">
        <v>682</v>
      </c>
      <c r="J261" s="164" t="s">
        <v>682</v>
      </c>
      <c r="K261" s="160" t="s">
        <v>682</v>
      </c>
      <c r="L261" s="195" t="str">
        <f t="shared" si="62"/>
        <v xml:space="preserve"> </v>
      </c>
      <c r="M261" s="160" t="s">
        <v>682</v>
      </c>
      <c r="N261" s="195" t="str">
        <f t="shared" si="62"/>
        <v xml:space="preserve"> </v>
      </c>
      <c r="O261" s="160" t="s">
        <v>682</v>
      </c>
      <c r="P261" s="195" t="str">
        <f t="shared" si="63"/>
        <v xml:space="preserve"> </v>
      </c>
      <c r="Q261" s="160" t="s">
        <v>682</v>
      </c>
      <c r="R261" s="195" t="str">
        <f t="shared" si="63"/>
        <v xml:space="preserve"> </v>
      </c>
      <c r="S261" s="160" t="s">
        <v>682</v>
      </c>
      <c r="T261" s="195" t="str">
        <f t="shared" si="50"/>
        <v xml:space="preserve"> </v>
      </c>
      <c r="U261" s="160" t="s">
        <v>682</v>
      </c>
      <c r="V261" s="195" t="str">
        <f t="shared" si="51"/>
        <v xml:space="preserve"> </v>
      </c>
      <c r="W261" s="153"/>
      <c r="X261" s="153" t="str">
        <f t="shared" si="52"/>
        <v xml:space="preserve"> </v>
      </c>
      <c r="Y261" s="153" t="str">
        <f t="shared" si="53"/>
        <v xml:space="preserve"> </v>
      </c>
      <c r="Z261" s="153" t="str">
        <f t="shared" si="54"/>
        <v xml:space="preserve"> </v>
      </c>
      <c r="AA261" s="153" t="str">
        <f t="shared" si="55"/>
        <v xml:space="preserve"> </v>
      </c>
      <c r="AB261" s="153" t="str">
        <f t="shared" si="56"/>
        <v xml:space="preserve"> </v>
      </c>
      <c r="AC261" s="153" t="str">
        <f t="shared" si="57"/>
        <v xml:space="preserve"> </v>
      </c>
    </row>
    <row r="262" spans="1:29" ht="30" x14ac:dyDescent="0.25">
      <c r="A262" s="58">
        <v>137</v>
      </c>
      <c r="B262" s="57" t="s">
        <v>1214</v>
      </c>
      <c r="C262" s="150" t="s">
        <v>1267</v>
      </c>
      <c r="D262" s="57" t="s">
        <v>88</v>
      </c>
      <c r="E262" s="160">
        <f>IFERROR(VLOOKUP(A262,Estimate!A:Q,17,FALSE)," ")</f>
        <v>121115.29842350788</v>
      </c>
      <c r="F262" s="164">
        <v>2912</v>
      </c>
      <c r="G262" s="164">
        <v>2912</v>
      </c>
      <c r="H262" s="164">
        <v>42.63</v>
      </c>
      <c r="I262" s="164">
        <v>124138.56</v>
      </c>
      <c r="J262" s="164">
        <v>124138.56</v>
      </c>
      <c r="L262" s="195">
        <f t="shared" si="62"/>
        <v>0</v>
      </c>
      <c r="N262" s="195">
        <f t="shared" si="62"/>
        <v>0</v>
      </c>
      <c r="P262" s="195">
        <f t="shared" si="63"/>
        <v>0</v>
      </c>
      <c r="R262" s="195">
        <f t="shared" si="63"/>
        <v>0</v>
      </c>
      <c r="T262" s="195">
        <f t="shared" si="50"/>
        <v>0</v>
      </c>
      <c r="V262" s="195">
        <f t="shared" si="51"/>
        <v>0</v>
      </c>
      <c r="W262" s="153"/>
      <c r="X262" s="153">
        <f t="shared" si="52"/>
        <v>0</v>
      </c>
      <c r="Y262" s="153">
        <f t="shared" si="53"/>
        <v>0</v>
      </c>
      <c r="Z262" s="153">
        <f t="shared" si="54"/>
        <v>0</v>
      </c>
      <c r="AA262" s="153">
        <f t="shared" si="55"/>
        <v>0</v>
      </c>
      <c r="AB262" s="153">
        <f t="shared" si="56"/>
        <v>0</v>
      </c>
      <c r="AC262" s="153">
        <f t="shared" si="57"/>
        <v>0</v>
      </c>
    </row>
    <row r="263" spans="1:29" x14ac:dyDescent="0.25">
      <c r="B263" s="57" t="s">
        <v>704</v>
      </c>
      <c r="C263" s="150" t="s">
        <v>682</v>
      </c>
      <c r="D263" s="57" t="s">
        <v>748</v>
      </c>
      <c r="E263" s="160" t="str">
        <f>IFERROR(VLOOKUP(A263,Estimate!A:Q,17,FALSE)," ")</f>
        <v xml:space="preserve"> </v>
      </c>
      <c r="F263" s="164" t="s">
        <v>682</v>
      </c>
      <c r="G263" s="164" t="s">
        <v>682</v>
      </c>
      <c r="H263" s="164" t="s">
        <v>682</v>
      </c>
      <c r="I263" s="164" t="s">
        <v>682</v>
      </c>
      <c r="J263" s="164" t="s">
        <v>682</v>
      </c>
      <c r="K263" s="160" t="s">
        <v>682</v>
      </c>
      <c r="L263" s="195" t="str">
        <f t="shared" ref="L263:L286" si="64">IFERROR(K263/$G263," ")</f>
        <v xml:space="preserve"> </v>
      </c>
      <c r="M263" s="160" t="s">
        <v>682</v>
      </c>
      <c r="N263" s="195" t="str">
        <f t="shared" ref="N263:N286" si="65">IFERROR(M263/$G263," ")</f>
        <v xml:space="preserve"> </v>
      </c>
      <c r="O263" s="160" t="s">
        <v>682</v>
      </c>
      <c r="P263" s="195" t="str">
        <f t="shared" ref="P263:R278" si="66">IFERROR(O263/$G263," ")</f>
        <v xml:space="preserve"> </v>
      </c>
      <c r="Q263" s="160" t="s">
        <v>682</v>
      </c>
      <c r="R263" s="195" t="str">
        <f t="shared" si="66"/>
        <v xml:space="preserve"> </v>
      </c>
      <c r="S263" s="160" t="s">
        <v>682</v>
      </c>
      <c r="T263" s="195" t="str">
        <f t="shared" ref="T263:T286" si="67">IFERROR(S263/$G263," ")</f>
        <v xml:space="preserve"> </v>
      </c>
      <c r="U263" s="160" t="s">
        <v>682</v>
      </c>
      <c r="V263" s="195" t="str">
        <f t="shared" ref="V263:V286" si="68">IFERROR(U263/$G263," ")</f>
        <v xml:space="preserve"> </v>
      </c>
      <c r="W263" s="153"/>
      <c r="X263" s="153" t="str">
        <f t="shared" ref="X263:X286" si="69">IFERROR(K263*$H263," ")</f>
        <v xml:space="preserve"> </v>
      </c>
      <c r="Y263" s="153" t="str">
        <f t="shared" ref="Y263:Y286" si="70">IFERROR(M263*$H263," ")</f>
        <v xml:space="preserve"> </v>
      </c>
      <c r="Z263" s="153" t="str">
        <f t="shared" ref="Z263:Z286" si="71">IFERROR(O263*$H263," ")</f>
        <v xml:space="preserve"> </v>
      </c>
      <c r="AA263" s="153" t="str">
        <f t="shared" ref="AA263:AA286" si="72">IFERROR(Q263*$H263," ")</f>
        <v xml:space="preserve"> </v>
      </c>
      <c r="AB263" s="153" t="str">
        <f t="shared" ref="AB263:AB286" si="73">IFERROR(S263*$H263," ")</f>
        <v xml:space="preserve"> </v>
      </c>
      <c r="AC263" s="153" t="str">
        <f t="shared" ref="AC263:AC286" si="74">IFERROR(U263*$H263," ")</f>
        <v xml:space="preserve"> </v>
      </c>
    </row>
    <row r="264" spans="1:29" x14ac:dyDescent="0.25">
      <c r="B264" s="57">
        <v>10</v>
      </c>
      <c r="C264" s="150" t="s">
        <v>319</v>
      </c>
      <c r="D264" s="57" t="s">
        <v>748</v>
      </c>
      <c r="E264" s="160" t="str">
        <f>IFERROR(VLOOKUP(A264,Estimate!A:Q,17,FALSE)," ")</f>
        <v xml:space="preserve"> </v>
      </c>
      <c r="F264" s="164" t="s">
        <v>682</v>
      </c>
      <c r="G264" s="164" t="s">
        <v>682</v>
      </c>
      <c r="H264" s="164" t="s">
        <v>682</v>
      </c>
      <c r="I264" s="164" t="s">
        <v>682</v>
      </c>
      <c r="J264" s="164" t="s">
        <v>682</v>
      </c>
      <c r="K264" s="160" t="s">
        <v>682</v>
      </c>
      <c r="L264" s="195" t="str">
        <f t="shared" si="64"/>
        <v xml:space="preserve"> </v>
      </c>
      <c r="M264" s="160" t="s">
        <v>682</v>
      </c>
      <c r="N264" s="195" t="str">
        <f t="shared" si="65"/>
        <v xml:space="preserve"> </v>
      </c>
      <c r="O264" s="160" t="s">
        <v>682</v>
      </c>
      <c r="P264" s="195" t="str">
        <f t="shared" si="66"/>
        <v xml:space="preserve"> </v>
      </c>
      <c r="Q264" s="160" t="s">
        <v>682</v>
      </c>
      <c r="R264" s="195" t="str">
        <f t="shared" si="66"/>
        <v xml:space="preserve"> </v>
      </c>
      <c r="S264" s="160" t="s">
        <v>682</v>
      </c>
      <c r="T264" s="195" t="str">
        <f t="shared" si="67"/>
        <v xml:space="preserve"> </v>
      </c>
      <c r="U264" s="160" t="s">
        <v>682</v>
      </c>
      <c r="V264" s="195" t="str">
        <f t="shared" si="68"/>
        <v xml:space="preserve"> </v>
      </c>
      <c r="W264" s="153"/>
      <c r="X264" s="153" t="str">
        <f t="shared" si="69"/>
        <v xml:space="preserve"> </v>
      </c>
      <c r="Y264" s="153" t="str">
        <f t="shared" si="70"/>
        <v xml:space="preserve"> </v>
      </c>
      <c r="Z264" s="153" t="str">
        <f t="shared" si="71"/>
        <v xml:space="preserve"> </v>
      </c>
      <c r="AA264" s="153" t="str">
        <f t="shared" si="72"/>
        <v xml:space="preserve"> </v>
      </c>
      <c r="AB264" s="153" t="str">
        <f t="shared" si="73"/>
        <v xml:space="preserve"> </v>
      </c>
      <c r="AC264" s="153" t="str">
        <f t="shared" si="74"/>
        <v xml:space="preserve"> </v>
      </c>
    </row>
    <row r="265" spans="1:29" x14ac:dyDescent="0.25">
      <c r="A265" s="58">
        <v>138</v>
      </c>
      <c r="B265" s="57" t="s">
        <v>1214</v>
      </c>
      <c r="C265" s="150" t="s">
        <v>1262</v>
      </c>
      <c r="D265" s="57" t="s">
        <v>32</v>
      </c>
      <c r="E265" s="160">
        <f>IFERROR(VLOOKUP(A265,Estimate!A:Q,17,FALSE)," ")</f>
        <v>5701.1988000000001</v>
      </c>
      <c r="F265" s="164">
        <v>67</v>
      </c>
      <c r="G265" s="164">
        <v>67</v>
      </c>
      <c r="H265" s="164">
        <v>107.87</v>
      </c>
      <c r="I265" s="164">
        <v>7227.29</v>
      </c>
      <c r="J265" s="164">
        <v>7227.29</v>
      </c>
      <c r="L265" s="195">
        <f t="shared" si="64"/>
        <v>0</v>
      </c>
      <c r="N265" s="195">
        <f t="shared" si="65"/>
        <v>0</v>
      </c>
      <c r="P265" s="195">
        <f t="shared" si="66"/>
        <v>0</v>
      </c>
      <c r="R265" s="195">
        <f t="shared" si="66"/>
        <v>0</v>
      </c>
      <c r="T265" s="195">
        <f t="shared" si="67"/>
        <v>0</v>
      </c>
      <c r="V265" s="195">
        <f t="shared" si="68"/>
        <v>0</v>
      </c>
      <c r="W265" s="153"/>
      <c r="X265" s="153">
        <f t="shared" si="69"/>
        <v>0</v>
      </c>
      <c r="Y265" s="153">
        <f t="shared" si="70"/>
        <v>0</v>
      </c>
      <c r="Z265" s="153">
        <f t="shared" si="71"/>
        <v>0</v>
      </c>
      <c r="AA265" s="153">
        <f t="shared" si="72"/>
        <v>0</v>
      </c>
      <c r="AB265" s="153">
        <f t="shared" si="73"/>
        <v>0</v>
      </c>
      <c r="AC265" s="153">
        <f t="shared" si="74"/>
        <v>0</v>
      </c>
    </row>
    <row r="266" spans="1:29" x14ac:dyDescent="0.25">
      <c r="B266" s="57" t="s">
        <v>704</v>
      </c>
      <c r="C266" s="150" t="s">
        <v>682</v>
      </c>
      <c r="D266" s="57" t="s">
        <v>748</v>
      </c>
      <c r="E266" s="160" t="str">
        <f>IFERROR(VLOOKUP(A266,Estimate!A:Q,17,FALSE)," ")</f>
        <v xml:space="preserve"> </v>
      </c>
      <c r="F266" s="164" t="s">
        <v>682</v>
      </c>
      <c r="G266" s="164" t="s">
        <v>682</v>
      </c>
      <c r="H266" s="164" t="s">
        <v>682</v>
      </c>
      <c r="I266" s="164" t="s">
        <v>682</v>
      </c>
      <c r="J266" s="164" t="s">
        <v>682</v>
      </c>
      <c r="K266" s="160" t="s">
        <v>682</v>
      </c>
      <c r="L266" s="195" t="str">
        <f t="shared" si="64"/>
        <v xml:space="preserve"> </v>
      </c>
      <c r="M266" s="160" t="s">
        <v>682</v>
      </c>
      <c r="N266" s="195" t="str">
        <f t="shared" si="65"/>
        <v xml:space="preserve"> </v>
      </c>
      <c r="O266" s="160" t="s">
        <v>682</v>
      </c>
      <c r="P266" s="195" t="str">
        <f t="shared" si="66"/>
        <v xml:space="preserve"> </v>
      </c>
      <c r="Q266" s="160" t="s">
        <v>682</v>
      </c>
      <c r="R266" s="195" t="str">
        <f t="shared" si="66"/>
        <v xml:space="preserve"> </v>
      </c>
      <c r="S266" s="160" t="s">
        <v>682</v>
      </c>
      <c r="T266" s="195" t="str">
        <f t="shared" si="67"/>
        <v xml:space="preserve"> </v>
      </c>
      <c r="U266" s="160" t="s">
        <v>682</v>
      </c>
      <c r="V266" s="195" t="str">
        <f t="shared" si="68"/>
        <v xml:space="preserve"> </v>
      </c>
      <c r="W266" s="153"/>
      <c r="X266" s="153" t="str">
        <f t="shared" si="69"/>
        <v xml:space="preserve"> </v>
      </c>
      <c r="Y266" s="153" t="str">
        <f t="shared" si="70"/>
        <v xml:space="preserve"> </v>
      </c>
      <c r="Z266" s="153" t="str">
        <f t="shared" si="71"/>
        <v xml:space="preserve"> </v>
      </c>
      <c r="AA266" s="153" t="str">
        <f t="shared" si="72"/>
        <v xml:space="preserve"> </v>
      </c>
      <c r="AB266" s="153" t="str">
        <f t="shared" si="73"/>
        <v xml:space="preserve"> </v>
      </c>
      <c r="AC266" s="153" t="str">
        <f t="shared" si="74"/>
        <v xml:space="preserve"> </v>
      </c>
    </row>
    <row r="267" spans="1:29" x14ac:dyDescent="0.25">
      <c r="B267" s="57">
        <v>11</v>
      </c>
      <c r="C267" s="150" t="s">
        <v>325</v>
      </c>
      <c r="D267" s="57" t="s">
        <v>748</v>
      </c>
      <c r="E267" s="160" t="str">
        <f>IFERROR(VLOOKUP(A267,Estimate!A:Q,17,FALSE)," ")</f>
        <v xml:space="preserve"> </v>
      </c>
      <c r="F267" s="164" t="s">
        <v>682</v>
      </c>
      <c r="G267" s="164" t="s">
        <v>682</v>
      </c>
      <c r="H267" s="164" t="s">
        <v>682</v>
      </c>
      <c r="I267" s="164" t="s">
        <v>682</v>
      </c>
      <c r="J267" s="164" t="s">
        <v>682</v>
      </c>
      <c r="K267" s="160" t="s">
        <v>682</v>
      </c>
      <c r="L267" s="195" t="str">
        <f t="shared" si="64"/>
        <v xml:space="preserve"> </v>
      </c>
      <c r="M267" s="160" t="s">
        <v>682</v>
      </c>
      <c r="N267" s="195" t="str">
        <f t="shared" si="65"/>
        <v xml:space="preserve"> </v>
      </c>
      <c r="O267" s="160" t="s">
        <v>682</v>
      </c>
      <c r="P267" s="195" t="str">
        <f t="shared" si="66"/>
        <v xml:space="preserve"> </v>
      </c>
      <c r="Q267" s="160" t="s">
        <v>682</v>
      </c>
      <c r="R267" s="195" t="str">
        <f t="shared" si="66"/>
        <v xml:space="preserve"> </v>
      </c>
      <c r="S267" s="160" t="s">
        <v>682</v>
      </c>
      <c r="T267" s="195" t="str">
        <f t="shared" si="67"/>
        <v xml:space="preserve"> </v>
      </c>
      <c r="U267" s="160" t="s">
        <v>682</v>
      </c>
      <c r="V267" s="195" t="str">
        <f t="shared" si="68"/>
        <v xml:space="preserve"> </v>
      </c>
      <c r="W267" s="153"/>
      <c r="X267" s="153" t="str">
        <f t="shared" si="69"/>
        <v xml:space="preserve"> </v>
      </c>
      <c r="Y267" s="153" t="str">
        <f t="shared" si="70"/>
        <v xml:space="preserve"> </v>
      </c>
      <c r="Z267" s="153" t="str">
        <f t="shared" si="71"/>
        <v xml:space="preserve"> </v>
      </c>
      <c r="AA267" s="153" t="str">
        <f t="shared" si="72"/>
        <v xml:space="preserve"> </v>
      </c>
      <c r="AB267" s="153" t="str">
        <f t="shared" si="73"/>
        <v xml:space="preserve"> </v>
      </c>
      <c r="AC267" s="153" t="str">
        <f t="shared" si="74"/>
        <v xml:space="preserve"> </v>
      </c>
    </row>
    <row r="268" spans="1:29" ht="45" x14ac:dyDescent="0.25">
      <c r="A268" s="58">
        <v>139</v>
      </c>
      <c r="B268" s="57" t="s">
        <v>1214</v>
      </c>
      <c r="C268" s="150" t="s">
        <v>1263</v>
      </c>
      <c r="D268" s="57" t="s">
        <v>32</v>
      </c>
      <c r="E268" s="160">
        <f>IFERROR(VLOOKUP(A268,Estimate!A:Q,17,FALSE)," ")</f>
        <v>2770.989</v>
      </c>
      <c r="F268" s="164">
        <v>78</v>
      </c>
      <c r="G268" s="164">
        <v>78</v>
      </c>
      <c r="H268" s="164">
        <v>45.04</v>
      </c>
      <c r="I268" s="164">
        <v>3513.12</v>
      </c>
      <c r="J268" s="164">
        <v>3513.12</v>
      </c>
      <c r="L268" s="195">
        <f t="shared" si="64"/>
        <v>0</v>
      </c>
      <c r="N268" s="195">
        <f t="shared" si="65"/>
        <v>0</v>
      </c>
      <c r="P268" s="195">
        <f t="shared" si="66"/>
        <v>0</v>
      </c>
      <c r="R268" s="195">
        <f t="shared" si="66"/>
        <v>0</v>
      </c>
      <c r="T268" s="195">
        <f t="shared" si="67"/>
        <v>0</v>
      </c>
      <c r="V268" s="195">
        <f t="shared" si="68"/>
        <v>0</v>
      </c>
      <c r="W268" s="153"/>
      <c r="X268" s="153">
        <f t="shared" si="69"/>
        <v>0</v>
      </c>
      <c r="Y268" s="153">
        <f t="shared" si="70"/>
        <v>0</v>
      </c>
      <c r="Z268" s="153">
        <f t="shared" si="71"/>
        <v>0</v>
      </c>
      <c r="AA268" s="153">
        <f t="shared" si="72"/>
        <v>0</v>
      </c>
      <c r="AB268" s="153">
        <f t="shared" si="73"/>
        <v>0</v>
      </c>
      <c r="AC268" s="153">
        <f t="shared" si="74"/>
        <v>0</v>
      </c>
    </row>
    <row r="269" spans="1:29" ht="45" x14ac:dyDescent="0.25">
      <c r="A269" s="58">
        <v>140</v>
      </c>
      <c r="B269" s="57" t="s">
        <v>1216</v>
      </c>
      <c r="C269" s="150" t="s">
        <v>331</v>
      </c>
      <c r="D269" s="57" t="s">
        <v>32</v>
      </c>
      <c r="E269" s="160">
        <f>IFERROR(VLOOKUP(A269,Estimate!A:Q,17,FALSE)," ")</f>
        <v>3860</v>
      </c>
      <c r="F269" s="164">
        <v>22</v>
      </c>
      <c r="G269" s="164">
        <v>22</v>
      </c>
      <c r="H269" s="164">
        <v>222.42</v>
      </c>
      <c r="I269" s="164">
        <v>4893.24</v>
      </c>
      <c r="J269" s="164">
        <v>4893.24</v>
      </c>
      <c r="L269" s="195">
        <f t="shared" si="64"/>
        <v>0</v>
      </c>
      <c r="N269" s="195">
        <f t="shared" si="65"/>
        <v>0</v>
      </c>
      <c r="P269" s="195">
        <f t="shared" si="66"/>
        <v>0</v>
      </c>
      <c r="R269" s="195">
        <f t="shared" si="66"/>
        <v>0</v>
      </c>
      <c r="T269" s="195">
        <f t="shared" si="67"/>
        <v>0</v>
      </c>
      <c r="V269" s="195">
        <f t="shared" si="68"/>
        <v>0</v>
      </c>
      <c r="W269" s="153"/>
      <c r="X269" s="153">
        <f t="shared" si="69"/>
        <v>0</v>
      </c>
      <c r="Y269" s="153">
        <f t="shared" si="70"/>
        <v>0</v>
      </c>
      <c r="Z269" s="153">
        <f t="shared" si="71"/>
        <v>0</v>
      </c>
      <c r="AA269" s="153">
        <f t="shared" si="72"/>
        <v>0</v>
      </c>
      <c r="AB269" s="153">
        <f t="shared" si="73"/>
        <v>0</v>
      </c>
      <c r="AC269" s="153">
        <f t="shared" si="74"/>
        <v>0</v>
      </c>
    </row>
    <row r="270" spans="1:29" x14ac:dyDescent="0.25">
      <c r="A270" s="58">
        <v>141</v>
      </c>
      <c r="B270" s="57" t="s">
        <v>1231</v>
      </c>
      <c r="C270" s="150" t="s">
        <v>333</v>
      </c>
      <c r="D270" s="57" t="s">
        <v>145</v>
      </c>
      <c r="E270" s="160">
        <f>IFERROR(VLOOKUP(A270,Estimate!A:Q,17,FALSE)," ")</f>
        <v>2452.8000000000002</v>
      </c>
      <c r="F270" s="164">
        <v>2</v>
      </c>
      <c r="G270" s="164">
        <v>2</v>
      </c>
      <c r="H270" s="164">
        <v>1554.68</v>
      </c>
      <c r="I270" s="164">
        <v>3109.36</v>
      </c>
      <c r="J270" s="164">
        <v>3109.36</v>
      </c>
      <c r="L270" s="195">
        <f t="shared" si="64"/>
        <v>0</v>
      </c>
      <c r="N270" s="195">
        <f t="shared" si="65"/>
        <v>0</v>
      </c>
      <c r="P270" s="195">
        <f t="shared" si="66"/>
        <v>0</v>
      </c>
      <c r="R270" s="195">
        <f t="shared" si="66"/>
        <v>0</v>
      </c>
      <c r="T270" s="195">
        <f t="shared" si="67"/>
        <v>0</v>
      </c>
      <c r="V270" s="195">
        <f t="shared" si="68"/>
        <v>0</v>
      </c>
      <c r="W270" s="153"/>
      <c r="X270" s="153">
        <f t="shared" si="69"/>
        <v>0</v>
      </c>
      <c r="Y270" s="153">
        <f t="shared" si="70"/>
        <v>0</v>
      </c>
      <c r="Z270" s="153">
        <f t="shared" si="71"/>
        <v>0</v>
      </c>
      <c r="AA270" s="153">
        <f t="shared" si="72"/>
        <v>0</v>
      </c>
      <c r="AB270" s="153">
        <f t="shared" si="73"/>
        <v>0</v>
      </c>
      <c r="AC270" s="153">
        <f t="shared" si="74"/>
        <v>0</v>
      </c>
    </row>
    <row r="271" spans="1:29" ht="45" x14ac:dyDescent="0.25">
      <c r="A271" s="58">
        <v>142</v>
      </c>
      <c r="B271" s="57" t="s">
        <v>1232</v>
      </c>
      <c r="C271" s="150" t="s">
        <v>335</v>
      </c>
      <c r="D271" s="57" t="s">
        <v>145</v>
      </c>
      <c r="E271" s="160">
        <f>IFERROR(VLOOKUP(A271,Estimate!A:Q,17,FALSE)," ")</f>
        <v>2690.8</v>
      </c>
      <c r="F271" s="164">
        <v>2</v>
      </c>
      <c r="G271" s="164">
        <v>2</v>
      </c>
      <c r="H271" s="164">
        <v>1705.54</v>
      </c>
      <c r="I271" s="164">
        <v>3411.08</v>
      </c>
      <c r="J271" s="164">
        <v>3411.08</v>
      </c>
      <c r="L271" s="195">
        <f t="shared" si="64"/>
        <v>0</v>
      </c>
      <c r="N271" s="195">
        <f t="shared" si="65"/>
        <v>0</v>
      </c>
      <c r="P271" s="195">
        <f t="shared" si="66"/>
        <v>0</v>
      </c>
      <c r="R271" s="195">
        <f t="shared" si="66"/>
        <v>0</v>
      </c>
      <c r="T271" s="195">
        <f t="shared" si="67"/>
        <v>0</v>
      </c>
      <c r="V271" s="195">
        <f t="shared" si="68"/>
        <v>0</v>
      </c>
      <c r="W271" s="153"/>
      <c r="X271" s="153">
        <f t="shared" si="69"/>
        <v>0</v>
      </c>
      <c r="Y271" s="153">
        <f t="shared" si="70"/>
        <v>0</v>
      </c>
      <c r="Z271" s="153">
        <f t="shared" si="71"/>
        <v>0</v>
      </c>
      <c r="AA271" s="153">
        <f t="shared" si="72"/>
        <v>0</v>
      </c>
      <c r="AB271" s="153">
        <f t="shared" si="73"/>
        <v>0</v>
      </c>
      <c r="AC271" s="153">
        <f t="shared" si="74"/>
        <v>0</v>
      </c>
    </row>
    <row r="272" spans="1:29" x14ac:dyDescent="0.25">
      <c r="B272" s="57" t="s">
        <v>704</v>
      </c>
      <c r="C272" s="150" t="s">
        <v>682</v>
      </c>
      <c r="D272" s="57" t="s">
        <v>748</v>
      </c>
      <c r="E272" s="160" t="str">
        <f>IFERROR(VLOOKUP(A272,Estimate!A:Q,17,FALSE)," ")</f>
        <v xml:space="preserve"> </v>
      </c>
      <c r="F272" s="164" t="s">
        <v>682</v>
      </c>
      <c r="G272" s="164" t="s">
        <v>682</v>
      </c>
      <c r="H272" s="164" t="s">
        <v>682</v>
      </c>
      <c r="I272" s="164" t="s">
        <v>682</v>
      </c>
      <c r="J272" s="164" t="s">
        <v>682</v>
      </c>
      <c r="K272" s="160" t="s">
        <v>682</v>
      </c>
      <c r="L272" s="195" t="str">
        <f t="shared" si="64"/>
        <v xml:space="preserve"> </v>
      </c>
      <c r="M272" s="160" t="s">
        <v>682</v>
      </c>
      <c r="N272" s="195" t="str">
        <f t="shared" si="65"/>
        <v xml:space="preserve"> </v>
      </c>
      <c r="O272" s="160" t="s">
        <v>682</v>
      </c>
      <c r="P272" s="195" t="str">
        <f t="shared" si="66"/>
        <v xml:space="preserve"> </v>
      </c>
      <c r="Q272" s="160" t="s">
        <v>682</v>
      </c>
      <c r="R272" s="195" t="str">
        <f t="shared" si="66"/>
        <v xml:space="preserve"> </v>
      </c>
      <c r="S272" s="160" t="s">
        <v>682</v>
      </c>
      <c r="T272" s="195" t="str">
        <f t="shared" si="67"/>
        <v xml:space="preserve"> </v>
      </c>
      <c r="U272" s="160" t="s">
        <v>682</v>
      </c>
      <c r="V272" s="195" t="str">
        <f t="shared" si="68"/>
        <v xml:space="preserve"> </v>
      </c>
      <c r="W272" s="153"/>
      <c r="X272" s="153" t="str">
        <f t="shared" si="69"/>
        <v xml:space="preserve"> </v>
      </c>
      <c r="Y272" s="153" t="str">
        <f t="shared" si="70"/>
        <v xml:space="preserve"> </v>
      </c>
      <c r="Z272" s="153" t="str">
        <f t="shared" si="71"/>
        <v xml:space="preserve"> </v>
      </c>
      <c r="AA272" s="153" t="str">
        <f t="shared" si="72"/>
        <v xml:space="preserve"> </v>
      </c>
      <c r="AB272" s="153" t="str">
        <f t="shared" si="73"/>
        <v xml:space="preserve"> </v>
      </c>
      <c r="AC272" s="153" t="str">
        <f t="shared" si="74"/>
        <v xml:space="preserve"> </v>
      </c>
    </row>
    <row r="273" spans="1:29" x14ac:dyDescent="0.25">
      <c r="B273" s="57">
        <v>12</v>
      </c>
      <c r="C273" s="150" t="s">
        <v>138</v>
      </c>
      <c r="D273" s="57" t="s">
        <v>748</v>
      </c>
      <c r="E273" s="160" t="str">
        <f>IFERROR(VLOOKUP(A273,Estimate!A:Q,17,FALSE)," ")</f>
        <v xml:space="preserve"> </v>
      </c>
      <c r="F273" s="164" t="s">
        <v>682</v>
      </c>
      <c r="G273" s="164" t="s">
        <v>682</v>
      </c>
      <c r="H273" s="164" t="s">
        <v>682</v>
      </c>
      <c r="I273" s="164" t="s">
        <v>682</v>
      </c>
      <c r="J273" s="164" t="s">
        <v>682</v>
      </c>
      <c r="K273" s="160" t="s">
        <v>682</v>
      </c>
      <c r="L273" s="195" t="str">
        <f t="shared" si="64"/>
        <v xml:space="preserve"> </v>
      </c>
      <c r="M273" s="160" t="s">
        <v>682</v>
      </c>
      <c r="N273" s="195" t="str">
        <f t="shared" si="65"/>
        <v xml:space="preserve"> </v>
      </c>
      <c r="O273" s="160" t="s">
        <v>682</v>
      </c>
      <c r="P273" s="195" t="str">
        <f t="shared" si="66"/>
        <v xml:space="preserve"> </v>
      </c>
      <c r="Q273" s="160" t="s">
        <v>682</v>
      </c>
      <c r="R273" s="195" t="str">
        <f t="shared" si="66"/>
        <v xml:space="preserve"> </v>
      </c>
      <c r="S273" s="160" t="s">
        <v>682</v>
      </c>
      <c r="T273" s="195" t="str">
        <f t="shared" si="67"/>
        <v xml:space="preserve"> </v>
      </c>
      <c r="U273" s="160" t="s">
        <v>682</v>
      </c>
      <c r="V273" s="195" t="str">
        <f t="shared" si="68"/>
        <v xml:space="preserve"> </v>
      </c>
      <c r="W273" s="153"/>
      <c r="X273" s="153" t="str">
        <f t="shared" si="69"/>
        <v xml:space="preserve"> </v>
      </c>
      <c r="Y273" s="153" t="str">
        <f t="shared" si="70"/>
        <v xml:space="preserve"> </v>
      </c>
      <c r="Z273" s="153" t="str">
        <f t="shared" si="71"/>
        <v xml:space="preserve"> </v>
      </c>
      <c r="AA273" s="153" t="str">
        <f t="shared" si="72"/>
        <v xml:space="preserve"> </v>
      </c>
      <c r="AB273" s="153" t="str">
        <f t="shared" si="73"/>
        <v xml:space="preserve"> </v>
      </c>
      <c r="AC273" s="153" t="str">
        <f t="shared" si="74"/>
        <v xml:space="preserve"> </v>
      </c>
    </row>
    <row r="274" spans="1:29" x14ac:dyDescent="0.25">
      <c r="A274" s="58">
        <v>143</v>
      </c>
      <c r="B274" s="57" t="s">
        <v>1214</v>
      </c>
      <c r="C274" s="150" t="s">
        <v>1241</v>
      </c>
      <c r="D274" s="57" t="s">
        <v>88</v>
      </c>
      <c r="E274" s="160">
        <f>IFERROR(VLOOKUP(A274,Estimate!A:Q,17,FALSE)," ")</f>
        <v>767.25</v>
      </c>
      <c r="F274" s="164">
        <v>1000</v>
      </c>
      <c r="G274" s="164">
        <v>1000</v>
      </c>
      <c r="H274" s="164">
        <v>0.97</v>
      </c>
      <c r="I274" s="164">
        <v>970</v>
      </c>
      <c r="J274" s="164">
        <v>970</v>
      </c>
      <c r="L274" s="195">
        <f t="shared" si="64"/>
        <v>0</v>
      </c>
      <c r="N274" s="195">
        <f t="shared" si="65"/>
        <v>0</v>
      </c>
      <c r="P274" s="195">
        <f t="shared" si="66"/>
        <v>0</v>
      </c>
      <c r="R274" s="195">
        <f t="shared" si="66"/>
        <v>0</v>
      </c>
      <c r="T274" s="195">
        <f t="shared" si="67"/>
        <v>0</v>
      </c>
      <c r="V274" s="195">
        <f t="shared" si="68"/>
        <v>0</v>
      </c>
      <c r="W274" s="153"/>
      <c r="X274" s="153">
        <f t="shared" si="69"/>
        <v>0</v>
      </c>
      <c r="Y274" s="153">
        <f t="shared" si="70"/>
        <v>0</v>
      </c>
      <c r="Z274" s="153">
        <f t="shared" si="71"/>
        <v>0</v>
      </c>
      <c r="AA274" s="153">
        <f t="shared" si="72"/>
        <v>0</v>
      </c>
      <c r="AB274" s="153">
        <f t="shared" si="73"/>
        <v>0</v>
      </c>
      <c r="AC274" s="153">
        <f t="shared" si="74"/>
        <v>0</v>
      </c>
    </row>
    <row r="275" spans="1:29" ht="30" x14ac:dyDescent="0.25">
      <c r="A275" s="58">
        <v>144</v>
      </c>
      <c r="B275" s="57" t="s">
        <v>1216</v>
      </c>
      <c r="C275" s="150" t="s">
        <v>141</v>
      </c>
      <c r="D275" s="57" t="s">
        <v>88</v>
      </c>
      <c r="E275" s="160">
        <f>IFERROR(VLOOKUP(A275,Estimate!A:Q,17,FALSE)," ")</f>
        <v>1125</v>
      </c>
      <c r="F275" s="164">
        <v>1000</v>
      </c>
      <c r="G275" s="164">
        <v>1000</v>
      </c>
      <c r="H275" s="164">
        <v>1.43</v>
      </c>
      <c r="I275" s="164">
        <v>1430</v>
      </c>
      <c r="J275" s="164">
        <v>1430</v>
      </c>
      <c r="L275" s="195">
        <f t="shared" si="64"/>
        <v>0</v>
      </c>
      <c r="N275" s="195">
        <f t="shared" si="65"/>
        <v>0</v>
      </c>
      <c r="P275" s="195">
        <f t="shared" si="66"/>
        <v>0</v>
      </c>
      <c r="R275" s="195">
        <f t="shared" si="66"/>
        <v>0</v>
      </c>
      <c r="T275" s="195">
        <f t="shared" si="67"/>
        <v>0</v>
      </c>
      <c r="V275" s="195">
        <f t="shared" si="68"/>
        <v>0</v>
      </c>
      <c r="W275" s="153"/>
      <c r="X275" s="153">
        <f t="shared" si="69"/>
        <v>0</v>
      </c>
      <c r="Y275" s="153">
        <f t="shared" si="70"/>
        <v>0</v>
      </c>
      <c r="Z275" s="153">
        <f t="shared" si="71"/>
        <v>0</v>
      </c>
      <c r="AA275" s="153">
        <f t="shared" si="72"/>
        <v>0</v>
      </c>
      <c r="AB275" s="153">
        <f t="shared" si="73"/>
        <v>0</v>
      </c>
      <c r="AC275" s="153">
        <f t="shared" si="74"/>
        <v>0</v>
      </c>
    </row>
    <row r="276" spans="1:29" x14ac:dyDescent="0.25">
      <c r="A276" s="58">
        <v>145</v>
      </c>
      <c r="B276" s="57" t="s">
        <v>1231</v>
      </c>
      <c r="C276" s="150" t="s">
        <v>144</v>
      </c>
      <c r="D276" s="57" t="s">
        <v>145</v>
      </c>
      <c r="E276" s="160">
        <f>IFERROR(VLOOKUP(A276,Estimate!A:Q,17,FALSE)," ")</f>
        <v>1626.4</v>
      </c>
      <c r="F276" s="164">
        <v>6</v>
      </c>
      <c r="G276" s="164">
        <v>6</v>
      </c>
      <c r="H276" s="164">
        <v>343.63</v>
      </c>
      <c r="I276" s="164">
        <v>2061.7800000000002</v>
      </c>
      <c r="J276" s="164">
        <v>2061.7800000000002</v>
      </c>
      <c r="L276" s="195">
        <f t="shared" si="64"/>
        <v>0</v>
      </c>
      <c r="N276" s="195">
        <f t="shared" si="65"/>
        <v>0</v>
      </c>
      <c r="P276" s="195">
        <f t="shared" si="66"/>
        <v>0</v>
      </c>
      <c r="R276" s="195">
        <f t="shared" si="66"/>
        <v>0</v>
      </c>
      <c r="T276" s="195">
        <f t="shared" si="67"/>
        <v>0</v>
      </c>
      <c r="V276" s="195">
        <f t="shared" si="68"/>
        <v>0</v>
      </c>
      <c r="W276" s="153"/>
      <c r="X276" s="153">
        <f t="shared" si="69"/>
        <v>0</v>
      </c>
      <c r="Y276" s="153">
        <f t="shared" si="70"/>
        <v>0</v>
      </c>
      <c r="Z276" s="153">
        <f t="shared" si="71"/>
        <v>0</v>
      </c>
      <c r="AA276" s="153">
        <f t="shared" si="72"/>
        <v>0</v>
      </c>
      <c r="AB276" s="153">
        <f t="shared" si="73"/>
        <v>0</v>
      </c>
      <c r="AC276" s="153">
        <f t="shared" si="74"/>
        <v>0</v>
      </c>
    </row>
    <row r="277" spans="1:29" x14ac:dyDescent="0.25">
      <c r="B277" s="57" t="s">
        <v>704</v>
      </c>
      <c r="C277" s="150" t="s">
        <v>682</v>
      </c>
      <c r="D277" s="57" t="s">
        <v>748</v>
      </c>
      <c r="E277" s="160" t="str">
        <f>IFERROR(VLOOKUP(A277,Estimate!A:Q,17,FALSE)," ")</f>
        <v xml:space="preserve"> </v>
      </c>
      <c r="F277" s="164" t="s">
        <v>682</v>
      </c>
      <c r="G277" s="164" t="s">
        <v>682</v>
      </c>
      <c r="H277" s="164" t="s">
        <v>682</v>
      </c>
      <c r="I277" s="164" t="s">
        <v>682</v>
      </c>
      <c r="J277" s="164" t="s">
        <v>682</v>
      </c>
      <c r="K277" s="160" t="s">
        <v>682</v>
      </c>
      <c r="L277" s="195" t="str">
        <f t="shared" si="64"/>
        <v xml:space="preserve"> </v>
      </c>
      <c r="M277" s="160" t="s">
        <v>682</v>
      </c>
      <c r="N277" s="195" t="str">
        <f t="shared" si="65"/>
        <v xml:space="preserve"> </v>
      </c>
      <c r="O277" s="160" t="s">
        <v>682</v>
      </c>
      <c r="P277" s="195" t="str">
        <f t="shared" si="66"/>
        <v xml:space="preserve"> </v>
      </c>
      <c r="Q277" s="160" t="s">
        <v>682</v>
      </c>
      <c r="R277" s="195" t="str">
        <f t="shared" si="66"/>
        <v xml:space="preserve"> </v>
      </c>
      <c r="S277" s="160" t="s">
        <v>682</v>
      </c>
      <c r="T277" s="195" t="str">
        <f t="shared" si="67"/>
        <v xml:space="preserve"> </v>
      </c>
      <c r="U277" s="160" t="s">
        <v>682</v>
      </c>
      <c r="V277" s="195" t="str">
        <f t="shared" si="68"/>
        <v xml:space="preserve"> </v>
      </c>
      <c r="W277" s="153"/>
      <c r="X277" s="153" t="str">
        <f t="shared" si="69"/>
        <v xml:space="preserve"> </v>
      </c>
      <c r="Y277" s="153" t="str">
        <f t="shared" si="70"/>
        <v xml:space="preserve"> </v>
      </c>
      <c r="Z277" s="153" t="str">
        <f t="shared" si="71"/>
        <v xml:space="preserve"> </v>
      </c>
      <c r="AA277" s="153" t="str">
        <f t="shared" si="72"/>
        <v xml:space="preserve"> </v>
      </c>
      <c r="AB277" s="153" t="str">
        <f t="shared" si="73"/>
        <v xml:space="preserve"> </v>
      </c>
      <c r="AC277" s="153" t="str">
        <f t="shared" si="74"/>
        <v xml:space="preserve"> </v>
      </c>
    </row>
    <row r="278" spans="1:29" x14ac:dyDescent="0.25">
      <c r="B278" s="57">
        <v>13</v>
      </c>
      <c r="C278" s="150" t="s">
        <v>148</v>
      </c>
      <c r="D278" s="57" t="s">
        <v>748</v>
      </c>
      <c r="E278" s="160" t="str">
        <f>IFERROR(VLOOKUP(A278,Estimate!A:Q,17,FALSE)," ")</f>
        <v xml:space="preserve"> </v>
      </c>
      <c r="F278" s="164" t="s">
        <v>682</v>
      </c>
      <c r="G278" s="164" t="s">
        <v>682</v>
      </c>
      <c r="H278" s="164" t="s">
        <v>682</v>
      </c>
      <c r="I278" s="164" t="s">
        <v>682</v>
      </c>
      <c r="J278" s="164" t="s">
        <v>682</v>
      </c>
      <c r="K278" s="160" t="s">
        <v>682</v>
      </c>
      <c r="L278" s="195" t="str">
        <f t="shared" si="64"/>
        <v xml:space="preserve"> </v>
      </c>
      <c r="M278" s="160" t="s">
        <v>682</v>
      </c>
      <c r="N278" s="195" t="str">
        <f t="shared" si="65"/>
        <v xml:space="preserve"> </v>
      </c>
      <c r="O278" s="160" t="s">
        <v>682</v>
      </c>
      <c r="P278" s="195" t="str">
        <f t="shared" si="66"/>
        <v xml:space="preserve"> </v>
      </c>
      <c r="Q278" s="160" t="s">
        <v>682</v>
      </c>
      <c r="R278" s="195" t="str">
        <f t="shared" si="66"/>
        <v xml:space="preserve"> </v>
      </c>
      <c r="S278" s="160" t="s">
        <v>682</v>
      </c>
      <c r="T278" s="195" t="str">
        <f t="shared" si="67"/>
        <v xml:space="preserve"> </v>
      </c>
      <c r="U278" s="160" t="s">
        <v>682</v>
      </c>
      <c r="V278" s="195" t="str">
        <f t="shared" si="68"/>
        <v xml:space="preserve"> </v>
      </c>
      <c r="W278" s="153"/>
      <c r="X278" s="153" t="str">
        <f t="shared" si="69"/>
        <v xml:space="preserve"> </v>
      </c>
      <c r="Y278" s="153" t="str">
        <f t="shared" si="70"/>
        <v xml:space="preserve"> </v>
      </c>
      <c r="Z278" s="153" t="str">
        <f t="shared" si="71"/>
        <v xml:space="preserve"> </v>
      </c>
      <c r="AA278" s="153" t="str">
        <f t="shared" si="72"/>
        <v xml:space="preserve"> </v>
      </c>
      <c r="AB278" s="153" t="str">
        <f t="shared" si="73"/>
        <v xml:space="preserve"> </v>
      </c>
      <c r="AC278" s="153" t="str">
        <f t="shared" si="74"/>
        <v xml:space="preserve"> </v>
      </c>
    </row>
    <row r="279" spans="1:29" x14ac:dyDescent="0.25">
      <c r="A279" s="58">
        <v>146</v>
      </c>
      <c r="B279" s="57" t="s">
        <v>1214</v>
      </c>
      <c r="C279" s="150" t="s">
        <v>348</v>
      </c>
      <c r="D279" s="57" t="s">
        <v>145</v>
      </c>
      <c r="E279" s="160">
        <f>IFERROR(VLOOKUP(A279,Estimate!A:Q,17,FALSE)," ")</f>
        <v>500</v>
      </c>
      <c r="F279" s="164">
        <v>10</v>
      </c>
      <c r="G279" s="164">
        <v>10</v>
      </c>
      <c r="H279" s="164">
        <v>63.38</v>
      </c>
      <c r="I279" s="164">
        <v>633.79999999999995</v>
      </c>
      <c r="J279" s="164">
        <v>633.79999999999995</v>
      </c>
      <c r="L279" s="195">
        <f t="shared" si="64"/>
        <v>0</v>
      </c>
      <c r="N279" s="195">
        <f t="shared" si="65"/>
        <v>0</v>
      </c>
      <c r="P279" s="195">
        <f t="shared" ref="P279:R286" si="75">IFERROR(O279/$G279," ")</f>
        <v>0</v>
      </c>
      <c r="R279" s="195">
        <f t="shared" si="75"/>
        <v>0</v>
      </c>
      <c r="T279" s="195">
        <f t="shared" si="67"/>
        <v>0</v>
      </c>
      <c r="V279" s="195">
        <f t="shared" si="68"/>
        <v>0</v>
      </c>
      <c r="W279" s="153"/>
      <c r="X279" s="153">
        <f t="shared" si="69"/>
        <v>0</v>
      </c>
      <c r="Y279" s="153">
        <f t="shared" si="70"/>
        <v>0</v>
      </c>
      <c r="Z279" s="153">
        <f t="shared" si="71"/>
        <v>0</v>
      </c>
      <c r="AA279" s="153">
        <f t="shared" si="72"/>
        <v>0</v>
      </c>
      <c r="AB279" s="153">
        <f t="shared" si="73"/>
        <v>0</v>
      </c>
      <c r="AC279" s="153">
        <f t="shared" si="74"/>
        <v>0</v>
      </c>
    </row>
    <row r="280" spans="1:29" x14ac:dyDescent="0.25">
      <c r="A280" s="58">
        <v>147</v>
      </c>
      <c r="B280" s="57" t="s">
        <v>1216</v>
      </c>
      <c r="C280" s="150" t="s">
        <v>350</v>
      </c>
      <c r="D280" s="57" t="s">
        <v>145</v>
      </c>
      <c r="E280" s="160">
        <f>IFERROR(VLOOKUP(A280,Estimate!A:Q,17,FALSE)," ")</f>
        <v>338.8</v>
      </c>
      <c r="F280" s="164">
        <v>1</v>
      </c>
      <c r="G280" s="164">
        <v>1</v>
      </c>
      <c r="H280" s="164">
        <v>429.49</v>
      </c>
      <c r="I280" s="164">
        <v>429.49</v>
      </c>
      <c r="J280" s="164">
        <v>429.49</v>
      </c>
      <c r="L280" s="195">
        <f t="shared" si="64"/>
        <v>0</v>
      </c>
      <c r="N280" s="195">
        <f t="shared" si="65"/>
        <v>0</v>
      </c>
      <c r="P280" s="195">
        <f t="shared" si="75"/>
        <v>0</v>
      </c>
      <c r="R280" s="195">
        <f t="shared" si="75"/>
        <v>0</v>
      </c>
      <c r="T280" s="195">
        <f t="shared" si="67"/>
        <v>0</v>
      </c>
      <c r="V280" s="195">
        <f t="shared" si="68"/>
        <v>0</v>
      </c>
      <c r="W280" s="153"/>
      <c r="X280" s="153">
        <f t="shared" si="69"/>
        <v>0</v>
      </c>
      <c r="Y280" s="153">
        <f t="shared" si="70"/>
        <v>0</v>
      </c>
      <c r="Z280" s="153">
        <f t="shared" si="71"/>
        <v>0</v>
      </c>
      <c r="AA280" s="153">
        <f t="shared" si="72"/>
        <v>0</v>
      </c>
      <c r="AB280" s="153">
        <f t="shared" si="73"/>
        <v>0</v>
      </c>
      <c r="AC280" s="153">
        <f t="shared" si="74"/>
        <v>0</v>
      </c>
    </row>
    <row r="281" spans="1:29" ht="45" x14ac:dyDescent="0.25">
      <c r="A281" s="58">
        <v>148</v>
      </c>
      <c r="B281" s="57" t="s">
        <v>1231</v>
      </c>
      <c r="C281" s="150" t="s">
        <v>431</v>
      </c>
      <c r="D281" s="57" t="s">
        <v>18</v>
      </c>
      <c r="E281" s="160">
        <f>IFERROR(VLOOKUP(A281,Estimate!A:Q,17,FALSE)," ")</f>
        <v>7500</v>
      </c>
      <c r="F281" s="164">
        <v>1</v>
      </c>
      <c r="G281" s="164">
        <v>1</v>
      </c>
      <c r="H281" s="164">
        <v>9507.61</v>
      </c>
      <c r="I281" s="164">
        <v>9507.61</v>
      </c>
      <c r="J281" s="164">
        <v>9507.61</v>
      </c>
      <c r="L281" s="195">
        <f t="shared" si="64"/>
        <v>0</v>
      </c>
      <c r="N281" s="195">
        <f t="shared" si="65"/>
        <v>0</v>
      </c>
      <c r="P281" s="195">
        <f t="shared" si="75"/>
        <v>0</v>
      </c>
      <c r="R281" s="195">
        <f t="shared" si="75"/>
        <v>0</v>
      </c>
      <c r="T281" s="195">
        <f t="shared" si="67"/>
        <v>0</v>
      </c>
      <c r="V281" s="195">
        <f t="shared" si="68"/>
        <v>0</v>
      </c>
      <c r="W281" s="153"/>
      <c r="X281" s="153">
        <f t="shared" si="69"/>
        <v>0</v>
      </c>
      <c r="Y281" s="153">
        <f t="shared" si="70"/>
        <v>0</v>
      </c>
      <c r="Z281" s="153">
        <f t="shared" si="71"/>
        <v>0</v>
      </c>
      <c r="AA281" s="153">
        <f t="shared" si="72"/>
        <v>0</v>
      </c>
      <c r="AB281" s="153">
        <f t="shared" si="73"/>
        <v>0</v>
      </c>
      <c r="AC281" s="153">
        <f t="shared" si="74"/>
        <v>0</v>
      </c>
    </row>
    <row r="282" spans="1:29" x14ac:dyDescent="0.25">
      <c r="B282" s="57" t="s">
        <v>704</v>
      </c>
      <c r="C282" s="150" t="s">
        <v>682</v>
      </c>
      <c r="D282" s="57" t="s">
        <v>748</v>
      </c>
      <c r="E282" s="160" t="str">
        <f>IFERROR(VLOOKUP(A282,Estimate!A:Q,17,FALSE)," ")</f>
        <v xml:space="preserve"> </v>
      </c>
      <c r="F282" s="164" t="s">
        <v>682</v>
      </c>
      <c r="G282" s="164" t="s">
        <v>682</v>
      </c>
      <c r="H282" s="164" t="s">
        <v>682</v>
      </c>
      <c r="I282" s="164" t="s">
        <v>682</v>
      </c>
      <c r="J282" s="164" t="s">
        <v>682</v>
      </c>
      <c r="K282" s="160" t="s">
        <v>682</v>
      </c>
      <c r="L282" s="195" t="str">
        <f t="shared" si="64"/>
        <v xml:space="preserve"> </v>
      </c>
      <c r="M282" s="160" t="s">
        <v>682</v>
      </c>
      <c r="N282" s="195" t="str">
        <f t="shared" si="65"/>
        <v xml:space="preserve"> </v>
      </c>
      <c r="O282" s="160" t="s">
        <v>682</v>
      </c>
      <c r="P282" s="195" t="str">
        <f t="shared" si="75"/>
        <v xml:space="preserve"> </v>
      </c>
      <c r="Q282" s="160" t="s">
        <v>682</v>
      </c>
      <c r="R282" s="195" t="str">
        <f t="shared" si="75"/>
        <v xml:space="preserve"> </v>
      </c>
      <c r="S282" s="160" t="s">
        <v>682</v>
      </c>
      <c r="T282" s="195" t="str">
        <f t="shared" si="67"/>
        <v xml:space="preserve"> </v>
      </c>
      <c r="U282" s="160" t="s">
        <v>682</v>
      </c>
      <c r="V282" s="195" t="str">
        <f t="shared" si="68"/>
        <v xml:space="preserve"> </v>
      </c>
      <c r="W282" s="153"/>
      <c r="X282" s="153" t="str">
        <f t="shared" si="69"/>
        <v xml:space="preserve"> </v>
      </c>
      <c r="Y282" s="153" t="str">
        <f t="shared" si="70"/>
        <v xml:space="preserve"> </v>
      </c>
      <c r="Z282" s="153" t="str">
        <f t="shared" si="71"/>
        <v xml:space="preserve"> </v>
      </c>
      <c r="AA282" s="153" t="str">
        <f t="shared" si="72"/>
        <v xml:space="preserve"> </v>
      </c>
      <c r="AB282" s="153" t="str">
        <f t="shared" si="73"/>
        <v xml:space="preserve"> </v>
      </c>
      <c r="AC282" s="153" t="str">
        <f t="shared" si="74"/>
        <v xml:space="preserve"> </v>
      </c>
    </row>
    <row r="283" spans="1:29" x14ac:dyDescent="0.25">
      <c r="B283" s="57">
        <v>14</v>
      </c>
      <c r="C283" s="150" t="s">
        <v>1242</v>
      </c>
      <c r="D283" s="57" t="s">
        <v>1243</v>
      </c>
      <c r="E283" s="160" t="str">
        <f>IFERROR(VLOOKUP(A283,Estimate!A:Q,17,FALSE)," ")</f>
        <v xml:space="preserve"> </v>
      </c>
      <c r="F283" s="164">
        <v>1</v>
      </c>
      <c r="G283" s="164">
        <v>1</v>
      </c>
      <c r="H283" s="164">
        <v>10000</v>
      </c>
      <c r="I283" s="164">
        <v>10000</v>
      </c>
      <c r="J283" s="164">
        <v>10000</v>
      </c>
      <c r="L283" s="195">
        <f t="shared" si="64"/>
        <v>0</v>
      </c>
      <c r="N283" s="195">
        <f t="shared" si="65"/>
        <v>0</v>
      </c>
      <c r="P283" s="195">
        <f t="shared" si="75"/>
        <v>0</v>
      </c>
      <c r="R283" s="195">
        <f t="shared" si="75"/>
        <v>0</v>
      </c>
      <c r="T283" s="195">
        <f t="shared" si="67"/>
        <v>0</v>
      </c>
      <c r="V283" s="195">
        <f t="shared" si="68"/>
        <v>0</v>
      </c>
      <c r="W283" s="153"/>
      <c r="X283" s="153">
        <f t="shared" si="69"/>
        <v>0</v>
      </c>
      <c r="Y283" s="153">
        <f t="shared" si="70"/>
        <v>0</v>
      </c>
      <c r="Z283" s="153">
        <f t="shared" si="71"/>
        <v>0</v>
      </c>
      <c r="AA283" s="153">
        <f t="shared" si="72"/>
        <v>0</v>
      </c>
      <c r="AB283" s="153">
        <f t="shared" si="73"/>
        <v>0</v>
      </c>
      <c r="AC283" s="153">
        <f t="shared" si="74"/>
        <v>0</v>
      </c>
    </row>
    <row r="284" spans="1:29" x14ac:dyDescent="0.25">
      <c r="B284" s="196" t="s">
        <v>704</v>
      </c>
      <c r="C284" s="197" t="s">
        <v>682</v>
      </c>
      <c r="D284" s="196" t="s">
        <v>748</v>
      </c>
      <c r="E284" s="160" t="str">
        <f>IFERROR(VLOOKUP(A284,Estimate!A:Q,17,FALSE)," ")</f>
        <v xml:space="preserve"> </v>
      </c>
      <c r="F284" s="198" t="s">
        <v>682</v>
      </c>
      <c r="G284" s="198" t="s">
        <v>682</v>
      </c>
      <c r="H284" s="198" t="s">
        <v>682</v>
      </c>
      <c r="I284" s="198">
        <v>339324.58</v>
      </c>
      <c r="J284" s="198" t="s">
        <v>682</v>
      </c>
      <c r="K284" s="199" t="s">
        <v>682</v>
      </c>
      <c r="L284" s="195" t="str">
        <f t="shared" si="64"/>
        <v xml:space="preserve"> </v>
      </c>
      <c r="M284" s="199" t="s">
        <v>682</v>
      </c>
      <c r="N284" s="195" t="str">
        <f t="shared" si="65"/>
        <v xml:space="preserve"> </v>
      </c>
      <c r="O284" s="199" t="s">
        <v>682</v>
      </c>
      <c r="P284" s="195" t="str">
        <f t="shared" si="75"/>
        <v xml:space="preserve"> </v>
      </c>
      <c r="Q284" s="199" t="s">
        <v>682</v>
      </c>
      <c r="R284" s="195" t="str">
        <f t="shared" si="75"/>
        <v xml:space="preserve"> </v>
      </c>
      <c r="S284" s="199" t="s">
        <v>682</v>
      </c>
      <c r="T284" s="195" t="str">
        <f t="shared" si="67"/>
        <v xml:space="preserve"> </v>
      </c>
      <c r="U284" s="199" t="s">
        <v>682</v>
      </c>
      <c r="V284" s="195" t="str">
        <f t="shared" si="68"/>
        <v xml:space="preserve"> </v>
      </c>
      <c r="W284" s="200"/>
      <c r="X284" s="153" t="str">
        <f t="shared" si="69"/>
        <v xml:space="preserve"> </v>
      </c>
      <c r="Y284" s="153" t="str">
        <f t="shared" si="70"/>
        <v xml:space="preserve"> </v>
      </c>
      <c r="Z284" s="153" t="str">
        <f t="shared" si="71"/>
        <v xml:space="preserve"> </v>
      </c>
      <c r="AA284" s="153" t="str">
        <f t="shared" si="72"/>
        <v xml:space="preserve"> </v>
      </c>
      <c r="AB284" s="153" t="str">
        <f t="shared" si="73"/>
        <v xml:space="preserve"> </v>
      </c>
      <c r="AC284" s="153" t="str">
        <f t="shared" si="74"/>
        <v xml:space="preserve"> </v>
      </c>
    </row>
    <row r="285" spans="1:29" x14ac:dyDescent="0.25">
      <c r="B285" s="57" t="s">
        <v>682</v>
      </c>
      <c r="C285" s="150" t="s">
        <v>682</v>
      </c>
      <c r="D285" s="57" t="s">
        <v>682</v>
      </c>
      <c r="E285" s="160" t="str">
        <f>IFERROR(VLOOKUP(A285,Estimate!A:Q,17,FALSE)," ")</f>
        <v xml:space="preserve"> </v>
      </c>
      <c r="F285" s="164" t="s">
        <v>682</v>
      </c>
      <c r="G285" s="164" t="s">
        <v>682</v>
      </c>
      <c r="H285" s="164" t="s">
        <v>682</v>
      </c>
      <c r="I285" s="164" t="s">
        <v>682</v>
      </c>
      <c r="J285" s="164" t="s">
        <v>682</v>
      </c>
      <c r="K285" s="160" t="s">
        <v>682</v>
      </c>
      <c r="L285" s="195" t="str">
        <f t="shared" si="64"/>
        <v xml:space="preserve"> </v>
      </c>
      <c r="M285" s="160" t="s">
        <v>682</v>
      </c>
      <c r="N285" s="195" t="str">
        <f t="shared" si="65"/>
        <v xml:space="preserve"> </v>
      </c>
      <c r="O285" s="160" t="s">
        <v>682</v>
      </c>
      <c r="P285" s="195" t="str">
        <f t="shared" si="75"/>
        <v xml:space="preserve"> </v>
      </c>
      <c r="Q285" s="160" t="s">
        <v>682</v>
      </c>
      <c r="R285" s="195" t="str">
        <f t="shared" si="75"/>
        <v xml:space="preserve"> </v>
      </c>
      <c r="S285" s="160" t="s">
        <v>682</v>
      </c>
      <c r="T285" s="195" t="str">
        <f t="shared" si="67"/>
        <v xml:space="preserve"> </v>
      </c>
      <c r="U285" s="160" t="s">
        <v>682</v>
      </c>
      <c r="V285" s="195" t="str">
        <f t="shared" si="68"/>
        <v xml:space="preserve"> </v>
      </c>
      <c r="W285" s="153"/>
      <c r="X285" s="153" t="str">
        <f t="shared" si="69"/>
        <v xml:space="preserve"> </v>
      </c>
      <c r="Y285" s="153" t="str">
        <f t="shared" si="70"/>
        <v xml:space="preserve"> </v>
      </c>
      <c r="Z285" s="153" t="str">
        <f t="shared" si="71"/>
        <v xml:space="preserve"> </v>
      </c>
      <c r="AA285" s="153" t="str">
        <f t="shared" si="72"/>
        <v xml:space="preserve"> </v>
      </c>
      <c r="AB285" s="153" t="str">
        <f t="shared" si="73"/>
        <v xml:space="preserve"> </v>
      </c>
      <c r="AC285" s="153" t="str">
        <f t="shared" si="74"/>
        <v xml:space="preserve"> </v>
      </c>
    </row>
    <row r="286" spans="1:29" x14ac:dyDescent="0.25">
      <c r="B286" s="57" t="s">
        <v>682</v>
      </c>
      <c r="C286" s="150" t="s">
        <v>682</v>
      </c>
      <c r="D286" s="57" t="s">
        <v>682</v>
      </c>
      <c r="E286" s="160" t="str">
        <f>IFERROR(VLOOKUP(A286,Estimate!A:Q,17,FALSE)," ")</f>
        <v xml:space="preserve"> </v>
      </c>
      <c r="F286" s="164" t="s">
        <v>682</v>
      </c>
      <c r="G286" s="164" t="s">
        <v>682</v>
      </c>
      <c r="H286" s="164" t="s">
        <v>682</v>
      </c>
      <c r="I286" s="164" t="s">
        <v>682</v>
      </c>
      <c r="J286" s="164" t="s">
        <v>682</v>
      </c>
      <c r="K286" s="160" t="s">
        <v>682</v>
      </c>
      <c r="L286" s="195" t="str">
        <f t="shared" si="64"/>
        <v xml:space="preserve"> </v>
      </c>
      <c r="M286" s="160" t="s">
        <v>682</v>
      </c>
      <c r="N286" s="195" t="str">
        <f t="shared" si="65"/>
        <v xml:space="preserve"> </v>
      </c>
      <c r="O286" s="160" t="s">
        <v>682</v>
      </c>
      <c r="P286" s="195" t="str">
        <f t="shared" si="75"/>
        <v xml:space="preserve"> </v>
      </c>
      <c r="Q286" s="160" t="s">
        <v>682</v>
      </c>
      <c r="R286" s="195" t="str">
        <f t="shared" si="75"/>
        <v xml:space="preserve"> </v>
      </c>
      <c r="S286" s="160" t="s">
        <v>682</v>
      </c>
      <c r="T286" s="195" t="str">
        <f t="shared" si="67"/>
        <v xml:space="preserve"> </v>
      </c>
      <c r="U286" s="160" t="s">
        <v>682</v>
      </c>
      <c r="V286" s="195" t="str">
        <f t="shared" si="68"/>
        <v xml:space="preserve"> </v>
      </c>
      <c r="W286" s="153"/>
      <c r="X286" s="153" t="str">
        <f t="shared" si="69"/>
        <v xml:space="preserve"> </v>
      </c>
      <c r="Y286" s="153" t="str">
        <f t="shared" si="70"/>
        <v xml:space="preserve"> </v>
      </c>
      <c r="Z286" s="153" t="str">
        <f t="shared" si="71"/>
        <v xml:space="preserve"> </v>
      </c>
      <c r="AA286" s="153" t="str">
        <f t="shared" si="72"/>
        <v xml:space="preserve"> </v>
      </c>
      <c r="AB286" s="153" t="str">
        <f t="shared" si="73"/>
        <v xml:space="preserve"> </v>
      </c>
      <c r="AC286" s="153" t="str">
        <f t="shared" si="74"/>
        <v xml:space="preserve"> </v>
      </c>
    </row>
    <row r="287" spans="1:29" x14ac:dyDescent="0.25">
      <c r="B287" s="188" t="s">
        <v>682</v>
      </c>
      <c r="C287" s="189" t="s">
        <v>1268</v>
      </c>
      <c r="D287" s="190" t="s">
        <v>682</v>
      </c>
      <c r="E287" s="192" t="s">
        <v>682</v>
      </c>
      <c r="F287" s="191" t="s">
        <v>682</v>
      </c>
      <c r="G287" s="191" t="s">
        <v>682</v>
      </c>
      <c r="H287" s="191" t="s">
        <v>682</v>
      </c>
      <c r="I287" s="191" t="s">
        <v>682</v>
      </c>
      <c r="J287" s="191" t="s">
        <v>682</v>
      </c>
      <c r="K287" s="192" t="s">
        <v>682</v>
      </c>
      <c r="L287" s="193" t="s">
        <v>682</v>
      </c>
      <c r="M287" s="192" t="s">
        <v>682</v>
      </c>
      <c r="N287" s="193" t="s">
        <v>682</v>
      </c>
      <c r="O287" s="192" t="s">
        <v>682</v>
      </c>
      <c r="P287" s="193" t="s">
        <v>682</v>
      </c>
      <c r="Q287" s="192" t="s">
        <v>682</v>
      </c>
      <c r="R287" s="193" t="s">
        <v>682</v>
      </c>
      <c r="S287" s="192" t="s">
        <v>682</v>
      </c>
      <c r="T287" s="193" t="s">
        <v>682</v>
      </c>
      <c r="U287" s="192" t="s">
        <v>682</v>
      </c>
      <c r="V287" s="193" t="s">
        <v>682</v>
      </c>
      <c r="W287" s="194"/>
      <c r="X287" s="194"/>
      <c r="Y287" s="194"/>
      <c r="Z287" s="194"/>
      <c r="AA287" s="194"/>
      <c r="AB287" s="194"/>
      <c r="AC287" s="194"/>
    </row>
    <row r="288" spans="1:29" x14ac:dyDescent="0.25">
      <c r="B288" s="57" t="s">
        <v>682</v>
      </c>
      <c r="C288" s="150" t="s">
        <v>682</v>
      </c>
      <c r="D288" s="57" t="s">
        <v>682</v>
      </c>
      <c r="E288" s="160" t="str">
        <f>IFERROR(VLOOKUP(A288,Estimate!A:Q,17,FALSE)," ")</f>
        <v xml:space="preserve"> </v>
      </c>
      <c r="F288" s="164" t="s">
        <v>682</v>
      </c>
      <c r="G288" s="164" t="s">
        <v>682</v>
      </c>
      <c r="H288" s="164" t="s">
        <v>682</v>
      </c>
      <c r="I288" s="164" t="s">
        <v>682</v>
      </c>
      <c r="J288" s="164" t="s">
        <v>682</v>
      </c>
      <c r="K288" s="160" t="s">
        <v>682</v>
      </c>
      <c r="L288" s="195" t="str">
        <f t="shared" ref="L288:L296" si="76">IFERROR(K288/$G288," ")</f>
        <v xml:space="preserve"> </v>
      </c>
      <c r="M288" s="160" t="s">
        <v>682</v>
      </c>
      <c r="N288" s="195" t="str">
        <f t="shared" ref="N288:N296" si="77">IFERROR(M288/$G288," ")</f>
        <v xml:space="preserve"> </v>
      </c>
      <c r="O288" s="160" t="s">
        <v>682</v>
      </c>
      <c r="P288" s="195" t="str">
        <f t="shared" ref="P288:R296" si="78">IFERROR(O288/$G288," ")</f>
        <v xml:space="preserve"> </v>
      </c>
      <c r="Q288" s="160" t="s">
        <v>682</v>
      </c>
      <c r="R288" s="195" t="str">
        <f t="shared" si="78"/>
        <v xml:space="preserve"> </v>
      </c>
      <c r="S288" s="160" t="s">
        <v>682</v>
      </c>
      <c r="T288" s="195" t="str">
        <f t="shared" ref="T288:T296" si="79">IFERROR(S288/$G288," ")</f>
        <v xml:space="preserve"> </v>
      </c>
      <c r="U288" s="160" t="s">
        <v>682</v>
      </c>
      <c r="V288" s="195" t="str">
        <f t="shared" ref="V288:V296" si="80">IFERROR(U288/$G288," ")</f>
        <v xml:space="preserve"> </v>
      </c>
      <c r="W288" s="153"/>
      <c r="X288" s="153" t="str">
        <f t="shared" ref="X288:X296" si="81">IFERROR(K288*$H288," ")</f>
        <v xml:space="preserve"> </v>
      </c>
      <c r="Y288" s="153" t="str">
        <f t="shared" ref="Y288:Y296" si="82">IFERROR(M288*$H288," ")</f>
        <v xml:space="preserve"> </v>
      </c>
      <c r="Z288" s="153" t="str">
        <f t="shared" ref="Z288:Z296" si="83">IFERROR(O288*$H288," ")</f>
        <v xml:space="preserve"> </v>
      </c>
      <c r="AA288" s="153" t="str">
        <f t="shared" ref="AA288:AA296" si="84">IFERROR(Q288*$H288," ")</f>
        <v xml:space="preserve"> </v>
      </c>
      <c r="AB288" s="153" t="str">
        <f t="shared" ref="AB288:AB296" si="85">IFERROR(S288*$H288," ")</f>
        <v xml:space="preserve"> </v>
      </c>
      <c r="AC288" s="153" t="str">
        <f t="shared" ref="AC288:AC296" si="86">IFERROR(U288*$H288," ")</f>
        <v xml:space="preserve"> </v>
      </c>
    </row>
    <row r="289" spans="1:31" x14ac:dyDescent="0.25">
      <c r="A289" s="58">
        <v>149</v>
      </c>
      <c r="B289" s="57" t="s">
        <v>1269</v>
      </c>
      <c r="C289" s="150" t="s">
        <v>1270</v>
      </c>
      <c r="D289" s="57" t="s">
        <v>31</v>
      </c>
      <c r="E289" s="160">
        <f>IFERROR(VLOOKUP(A289,Estimate!A:Q,17,FALSE)," ")</f>
        <v>35549.910000000003</v>
      </c>
      <c r="F289" s="164">
        <v>1</v>
      </c>
      <c r="G289" s="164">
        <v>1</v>
      </c>
      <c r="H289" s="164">
        <v>47264.15</v>
      </c>
      <c r="I289" s="164">
        <v>47264.15</v>
      </c>
      <c r="J289" s="164">
        <v>47264.15</v>
      </c>
      <c r="L289" s="195">
        <f t="shared" si="76"/>
        <v>0</v>
      </c>
      <c r="N289" s="195">
        <f t="shared" si="77"/>
        <v>0</v>
      </c>
      <c r="O289" s="160">
        <v>0.23830000000000001</v>
      </c>
      <c r="P289" s="195">
        <f t="shared" si="78"/>
        <v>0.23830000000000001</v>
      </c>
      <c r="Q289" s="160">
        <v>0.23830000000000001</v>
      </c>
      <c r="R289" s="195">
        <f t="shared" si="78"/>
        <v>0.23830000000000001</v>
      </c>
      <c r="S289" s="160">
        <v>0.8</v>
      </c>
      <c r="T289" s="195">
        <f t="shared" si="79"/>
        <v>0.8</v>
      </c>
      <c r="U289" s="160">
        <v>0.8</v>
      </c>
      <c r="V289" s="195">
        <f t="shared" si="80"/>
        <v>0.8</v>
      </c>
      <c r="W289" s="153"/>
      <c r="X289" s="153">
        <f t="shared" si="81"/>
        <v>0</v>
      </c>
      <c r="Y289" s="153">
        <f t="shared" si="82"/>
        <v>0</v>
      </c>
      <c r="Z289" s="153">
        <f t="shared" si="83"/>
        <v>11263.046945</v>
      </c>
      <c r="AA289" s="153">
        <f t="shared" si="84"/>
        <v>11263.046945</v>
      </c>
      <c r="AB289" s="153">
        <f t="shared" si="85"/>
        <v>37811.32</v>
      </c>
      <c r="AC289" s="153">
        <f t="shared" si="86"/>
        <v>37811.32</v>
      </c>
    </row>
    <row r="290" spans="1:31" x14ac:dyDescent="0.25">
      <c r="A290" s="58">
        <v>150</v>
      </c>
      <c r="B290" s="57" t="s">
        <v>1271</v>
      </c>
      <c r="C290" s="150" t="s">
        <v>1272</v>
      </c>
      <c r="D290" s="57" t="s">
        <v>31</v>
      </c>
      <c r="E290" s="160">
        <f>IFERROR(VLOOKUP(A290,Estimate!A:Q,17,FALSE)," ")</f>
        <v>-416088.28219583328</v>
      </c>
      <c r="F290" s="164">
        <v>1</v>
      </c>
      <c r="G290" s="164">
        <v>1</v>
      </c>
      <c r="H290" s="164">
        <v>579577.12</v>
      </c>
      <c r="I290" s="164">
        <v>579577.12</v>
      </c>
      <c r="J290" s="164">
        <v>579577.12</v>
      </c>
      <c r="L290" s="195">
        <f t="shared" si="76"/>
        <v>0</v>
      </c>
      <c r="M290" s="160">
        <v>0.33</v>
      </c>
      <c r="N290" s="195">
        <f t="shared" si="77"/>
        <v>0.33</v>
      </c>
      <c r="O290" s="160">
        <v>0.59179999999999999</v>
      </c>
      <c r="P290" s="195">
        <f t="shared" si="78"/>
        <v>0.59179999999999999</v>
      </c>
      <c r="Q290" s="160">
        <v>0.89180000000000004</v>
      </c>
      <c r="R290" s="195">
        <f t="shared" si="78"/>
        <v>0.89180000000000004</v>
      </c>
      <c r="S290" s="160">
        <v>1</v>
      </c>
      <c r="T290" s="195">
        <f t="shared" si="79"/>
        <v>1</v>
      </c>
      <c r="U290" s="160">
        <v>1</v>
      </c>
      <c r="V290" s="195">
        <f t="shared" si="80"/>
        <v>1</v>
      </c>
      <c r="W290" s="153"/>
      <c r="X290" s="153">
        <f t="shared" si="81"/>
        <v>0</v>
      </c>
      <c r="Y290" s="153">
        <f t="shared" si="82"/>
        <v>191260.44960000002</v>
      </c>
      <c r="Z290" s="153">
        <f t="shared" si="83"/>
        <v>342993.73961599998</v>
      </c>
      <c r="AA290" s="153">
        <f t="shared" si="84"/>
        <v>516866.87561600003</v>
      </c>
      <c r="AB290" s="153">
        <f t="shared" si="85"/>
        <v>579577.12</v>
      </c>
      <c r="AC290" s="153">
        <f t="shared" si="86"/>
        <v>579577.12</v>
      </c>
    </row>
    <row r="291" spans="1:31" x14ac:dyDescent="0.25">
      <c r="A291" s="58">
        <v>161</v>
      </c>
      <c r="B291" s="57" t="s">
        <v>1273</v>
      </c>
      <c r="C291" s="150" t="s">
        <v>1274</v>
      </c>
      <c r="D291" s="57" t="s">
        <v>31</v>
      </c>
      <c r="E291" s="160">
        <f>IFERROR(VLOOKUP(A291,Estimate!A:Q,17,FALSE)," ")</f>
        <v>3300.6750000000002</v>
      </c>
      <c r="F291" s="164">
        <v>1</v>
      </c>
      <c r="G291" s="164">
        <v>1</v>
      </c>
      <c r="H291" s="164">
        <v>3992.25</v>
      </c>
      <c r="I291" s="164">
        <v>3992.25</v>
      </c>
      <c r="J291" s="164">
        <v>3992.25</v>
      </c>
      <c r="L291" s="195">
        <f t="shared" si="76"/>
        <v>0</v>
      </c>
      <c r="M291" s="160">
        <v>1</v>
      </c>
      <c r="N291" s="195">
        <f t="shared" si="77"/>
        <v>1</v>
      </c>
      <c r="O291" s="160">
        <v>1</v>
      </c>
      <c r="P291" s="195">
        <f t="shared" si="78"/>
        <v>1</v>
      </c>
      <c r="Q291" s="160">
        <v>1</v>
      </c>
      <c r="R291" s="195">
        <f t="shared" si="78"/>
        <v>1</v>
      </c>
      <c r="S291" s="160">
        <v>1</v>
      </c>
      <c r="T291" s="195">
        <f t="shared" si="79"/>
        <v>1</v>
      </c>
      <c r="U291" s="160">
        <v>1</v>
      </c>
      <c r="V291" s="195">
        <f t="shared" si="80"/>
        <v>1</v>
      </c>
      <c r="W291" s="153"/>
      <c r="X291" s="153">
        <f t="shared" si="81"/>
        <v>0</v>
      </c>
      <c r="Y291" s="153">
        <f t="shared" si="82"/>
        <v>3992.25</v>
      </c>
      <c r="Z291" s="153">
        <f t="shared" si="83"/>
        <v>3992.25</v>
      </c>
      <c r="AA291" s="153">
        <f t="shared" si="84"/>
        <v>3992.25</v>
      </c>
      <c r="AB291" s="153">
        <f t="shared" si="85"/>
        <v>3992.25</v>
      </c>
      <c r="AC291" s="153">
        <f t="shared" si="86"/>
        <v>3992.25</v>
      </c>
    </row>
    <row r="292" spans="1:31" x14ac:dyDescent="0.25">
      <c r="A292" s="58">
        <v>162</v>
      </c>
      <c r="B292" s="57" t="s">
        <v>736</v>
      </c>
      <c r="C292" s="150" t="s">
        <v>697</v>
      </c>
      <c r="D292" s="57" t="s">
        <v>31</v>
      </c>
      <c r="E292" s="160">
        <f>IFERROR(VLOOKUP(A292,Estimate!A:Q,17,FALSE)," ")</f>
        <v>7048.884</v>
      </c>
      <c r="F292" s="164">
        <v>1</v>
      </c>
      <c r="G292" s="164">
        <v>1</v>
      </c>
      <c r="H292" s="164">
        <v>10555.47</v>
      </c>
      <c r="I292" s="164">
        <v>10555.47</v>
      </c>
      <c r="J292" s="164">
        <v>10555.47</v>
      </c>
      <c r="L292" s="195">
        <f t="shared" si="76"/>
        <v>0</v>
      </c>
      <c r="M292" s="160">
        <v>1</v>
      </c>
      <c r="N292" s="195">
        <f t="shared" si="77"/>
        <v>1</v>
      </c>
      <c r="O292" s="160">
        <v>1</v>
      </c>
      <c r="P292" s="195">
        <f t="shared" si="78"/>
        <v>1</v>
      </c>
      <c r="Q292" s="160">
        <v>1</v>
      </c>
      <c r="R292" s="195">
        <f t="shared" si="78"/>
        <v>1</v>
      </c>
      <c r="S292" s="160">
        <v>1</v>
      </c>
      <c r="T292" s="195">
        <f t="shared" si="79"/>
        <v>1</v>
      </c>
      <c r="U292" s="160">
        <v>1</v>
      </c>
      <c r="V292" s="195">
        <f t="shared" si="80"/>
        <v>1</v>
      </c>
      <c r="W292" s="153"/>
      <c r="X292" s="153">
        <f t="shared" si="81"/>
        <v>0</v>
      </c>
      <c r="Y292" s="153">
        <f t="shared" si="82"/>
        <v>10555.47</v>
      </c>
      <c r="Z292" s="153">
        <f t="shared" si="83"/>
        <v>10555.47</v>
      </c>
      <c r="AA292" s="153">
        <f t="shared" si="84"/>
        <v>10555.47</v>
      </c>
      <c r="AB292" s="153">
        <f t="shared" si="85"/>
        <v>10555.47</v>
      </c>
      <c r="AC292" s="153">
        <f t="shared" si="86"/>
        <v>10555.47</v>
      </c>
    </row>
    <row r="293" spans="1:31" x14ac:dyDescent="0.25">
      <c r="A293" s="58">
        <v>165</v>
      </c>
      <c r="B293" s="57" t="s">
        <v>1275</v>
      </c>
      <c r="C293" s="150" t="s">
        <v>1276</v>
      </c>
      <c r="D293" s="57" t="s">
        <v>100</v>
      </c>
      <c r="E293" s="160">
        <f>IFERROR(VLOOKUP(A293,Estimate!A:Q,17,FALSE)," ")</f>
        <v>8872.9599999999991</v>
      </c>
      <c r="F293" s="164">
        <v>32</v>
      </c>
      <c r="G293" s="164">
        <v>32</v>
      </c>
      <c r="H293" s="164">
        <v>406.42</v>
      </c>
      <c r="I293" s="164">
        <v>13005.44</v>
      </c>
      <c r="J293" s="164">
        <v>13005.44</v>
      </c>
      <c r="L293" s="195">
        <f t="shared" si="76"/>
        <v>0</v>
      </c>
      <c r="N293" s="195">
        <f t="shared" si="77"/>
        <v>0</v>
      </c>
      <c r="P293" s="195">
        <f t="shared" si="78"/>
        <v>0</v>
      </c>
      <c r="R293" s="195">
        <f t="shared" si="78"/>
        <v>0</v>
      </c>
      <c r="S293" s="160">
        <v>32</v>
      </c>
      <c r="T293" s="195">
        <f t="shared" si="79"/>
        <v>1</v>
      </c>
      <c r="U293" s="160">
        <v>32</v>
      </c>
      <c r="V293" s="195">
        <f t="shared" si="80"/>
        <v>1</v>
      </c>
      <c r="W293" s="153"/>
      <c r="X293" s="153">
        <f t="shared" si="81"/>
        <v>0</v>
      </c>
      <c r="Y293" s="153">
        <f t="shared" si="82"/>
        <v>0</v>
      </c>
      <c r="Z293" s="153">
        <f t="shared" si="83"/>
        <v>0</v>
      </c>
      <c r="AA293" s="153">
        <f t="shared" si="84"/>
        <v>0</v>
      </c>
      <c r="AB293" s="153">
        <f t="shared" si="85"/>
        <v>13005.44</v>
      </c>
      <c r="AC293" s="153">
        <f t="shared" si="86"/>
        <v>13005.44</v>
      </c>
    </row>
    <row r="294" spans="1:31" ht="30" x14ac:dyDescent="0.25">
      <c r="A294" s="58">
        <v>166</v>
      </c>
      <c r="B294" s="57" t="s">
        <v>1277</v>
      </c>
      <c r="C294" s="150" t="s">
        <v>701</v>
      </c>
      <c r="D294" s="57" t="s">
        <v>100</v>
      </c>
      <c r="E294" s="160">
        <f>IFERROR(VLOOKUP(A294,Estimate!A:Q,17,FALSE)," ")</f>
        <v>4408.7519999999995</v>
      </c>
      <c r="F294" s="164">
        <v>15.9</v>
      </c>
      <c r="G294" s="164">
        <v>15.9</v>
      </c>
      <c r="H294" s="164">
        <v>313.14999999999998</v>
      </c>
      <c r="I294" s="164">
        <v>4979.09</v>
      </c>
      <c r="J294" s="164">
        <v>4979.085</v>
      </c>
      <c r="L294" s="195">
        <f t="shared" si="76"/>
        <v>0</v>
      </c>
      <c r="N294" s="195">
        <f t="shared" si="77"/>
        <v>0</v>
      </c>
      <c r="P294" s="195">
        <f t="shared" si="78"/>
        <v>0</v>
      </c>
      <c r="R294" s="195">
        <f t="shared" si="78"/>
        <v>0</v>
      </c>
      <c r="S294" s="160">
        <v>15.9</v>
      </c>
      <c r="T294" s="195">
        <f t="shared" si="79"/>
        <v>1</v>
      </c>
      <c r="U294" s="160">
        <v>15.9</v>
      </c>
      <c r="V294" s="195">
        <f t="shared" si="80"/>
        <v>1</v>
      </c>
      <c r="W294" s="153"/>
      <c r="X294" s="153">
        <f t="shared" si="81"/>
        <v>0</v>
      </c>
      <c r="Y294" s="153">
        <f t="shared" si="82"/>
        <v>0</v>
      </c>
      <c r="Z294" s="153">
        <f t="shared" si="83"/>
        <v>0</v>
      </c>
      <c r="AA294" s="153">
        <f t="shared" si="84"/>
        <v>0</v>
      </c>
      <c r="AB294" s="153">
        <f t="shared" si="85"/>
        <v>4979.085</v>
      </c>
      <c r="AC294" s="153">
        <f t="shared" si="86"/>
        <v>4979.085</v>
      </c>
    </row>
    <row r="295" spans="1:31" ht="30" x14ac:dyDescent="0.25">
      <c r="A295" s="58">
        <v>167</v>
      </c>
      <c r="B295" s="57" t="s">
        <v>1278</v>
      </c>
      <c r="C295" s="150" t="s">
        <v>703</v>
      </c>
      <c r="D295" s="57" t="s">
        <v>100</v>
      </c>
      <c r="E295" s="160">
        <f>IFERROR(VLOOKUP(A295,Estimate!A:Q,17,FALSE)," ")</f>
        <v>9704.7999999999993</v>
      </c>
      <c r="F295" s="164">
        <v>35</v>
      </c>
      <c r="G295" s="164">
        <v>35</v>
      </c>
      <c r="H295" s="164">
        <v>313.14999999999998</v>
      </c>
      <c r="I295" s="164">
        <v>10960.25</v>
      </c>
      <c r="J295" s="164">
        <v>10960.25</v>
      </c>
      <c r="L295" s="195">
        <f t="shared" si="76"/>
        <v>0</v>
      </c>
      <c r="N295" s="195">
        <f t="shared" si="77"/>
        <v>0</v>
      </c>
      <c r="P295" s="195">
        <f t="shared" si="78"/>
        <v>0</v>
      </c>
      <c r="R295" s="195">
        <f t="shared" si="78"/>
        <v>0</v>
      </c>
      <c r="S295" s="160">
        <v>35</v>
      </c>
      <c r="T295" s="195">
        <f t="shared" si="79"/>
        <v>1</v>
      </c>
      <c r="U295" s="160">
        <v>35</v>
      </c>
      <c r="V295" s="195">
        <f t="shared" si="80"/>
        <v>1</v>
      </c>
      <c r="W295" s="153"/>
      <c r="X295" s="153">
        <f t="shared" si="81"/>
        <v>0</v>
      </c>
      <c r="Y295" s="153">
        <f t="shared" si="82"/>
        <v>0</v>
      </c>
      <c r="Z295" s="153">
        <f t="shared" si="83"/>
        <v>0</v>
      </c>
      <c r="AA295" s="153">
        <f t="shared" si="84"/>
        <v>0</v>
      </c>
      <c r="AB295" s="153">
        <f t="shared" si="85"/>
        <v>10960.25</v>
      </c>
      <c r="AC295" s="153">
        <f t="shared" si="86"/>
        <v>10960.25</v>
      </c>
    </row>
    <row r="296" spans="1:31" x14ac:dyDescent="0.25">
      <c r="A296" s="58">
        <v>168</v>
      </c>
      <c r="B296" s="57" t="s">
        <v>741</v>
      </c>
      <c r="C296" s="57" t="s">
        <v>705</v>
      </c>
      <c r="D296" s="164" t="s">
        <v>109</v>
      </c>
      <c r="E296" s="160">
        <f>IFERROR(VLOOKUP(A296,Estimate!A:Q,17,FALSE)," ")</f>
        <v>22336.223165113461</v>
      </c>
      <c r="F296" s="164">
        <v>3628</v>
      </c>
      <c r="G296" s="164">
        <v>3628</v>
      </c>
      <c r="H296" s="164">
        <v>25.4</v>
      </c>
      <c r="I296" s="57">
        <f>G296*H296</f>
        <v>92151.2</v>
      </c>
      <c r="J296" s="164">
        <v>92151.2</v>
      </c>
      <c r="L296" s="195">
        <f t="shared" si="76"/>
        <v>0</v>
      </c>
      <c r="N296" s="195">
        <f t="shared" si="77"/>
        <v>0</v>
      </c>
      <c r="P296" s="195">
        <f t="shared" si="78"/>
        <v>0</v>
      </c>
      <c r="R296" s="195">
        <f t="shared" si="78"/>
        <v>0</v>
      </c>
      <c r="T296" s="195">
        <f t="shared" si="79"/>
        <v>0</v>
      </c>
      <c r="U296" s="160">
        <v>3628</v>
      </c>
      <c r="V296" s="195">
        <f t="shared" si="80"/>
        <v>1</v>
      </c>
      <c r="W296" s="153"/>
      <c r="X296" s="153">
        <f t="shared" si="81"/>
        <v>0</v>
      </c>
      <c r="Y296" s="153">
        <f t="shared" si="82"/>
        <v>0</v>
      </c>
      <c r="Z296" s="153">
        <f t="shared" si="83"/>
        <v>0</v>
      </c>
      <c r="AA296" s="153">
        <f t="shared" si="84"/>
        <v>0</v>
      </c>
      <c r="AB296" s="153">
        <f t="shared" si="85"/>
        <v>0</v>
      </c>
      <c r="AC296" s="153">
        <f t="shared" si="86"/>
        <v>92151.2</v>
      </c>
      <c r="AD296" s="57" t="s">
        <v>682</v>
      </c>
      <c r="AE296" s="57" t="s">
        <v>682</v>
      </c>
    </row>
    <row r="297" spans="1:31" x14ac:dyDescent="0.25">
      <c r="B297" s="57" t="s">
        <v>682</v>
      </c>
      <c r="C297" s="150" t="s">
        <v>682</v>
      </c>
      <c r="D297" s="57" t="s">
        <v>682</v>
      </c>
      <c r="F297" s="164" t="s">
        <v>682</v>
      </c>
      <c r="G297" s="164" t="s">
        <v>682</v>
      </c>
      <c r="H297" s="164" t="s">
        <v>682</v>
      </c>
      <c r="I297" s="164" t="s">
        <v>682</v>
      </c>
      <c r="J297" s="164" t="s">
        <v>682</v>
      </c>
      <c r="K297" s="160" t="s">
        <v>682</v>
      </c>
      <c r="M297" s="160" t="s">
        <v>682</v>
      </c>
      <c r="O297" s="160" t="s">
        <v>682</v>
      </c>
      <c r="Q297" s="160" t="s">
        <v>682</v>
      </c>
      <c r="S297" s="160" t="s">
        <v>682</v>
      </c>
      <c r="U297" s="160" t="s">
        <v>682</v>
      </c>
      <c r="W297" s="153"/>
      <c r="X297" s="153"/>
      <c r="Y297" s="153"/>
      <c r="Z297" s="153"/>
      <c r="AA297" s="153"/>
      <c r="AB297" s="153"/>
      <c r="AC297" s="164"/>
    </row>
    <row r="298" spans="1:31" x14ac:dyDescent="0.25">
      <c r="B298" s="177" t="s">
        <v>682</v>
      </c>
      <c r="C298" s="176" t="s">
        <v>1279</v>
      </c>
      <c r="D298" s="177" t="s">
        <v>682</v>
      </c>
      <c r="E298" s="201">
        <f>SUM(E6:E296)</f>
        <v>1309549.2003124887</v>
      </c>
      <c r="F298" s="179" t="s">
        <v>682</v>
      </c>
      <c r="G298" s="179" t="s">
        <v>682</v>
      </c>
      <c r="H298" s="179" t="s">
        <v>682</v>
      </c>
      <c r="I298" s="179">
        <v>2672285.6549999998</v>
      </c>
      <c r="J298" s="179" t="s">
        <v>682</v>
      </c>
      <c r="K298" s="201" t="s">
        <v>682</v>
      </c>
      <c r="L298" s="202"/>
      <c r="M298" s="201" t="s">
        <v>682</v>
      </c>
      <c r="N298" s="202"/>
      <c r="O298" s="201" t="s">
        <v>682</v>
      </c>
      <c r="P298" s="202"/>
      <c r="Q298" s="201" t="s">
        <v>682</v>
      </c>
      <c r="R298" s="202"/>
      <c r="S298" s="201" t="s">
        <v>682</v>
      </c>
      <c r="T298" s="202"/>
      <c r="U298" s="201" t="s">
        <v>682</v>
      </c>
      <c r="V298" s="202"/>
      <c r="W298" s="178"/>
      <c r="X298" s="178">
        <f t="shared" ref="X298:AC298" si="87">SUM(X6:X296)</f>
        <v>124170.47980000003</v>
      </c>
      <c r="Y298" s="178">
        <f t="shared" si="87"/>
        <v>704783.61840000004</v>
      </c>
      <c r="Z298" s="178">
        <f t="shared" si="87"/>
        <v>999735.8703610003</v>
      </c>
      <c r="AA298" s="178">
        <f t="shared" si="87"/>
        <v>1197281.5563610003</v>
      </c>
      <c r="AB298" s="178">
        <f t="shared" si="87"/>
        <v>1550994.3562999999</v>
      </c>
      <c r="AC298" s="178">
        <f t="shared" si="87"/>
        <v>1652653.1662999999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CF764-1016-484D-9D72-46E07869D9B7}">
  <dimension ref="A1:BE1388"/>
  <sheetViews>
    <sheetView tabSelected="1" topLeftCell="A26" zoomScale="85" zoomScaleNormal="85" workbookViewId="0">
      <selection activeCell="I58" sqref="I58"/>
    </sheetView>
  </sheetViews>
  <sheetFormatPr defaultColWidth="9.140625" defaultRowHeight="15" x14ac:dyDescent="0.25"/>
  <cols>
    <col min="1" max="1" width="13.28515625" style="233" bestFit="1" customWidth="1"/>
    <col min="2" max="2" width="48.42578125" style="233" customWidth="1"/>
    <col min="3" max="3" width="13.28515625" style="233" customWidth="1"/>
    <col min="4" max="4" width="9.140625" style="58"/>
    <col min="5" max="5" width="17.140625" style="234" bestFit="1" customWidth="1"/>
    <col min="6" max="6" width="9.28515625" style="241" bestFit="1" customWidth="1"/>
    <col min="7" max="7" width="12.85546875" style="223" bestFit="1" customWidth="1"/>
    <col min="8" max="8" width="11.5703125" style="224" bestFit="1" customWidth="1"/>
    <col min="9" max="9" width="10.85546875" style="57" customWidth="1"/>
    <col min="10" max="10" width="12.85546875" style="160" bestFit="1" customWidth="1"/>
    <col min="11" max="11" width="12.140625" style="160" customWidth="1"/>
    <col min="12" max="12" width="11.5703125" style="160" customWidth="1"/>
    <col min="13" max="13" width="13" style="160" bestFit="1" customWidth="1"/>
    <col min="14" max="14" width="14.140625" style="160" bestFit="1" customWidth="1"/>
    <col min="15" max="15" width="15.28515625" style="160" bestFit="1" customWidth="1"/>
    <col min="16" max="19" width="11.5703125" style="160" customWidth="1"/>
    <col min="20" max="20" width="12.5703125" style="160" bestFit="1" customWidth="1"/>
    <col min="21" max="23" width="11.5703125" style="160" customWidth="1"/>
    <col min="24" max="24" width="12.5703125" style="160" bestFit="1" customWidth="1"/>
    <col min="25" max="25" width="13" style="160" bestFit="1" customWidth="1"/>
    <col min="26" max="28" width="11.5703125" style="160" customWidth="1"/>
    <col min="29" max="29" width="13" style="160" bestFit="1" customWidth="1"/>
    <col min="30" max="30" width="10.5703125" style="160" bestFit="1" customWidth="1"/>
    <col min="31" max="31" width="13.28515625" style="160" bestFit="1" customWidth="1"/>
    <col min="32" max="32" width="10.5703125" style="160" bestFit="1" customWidth="1"/>
    <col min="33" max="34" width="13.28515625" style="160" bestFit="1" customWidth="1"/>
    <col min="35" max="35" width="10.5703125" style="160" bestFit="1" customWidth="1"/>
    <col min="36" max="36" width="13.28515625" style="160" bestFit="1" customWidth="1"/>
    <col min="37" max="37" width="10.5703125" style="160" bestFit="1" customWidth="1"/>
    <col min="38" max="39" width="13.28515625" style="160" bestFit="1" customWidth="1"/>
    <col min="40" max="40" width="10.5703125" style="160" bestFit="1" customWidth="1"/>
    <col min="41" max="41" width="13.28515625" style="160" bestFit="1" customWidth="1"/>
    <col min="42" max="42" width="10.5703125" style="160" bestFit="1" customWidth="1"/>
    <col min="43" max="44" width="13.28515625" style="160" bestFit="1" customWidth="1"/>
    <col min="45" max="45" width="10.5703125" style="160" bestFit="1" customWidth="1"/>
    <col min="46" max="46" width="13.28515625" style="160" bestFit="1" customWidth="1"/>
    <col min="47" max="47" width="10.5703125" style="160" bestFit="1" customWidth="1"/>
    <col min="48" max="49" width="13.28515625" style="160" bestFit="1" customWidth="1"/>
    <col min="50" max="50" width="10.5703125" style="160" bestFit="1" customWidth="1"/>
    <col min="51" max="51" width="13.28515625" style="160" bestFit="1" customWidth="1"/>
    <col min="52" max="52" width="10.5703125" style="160" bestFit="1" customWidth="1"/>
    <col min="53" max="54" width="13.28515625" style="160" bestFit="1" customWidth="1"/>
    <col min="55" max="55" width="12.85546875" style="204" bestFit="1" customWidth="1"/>
    <col min="56" max="56" width="11.5703125" style="57" customWidth="1"/>
    <col min="57" max="57" width="12.85546875" style="204" bestFit="1" customWidth="1"/>
    <col min="58" max="58" width="11.5703125" style="57" customWidth="1"/>
    <col min="59" max="16384" width="9.140625" style="57"/>
  </cols>
  <sheetData>
    <row r="1" spans="1:57" x14ac:dyDescent="0.25">
      <c r="A1" s="234"/>
      <c r="B1" s="241"/>
      <c r="C1" s="223"/>
      <c r="D1" s="224"/>
      <c r="E1" s="57"/>
      <c r="F1" s="57"/>
      <c r="G1" s="224"/>
      <c r="BC1" s="57"/>
      <c r="BE1" s="57"/>
    </row>
    <row r="2" spans="1:57" x14ac:dyDescent="0.25">
      <c r="A2" s="238" t="s">
        <v>474</v>
      </c>
      <c r="B2" s="239" t="s">
        <v>432</v>
      </c>
      <c r="C2" s="225" t="s">
        <v>6</v>
      </c>
      <c r="D2" s="180" t="s">
        <v>527</v>
      </c>
      <c r="E2" s="180" t="s">
        <v>1305</v>
      </c>
      <c r="F2" s="225" t="s">
        <v>1300</v>
      </c>
      <c r="G2" s="225" t="s">
        <v>1301</v>
      </c>
      <c r="H2" s="180" t="s">
        <v>1302</v>
      </c>
      <c r="I2" s="225" t="s">
        <v>1303</v>
      </c>
      <c r="J2" s="248"/>
      <c r="K2" s="253"/>
      <c r="L2" s="253">
        <v>40817</v>
      </c>
      <c r="M2" s="253"/>
      <c r="N2" s="253"/>
      <c r="O2" s="248"/>
      <c r="P2" s="253"/>
      <c r="Q2" s="253">
        <v>40848</v>
      </c>
      <c r="R2" s="253"/>
      <c r="S2" s="253"/>
      <c r="T2" s="248"/>
      <c r="U2" s="253"/>
      <c r="V2" s="253">
        <v>40878</v>
      </c>
      <c r="W2" s="253"/>
      <c r="X2" s="253"/>
      <c r="Y2" s="248"/>
      <c r="Z2" s="253"/>
      <c r="AA2" s="253">
        <v>40909</v>
      </c>
      <c r="AB2" s="253"/>
      <c r="AC2" s="253"/>
      <c r="AD2" s="248"/>
      <c r="AE2" s="253"/>
      <c r="AF2" s="253">
        <v>40940</v>
      </c>
      <c r="AG2" s="253"/>
      <c r="AH2" s="253"/>
      <c r="AI2" s="248"/>
      <c r="AJ2" s="253"/>
      <c r="AK2" s="253">
        <v>40969</v>
      </c>
      <c r="AL2" s="253"/>
      <c r="AM2" s="253"/>
      <c r="AN2" s="248"/>
      <c r="AO2" s="253"/>
      <c r="AP2" s="253">
        <v>41000</v>
      </c>
      <c r="AQ2" s="253"/>
      <c r="AR2" s="253"/>
      <c r="AS2" s="248"/>
      <c r="AT2" s="253"/>
      <c r="AU2" s="253">
        <v>41030</v>
      </c>
      <c r="AV2" s="253"/>
      <c r="AW2" s="253"/>
      <c r="AX2" s="248"/>
      <c r="AY2" s="253"/>
      <c r="AZ2" s="253">
        <v>41061</v>
      </c>
      <c r="BA2" s="253"/>
      <c r="BB2" s="254"/>
      <c r="BC2" s="57"/>
      <c r="BE2" s="57"/>
    </row>
    <row r="3" spans="1:57" s="58" customFormat="1" x14ac:dyDescent="0.25">
      <c r="A3" s="238"/>
      <c r="B3" s="240"/>
      <c r="C3" s="225" t="s">
        <v>1304</v>
      </c>
      <c r="D3" s="180"/>
      <c r="E3" s="180" t="s">
        <v>1305</v>
      </c>
      <c r="F3" s="225"/>
      <c r="G3" s="225" t="s">
        <v>1306</v>
      </c>
      <c r="H3" s="180"/>
      <c r="I3" s="225"/>
      <c r="J3" s="249" t="s">
        <v>1307</v>
      </c>
      <c r="K3" s="255" t="s">
        <v>1308</v>
      </c>
      <c r="L3" s="255" t="s">
        <v>1306</v>
      </c>
      <c r="M3" s="255" t="s">
        <v>1309</v>
      </c>
      <c r="N3" s="255" t="s">
        <v>1310</v>
      </c>
      <c r="O3" s="249" t="s">
        <v>1307</v>
      </c>
      <c r="P3" s="255" t="s">
        <v>1308</v>
      </c>
      <c r="Q3" s="255" t="s">
        <v>1306</v>
      </c>
      <c r="R3" s="255" t="s">
        <v>1309</v>
      </c>
      <c r="S3" s="255" t="s">
        <v>1310</v>
      </c>
      <c r="T3" s="249" t="s">
        <v>1307</v>
      </c>
      <c r="U3" s="255" t="s">
        <v>1308</v>
      </c>
      <c r="V3" s="255" t="s">
        <v>1306</v>
      </c>
      <c r="W3" s="255" t="s">
        <v>1309</v>
      </c>
      <c r="X3" s="255" t="s">
        <v>1310</v>
      </c>
      <c r="Y3" s="249" t="s">
        <v>1307</v>
      </c>
      <c r="Z3" s="255" t="s">
        <v>1308</v>
      </c>
      <c r="AA3" s="255" t="s">
        <v>1306</v>
      </c>
      <c r="AB3" s="255" t="s">
        <v>1309</v>
      </c>
      <c r="AC3" s="255" t="s">
        <v>1310</v>
      </c>
      <c r="AD3" s="249" t="s">
        <v>1307</v>
      </c>
      <c r="AE3" s="255" t="s">
        <v>1308</v>
      </c>
      <c r="AF3" s="255" t="s">
        <v>1306</v>
      </c>
      <c r="AG3" s="255" t="s">
        <v>1309</v>
      </c>
      <c r="AH3" s="255" t="s">
        <v>1310</v>
      </c>
      <c r="AI3" s="249" t="s">
        <v>1307</v>
      </c>
      <c r="AJ3" s="255" t="s">
        <v>1308</v>
      </c>
      <c r="AK3" s="255" t="s">
        <v>1306</v>
      </c>
      <c r="AL3" s="255" t="s">
        <v>1309</v>
      </c>
      <c r="AM3" s="255" t="s">
        <v>1310</v>
      </c>
      <c r="AN3" s="249" t="s">
        <v>1307</v>
      </c>
      <c r="AO3" s="255" t="s">
        <v>1308</v>
      </c>
      <c r="AP3" s="255" t="s">
        <v>1306</v>
      </c>
      <c r="AQ3" s="255" t="s">
        <v>1309</v>
      </c>
      <c r="AR3" s="255" t="s">
        <v>1310</v>
      </c>
      <c r="AS3" s="249" t="s">
        <v>1307</v>
      </c>
      <c r="AT3" s="255" t="s">
        <v>1308</v>
      </c>
      <c r="AU3" s="255" t="s">
        <v>1306</v>
      </c>
      <c r="AV3" s="255" t="s">
        <v>1309</v>
      </c>
      <c r="AW3" s="255" t="s">
        <v>1310</v>
      </c>
      <c r="AX3" s="249" t="s">
        <v>1307</v>
      </c>
      <c r="AY3" s="255" t="s">
        <v>1308</v>
      </c>
      <c r="AZ3" s="255" t="s">
        <v>1306</v>
      </c>
      <c r="BA3" s="255" t="s">
        <v>1309</v>
      </c>
      <c r="BB3" s="256" t="s">
        <v>1310</v>
      </c>
    </row>
    <row r="4" spans="1:57" x14ac:dyDescent="0.25">
      <c r="A4" s="234">
        <v>11</v>
      </c>
      <c r="B4" s="241" t="s">
        <v>1311</v>
      </c>
      <c r="C4" s="224">
        <v>377</v>
      </c>
      <c r="D4" s="57" t="s">
        <v>1312</v>
      </c>
      <c r="E4" s="20">
        <v>54760</v>
      </c>
      <c r="F4" s="224">
        <v>145.25198938992042</v>
      </c>
      <c r="G4" s="224">
        <v>477</v>
      </c>
      <c r="H4" s="20">
        <v>71680.95</v>
      </c>
      <c r="I4" s="224">
        <v>150.27452830188679</v>
      </c>
      <c r="J4" s="250">
        <v>24</v>
      </c>
      <c r="K4" s="160">
        <v>3486.0477453580902</v>
      </c>
      <c r="L4" s="160">
        <v>0</v>
      </c>
      <c r="M4" s="160">
        <v>0</v>
      </c>
      <c r="N4" s="160">
        <v>0</v>
      </c>
      <c r="O4" s="250">
        <v>74</v>
      </c>
      <c r="P4" s="160">
        <v>10748.647214854111</v>
      </c>
      <c r="Q4" s="160">
        <v>121</v>
      </c>
      <c r="R4" s="160">
        <v>27510.7</v>
      </c>
      <c r="S4" s="160">
        <v>13890.90146750524</v>
      </c>
      <c r="T4" s="250">
        <v>150</v>
      </c>
      <c r="U4" s="160">
        <v>21787.798408488063</v>
      </c>
      <c r="V4" s="160">
        <v>330</v>
      </c>
      <c r="W4" s="160">
        <v>49553.2</v>
      </c>
      <c r="X4" s="160">
        <v>37884.276729559744</v>
      </c>
      <c r="Y4" s="250">
        <v>250</v>
      </c>
      <c r="Z4" s="160">
        <v>36312.997347480108</v>
      </c>
      <c r="AA4" s="160">
        <v>423</v>
      </c>
      <c r="AB4" s="160">
        <v>63518.2</v>
      </c>
      <c r="AC4" s="160">
        <v>48560.754716981137</v>
      </c>
      <c r="AD4" s="250">
        <v>325</v>
      </c>
      <c r="AE4" s="160">
        <v>47206.896551724138</v>
      </c>
      <c r="AF4" s="160">
        <v>423</v>
      </c>
      <c r="AG4" s="160">
        <v>63518.2</v>
      </c>
      <c r="AH4" s="160">
        <v>48560.754716981137</v>
      </c>
      <c r="AI4" s="250">
        <v>377</v>
      </c>
      <c r="AJ4" s="160">
        <v>54760</v>
      </c>
      <c r="AK4" s="160">
        <v>423</v>
      </c>
      <c r="AL4" s="160">
        <v>63518.2</v>
      </c>
      <c r="AM4" s="160">
        <v>48560.754716981137</v>
      </c>
      <c r="AN4" s="250">
        <v>377</v>
      </c>
      <c r="AO4" s="160">
        <v>54760</v>
      </c>
      <c r="AP4" s="160">
        <v>423</v>
      </c>
      <c r="AQ4" s="160">
        <v>63518.2</v>
      </c>
      <c r="AR4" s="160">
        <v>48560.754716981137</v>
      </c>
      <c r="AS4" s="250">
        <v>377</v>
      </c>
      <c r="AT4" s="160">
        <v>54760</v>
      </c>
      <c r="AU4" s="160">
        <v>423</v>
      </c>
      <c r="AV4" s="160">
        <v>63518.2</v>
      </c>
      <c r="AW4" s="160">
        <v>48560.754716981137</v>
      </c>
      <c r="AX4" s="250">
        <v>377</v>
      </c>
      <c r="AY4" s="160">
        <v>54760</v>
      </c>
      <c r="AZ4" s="160">
        <v>477</v>
      </c>
      <c r="BA4" s="160">
        <v>71680.95</v>
      </c>
      <c r="BB4" s="257">
        <v>54760</v>
      </c>
      <c r="BC4" s="57"/>
      <c r="BD4" s="204"/>
      <c r="BE4" s="57"/>
    </row>
    <row r="5" spans="1:57" x14ac:dyDescent="0.25">
      <c r="A5" s="234">
        <v>13</v>
      </c>
      <c r="B5" s="241" t="s">
        <v>1313</v>
      </c>
      <c r="C5" s="224">
        <v>1</v>
      </c>
      <c r="D5" s="57" t="s">
        <v>676</v>
      </c>
      <c r="E5" s="20">
        <v>37361.666666666672</v>
      </c>
      <c r="F5" s="224">
        <v>37361.666666666672</v>
      </c>
      <c r="G5" s="224">
        <v>1</v>
      </c>
      <c r="H5" s="20">
        <v>12680</v>
      </c>
      <c r="I5" s="224">
        <v>12680</v>
      </c>
      <c r="J5" s="250">
        <v>0</v>
      </c>
      <c r="K5" s="160">
        <v>0</v>
      </c>
      <c r="L5" s="160">
        <v>0</v>
      </c>
      <c r="M5" s="160">
        <v>200</v>
      </c>
      <c r="N5" s="160">
        <v>0</v>
      </c>
      <c r="O5" s="250">
        <v>0.2</v>
      </c>
      <c r="P5" s="160">
        <v>7472.3333333333348</v>
      </c>
      <c r="Q5" s="160">
        <v>0</v>
      </c>
      <c r="R5" s="160">
        <v>350</v>
      </c>
      <c r="S5" s="160">
        <v>0</v>
      </c>
      <c r="T5" s="250">
        <v>0.5</v>
      </c>
      <c r="U5" s="160">
        <v>18680.833333333336</v>
      </c>
      <c r="V5" s="160">
        <v>0</v>
      </c>
      <c r="W5" s="160">
        <v>350</v>
      </c>
      <c r="X5" s="160">
        <v>0</v>
      </c>
      <c r="Y5" s="250">
        <v>0.7</v>
      </c>
      <c r="Z5" s="160">
        <v>26153.166666666668</v>
      </c>
      <c r="AA5" s="160">
        <v>0</v>
      </c>
      <c r="AB5" s="160">
        <v>350</v>
      </c>
      <c r="AC5" s="160">
        <v>0</v>
      </c>
      <c r="AD5" s="250">
        <v>1</v>
      </c>
      <c r="AE5" s="160">
        <v>37361.666666666672</v>
      </c>
      <c r="AF5" s="160">
        <v>1</v>
      </c>
      <c r="AG5" s="160">
        <v>12680</v>
      </c>
      <c r="AH5" s="160">
        <v>37361.666666666672</v>
      </c>
      <c r="AI5" s="250">
        <v>1</v>
      </c>
      <c r="AJ5" s="160">
        <v>37361.666666666672</v>
      </c>
      <c r="AK5" s="160">
        <v>1</v>
      </c>
      <c r="AL5" s="160">
        <v>12680</v>
      </c>
      <c r="AM5" s="160">
        <v>37361.666666666672</v>
      </c>
      <c r="AN5" s="250">
        <v>1</v>
      </c>
      <c r="AO5" s="160">
        <v>37361.666666666672</v>
      </c>
      <c r="AP5" s="160">
        <v>1</v>
      </c>
      <c r="AQ5" s="160">
        <v>12680</v>
      </c>
      <c r="AR5" s="160">
        <v>37361.666666666672</v>
      </c>
      <c r="AS5" s="250">
        <v>1</v>
      </c>
      <c r="AT5" s="160">
        <v>37361.666666666672</v>
      </c>
      <c r="AU5" s="160">
        <v>1</v>
      </c>
      <c r="AV5" s="160">
        <v>12680</v>
      </c>
      <c r="AW5" s="160">
        <v>37361.666666666672</v>
      </c>
      <c r="AX5" s="250">
        <v>1</v>
      </c>
      <c r="AY5" s="160">
        <v>37361.666666666672</v>
      </c>
      <c r="AZ5" s="160">
        <v>1</v>
      </c>
      <c r="BA5" s="160">
        <v>12680</v>
      </c>
      <c r="BB5" s="257">
        <v>37361.666666666672</v>
      </c>
      <c r="BC5" s="57"/>
      <c r="BD5" s="204"/>
      <c r="BE5" s="57"/>
    </row>
    <row r="6" spans="1:57" x14ac:dyDescent="0.25">
      <c r="A6" s="234">
        <v>15</v>
      </c>
      <c r="B6" s="241" t="s">
        <v>1314</v>
      </c>
      <c r="C6" s="224">
        <v>20</v>
      </c>
      <c r="D6" s="57" t="s">
        <v>1312</v>
      </c>
      <c r="E6" s="20">
        <v>6800</v>
      </c>
      <c r="F6" s="224">
        <v>340</v>
      </c>
      <c r="G6" s="224">
        <v>12</v>
      </c>
      <c r="H6" s="20">
        <v>4080</v>
      </c>
      <c r="I6" s="224">
        <v>340</v>
      </c>
      <c r="J6" s="250">
        <v>20</v>
      </c>
      <c r="K6" s="160">
        <v>6800</v>
      </c>
      <c r="L6" s="160">
        <v>3.6</v>
      </c>
      <c r="M6" s="160">
        <v>1260</v>
      </c>
      <c r="N6" s="160">
        <v>2040</v>
      </c>
      <c r="O6" s="250">
        <v>20</v>
      </c>
      <c r="P6" s="160">
        <v>6800</v>
      </c>
      <c r="Q6" s="160">
        <v>3.6</v>
      </c>
      <c r="R6" s="160">
        <v>1260</v>
      </c>
      <c r="S6" s="160">
        <v>2040</v>
      </c>
      <c r="T6" s="250">
        <v>20</v>
      </c>
      <c r="U6" s="160">
        <v>6800</v>
      </c>
      <c r="V6" s="160">
        <v>8.8000000000000007</v>
      </c>
      <c r="W6" s="160">
        <v>3010</v>
      </c>
      <c r="X6" s="160">
        <v>4986.666666666667</v>
      </c>
      <c r="Y6" s="250">
        <v>20</v>
      </c>
      <c r="Z6" s="160">
        <v>6800</v>
      </c>
      <c r="AA6" s="160">
        <v>12</v>
      </c>
      <c r="AB6" s="160">
        <v>4080</v>
      </c>
      <c r="AC6" s="160">
        <v>6800</v>
      </c>
      <c r="AD6" s="250">
        <v>20</v>
      </c>
      <c r="AE6" s="160">
        <v>6800</v>
      </c>
      <c r="AF6" s="160">
        <v>12</v>
      </c>
      <c r="AG6" s="160">
        <v>4080</v>
      </c>
      <c r="AH6" s="160">
        <v>6800</v>
      </c>
      <c r="AI6" s="250">
        <v>20</v>
      </c>
      <c r="AJ6" s="160">
        <v>6800</v>
      </c>
      <c r="AK6" s="160">
        <v>12</v>
      </c>
      <c r="AL6" s="160">
        <v>4080</v>
      </c>
      <c r="AM6" s="160">
        <v>6800</v>
      </c>
      <c r="AN6" s="250">
        <v>20</v>
      </c>
      <c r="AO6" s="160">
        <v>6800</v>
      </c>
      <c r="AP6" s="160">
        <v>12</v>
      </c>
      <c r="AQ6" s="160">
        <v>4080</v>
      </c>
      <c r="AR6" s="160">
        <v>6800</v>
      </c>
      <c r="AS6" s="250">
        <v>20</v>
      </c>
      <c r="AT6" s="160">
        <v>6800</v>
      </c>
      <c r="AU6" s="160">
        <v>12</v>
      </c>
      <c r="AV6" s="160">
        <v>4080</v>
      </c>
      <c r="AW6" s="160">
        <v>6800</v>
      </c>
      <c r="AX6" s="250">
        <v>20</v>
      </c>
      <c r="AY6" s="160">
        <v>6800</v>
      </c>
      <c r="AZ6" s="160">
        <v>12</v>
      </c>
      <c r="BA6" s="160">
        <v>4080</v>
      </c>
      <c r="BB6" s="257">
        <v>6800</v>
      </c>
      <c r="BC6" s="57"/>
      <c r="BD6" s="204"/>
      <c r="BE6" s="57"/>
    </row>
    <row r="7" spans="1:57" ht="17.25" x14ac:dyDescent="0.25">
      <c r="A7" s="234">
        <v>21</v>
      </c>
      <c r="B7" s="241" t="s">
        <v>1315</v>
      </c>
      <c r="C7" s="224">
        <v>16000</v>
      </c>
      <c r="D7" s="57" t="s">
        <v>1316</v>
      </c>
      <c r="E7" s="20">
        <v>24842.926126126127</v>
      </c>
      <c r="F7" s="224">
        <v>1.5526828828828829</v>
      </c>
      <c r="G7" s="224">
        <v>16000</v>
      </c>
      <c r="H7" s="20">
        <v>1562.9550000000002</v>
      </c>
      <c r="I7" s="224">
        <v>9.7684687500000006E-2</v>
      </c>
      <c r="J7" s="250">
        <v>2000</v>
      </c>
      <c r="K7" s="160">
        <v>3105.3657657657659</v>
      </c>
      <c r="L7" s="160">
        <v>0</v>
      </c>
      <c r="M7" s="160">
        <v>0</v>
      </c>
      <c r="N7" s="160">
        <v>0</v>
      </c>
      <c r="O7" s="250">
        <v>16000</v>
      </c>
      <c r="P7" s="160">
        <v>24842.926126126127</v>
      </c>
      <c r="Q7" s="160">
        <v>16000</v>
      </c>
      <c r="R7" s="160">
        <v>1520.0050000000001</v>
      </c>
      <c r="S7" s="160">
        <v>24842.926126126127</v>
      </c>
      <c r="T7" s="250">
        <v>16000</v>
      </c>
      <c r="U7" s="160">
        <v>24842.926126126127</v>
      </c>
      <c r="V7" s="160">
        <v>16000</v>
      </c>
      <c r="W7" s="160">
        <v>1520.0050000000001</v>
      </c>
      <c r="X7" s="160">
        <v>24842.926126126127</v>
      </c>
      <c r="Y7" s="250">
        <v>16000</v>
      </c>
      <c r="Z7" s="160">
        <v>24842.926126126127</v>
      </c>
      <c r="AA7" s="160">
        <v>16000</v>
      </c>
      <c r="AB7" s="160">
        <v>1562.9550000000002</v>
      </c>
      <c r="AC7" s="160">
        <v>24842.926126126127</v>
      </c>
      <c r="AD7" s="250">
        <v>16000</v>
      </c>
      <c r="AE7" s="160">
        <v>24842.926126126127</v>
      </c>
      <c r="AF7" s="160">
        <v>16000</v>
      </c>
      <c r="AG7" s="160">
        <v>1562.9550000000002</v>
      </c>
      <c r="AH7" s="160">
        <v>24842.926126126127</v>
      </c>
      <c r="AI7" s="250">
        <v>16000</v>
      </c>
      <c r="AJ7" s="160">
        <v>24842.926126126127</v>
      </c>
      <c r="AK7" s="160">
        <v>16000</v>
      </c>
      <c r="AL7" s="160">
        <v>1562.9550000000002</v>
      </c>
      <c r="AM7" s="160">
        <v>24842.926126126127</v>
      </c>
      <c r="AN7" s="250">
        <v>16000</v>
      </c>
      <c r="AO7" s="160">
        <v>24842.926126126127</v>
      </c>
      <c r="AP7" s="160">
        <v>16000</v>
      </c>
      <c r="AQ7" s="160">
        <v>1562.9550000000002</v>
      </c>
      <c r="AR7" s="160">
        <v>24842.926126126127</v>
      </c>
      <c r="AS7" s="250">
        <v>16000</v>
      </c>
      <c r="AT7" s="160">
        <v>24842.926126126127</v>
      </c>
      <c r="AU7" s="160">
        <v>16000</v>
      </c>
      <c r="AV7" s="160">
        <v>1562.9550000000002</v>
      </c>
      <c r="AW7" s="160">
        <v>24842.926126126127</v>
      </c>
      <c r="AX7" s="250">
        <v>16000</v>
      </c>
      <c r="AY7" s="160">
        <v>24842.926126126127</v>
      </c>
      <c r="AZ7" s="160">
        <v>16000</v>
      </c>
      <c r="BA7" s="160">
        <v>1562.9550000000002</v>
      </c>
      <c r="BB7" s="257">
        <v>24842.926126126127</v>
      </c>
      <c r="BC7" s="57"/>
      <c r="BD7" s="204"/>
      <c r="BE7" s="57"/>
    </row>
    <row r="8" spans="1:57" ht="17.25" x14ac:dyDescent="0.25">
      <c r="A8" s="234">
        <v>53</v>
      </c>
      <c r="B8" s="241" t="s">
        <v>1317</v>
      </c>
      <c r="C8" s="224">
        <v>802</v>
      </c>
      <c r="D8" s="57" t="s">
        <v>1318</v>
      </c>
      <c r="E8" s="20">
        <v>18732.096938174651</v>
      </c>
      <c r="F8" s="224">
        <v>23.356729349344953</v>
      </c>
      <c r="G8" s="224">
        <v>802</v>
      </c>
      <c r="H8" s="20">
        <v>3969.3499999999995</v>
      </c>
      <c r="I8" s="224">
        <v>4.9493142144638398</v>
      </c>
      <c r="J8" s="250">
        <v>0</v>
      </c>
      <c r="K8" s="160">
        <v>0</v>
      </c>
      <c r="L8" s="160">
        <v>0</v>
      </c>
      <c r="M8" s="160">
        <v>0</v>
      </c>
      <c r="N8" s="160">
        <v>0</v>
      </c>
      <c r="O8" s="250">
        <v>600</v>
      </c>
      <c r="P8" s="160">
        <v>14014.037609606972</v>
      </c>
      <c r="Q8" s="160">
        <v>500</v>
      </c>
      <c r="R8" s="160">
        <v>2656.7749999999996</v>
      </c>
      <c r="S8" s="160">
        <v>11678.364674672475</v>
      </c>
      <c r="T8" s="250">
        <v>802</v>
      </c>
      <c r="U8" s="160">
        <v>18732.096938174651</v>
      </c>
      <c r="V8" s="160">
        <v>802</v>
      </c>
      <c r="W8" s="160">
        <v>3969.3499999999995</v>
      </c>
      <c r="X8" s="160">
        <v>18732.096938174651</v>
      </c>
      <c r="Y8" s="250">
        <v>802</v>
      </c>
      <c r="Z8" s="160">
        <v>18732.096938174651</v>
      </c>
      <c r="AA8" s="160">
        <v>802</v>
      </c>
      <c r="AB8" s="160">
        <v>3969.3499999999995</v>
      </c>
      <c r="AC8" s="160">
        <v>18732.096938174651</v>
      </c>
      <c r="AD8" s="250">
        <v>802</v>
      </c>
      <c r="AE8" s="160">
        <v>18732.096938174651</v>
      </c>
      <c r="AF8" s="160">
        <v>802</v>
      </c>
      <c r="AG8" s="160">
        <v>3969.3499999999995</v>
      </c>
      <c r="AH8" s="160">
        <v>18732.096938174651</v>
      </c>
      <c r="AI8" s="250">
        <v>802</v>
      </c>
      <c r="AJ8" s="160">
        <v>18732.096938174651</v>
      </c>
      <c r="AK8" s="160">
        <v>802</v>
      </c>
      <c r="AL8" s="160">
        <v>3969.3499999999995</v>
      </c>
      <c r="AM8" s="160">
        <v>18732.096938174651</v>
      </c>
      <c r="AN8" s="250">
        <v>802</v>
      </c>
      <c r="AO8" s="160">
        <v>18732.096938174651</v>
      </c>
      <c r="AP8" s="160">
        <v>802</v>
      </c>
      <c r="AQ8" s="160">
        <v>3969.3499999999995</v>
      </c>
      <c r="AR8" s="160">
        <v>18732.096938174651</v>
      </c>
      <c r="AS8" s="250">
        <v>802</v>
      </c>
      <c r="AT8" s="160">
        <v>18732.096938174651</v>
      </c>
      <c r="AU8" s="160">
        <v>802</v>
      </c>
      <c r="AV8" s="160">
        <v>3969.3499999999995</v>
      </c>
      <c r="AW8" s="160">
        <v>18732.096938174651</v>
      </c>
      <c r="AX8" s="250">
        <v>802</v>
      </c>
      <c r="AY8" s="160">
        <v>18732.096938174651</v>
      </c>
      <c r="AZ8" s="160">
        <v>802</v>
      </c>
      <c r="BA8" s="160">
        <v>3969.3499999999995</v>
      </c>
      <c r="BB8" s="257">
        <v>18732.096938174651</v>
      </c>
      <c r="BC8" s="57"/>
      <c r="BD8" s="204"/>
      <c r="BE8" s="57"/>
    </row>
    <row r="9" spans="1:57" ht="17.25" x14ac:dyDescent="0.25">
      <c r="A9" s="234">
        <v>57</v>
      </c>
      <c r="B9" s="241" t="s">
        <v>1319</v>
      </c>
      <c r="C9" s="224">
        <v>153.5</v>
      </c>
      <c r="D9" s="57" t="s">
        <v>1318</v>
      </c>
      <c r="E9" s="20">
        <v>9587.6749999999993</v>
      </c>
      <c r="F9" s="224">
        <v>62.460423452768723</v>
      </c>
      <c r="G9" s="224">
        <v>153</v>
      </c>
      <c r="H9" s="20">
        <v>4381.2250000000004</v>
      </c>
      <c r="I9" s="224">
        <v>28.635457516339873</v>
      </c>
      <c r="J9" s="250">
        <v>0</v>
      </c>
      <c r="K9" s="160">
        <v>0</v>
      </c>
      <c r="L9" s="160">
        <v>0</v>
      </c>
      <c r="M9" s="160">
        <v>0</v>
      </c>
      <c r="N9" s="160">
        <v>0</v>
      </c>
      <c r="O9" s="250">
        <v>50</v>
      </c>
      <c r="P9" s="160">
        <v>3123.0211726384359</v>
      </c>
      <c r="Q9" s="160">
        <v>0</v>
      </c>
      <c r="R9" s="160">
        <v>0</v>
      </c>
      <c r="S9" s="160">
        <v>0</v>
      </c>
      <c r="T9" s="250">
        <v>153.5</v>
      </c>
      <c r="U9" s="160">
        <v>9587.6749999999993</v>
      </c>
      <c r="V9" s="160">
        <v>0</v>
      </c>
      <c r="W9" s="160">
        <v>0</v>
      </c>
      <c r="X9" s="160">
        <v>0</v>
      </c>
      <c r="Y9" s="250">
        <v>153.5</v>
      </c>
      <c r="Z9" s="160">
        <v>9587.6749999999993</v>
      </c>
      <c r="AA9" s="160">
        <v>135</v>
      </c>
      <c r="AB9" s="160">
        <v>3616.4650000000006</v>
      </c>
      <c r="AC9" s="160">
        <v>8459.7132352941171</v>
      </c>
      <c r="AD9" s="250">
        <v>153.5</v>
      </c>
      <c r="AE9" s="160">
        <v>9587.6749999999993</v>
      </c>
      <c r="AF9" s="160">
        <v>135</v>
      </c>
      <c r="AG9" s="160">
        <v>3616.4650000000006</v>
      </c>
      <c r="AH9" s="160">
        <v>8459.7132352941171</v>
      </c>
      <c r="AI9" s="250">
        <v>153.5</v>
      </c>
      <c r="AJ9" s="160">
        <v>9587.6749999999993</v>
      </c>
      <c r="AK9" s="160">
        <v>153</v>
      </c>
      <c r="AL9" s="160">
        <v>4381.2250000000004</v>
      </c>
      <c r="AM9" s="160">
        <v>9587.6749999999993</v>
      </c>
      <c r="AN9" s="250">
        <v>153.5</v>
      </c>
      <c r="AO9" s="160">
        <v>9587.6749999999993</v>
      </c>
      <c r="AP9" s="160">
        <v>153</v>
      </c>
      <c r="AQ9" s="160">
        <v>4381.2250000000004</v>
      </c>
      <c r="AR9" s="160">
        <v>9587.6749999999993</v>
      </c>
      <c r="AS9" s="250">
        <v>153.5</v>
      </c>
      <c r="AT9" s="160">
        <v>9587.6749999999993</v>
      </c>
      <c r="AU9" s="160">
        <v>153</v>
      </c>
      <c r="AV9" s="160">
        <v>4381.2250000000004</v>
      </c>
      <c r="AW9" s="160">
        <v>9587.6749999999993</v>
      </c>
      <c r="AX9" s="250">
        <v>153.5</v>
      </c>
      <c r="AY9" s="160">
        <v>9587.6749999999993</v>
      </c>
      <c r="AZ9" s="160">
        <v>153</v>
      </c>
      <c r="BA9" s="160">
        <v>4381.2250000000004</v>
      </c>
      <c r="BB9" s="257">
        <v>9587.6749999999993</v>
      </c>
      <c r="BC9" s="57"/>
      <c r="BD9" s="204"/>
      <c r="BE9" s="57"/>
    </row>
    <row r="10" spans="1:57" ht="17.25" x14ac:dyDescent="0.25">
      <c r="A10" s="234">
        <v>59</v>
      </c>
      <c r="B10" s="241" t="s">
        <v>1320</v>
      </c>
      <c r="C10" s="224">
        <v>29830</v>
      </c>
      <c r="D10" s="57" t="s">
        <v>1316</v>
      </c>
      <c r="E10" s="20">
        <v>22887.067500000001</v>
      </c>
      <c r="F10" s="224">
        <v>0.76724999999999999</v>
      </c>
      <c r="G10" s="224">
        <v>29830</v>
      </c>
      <c r="H10" s="20">
        <v>13518.27</v>
      </c>
      <c r="I10" s="224">
        <v>0.4531770030170969</v>
      </c>
      <c r="J10" s="250">
        <v>0</v>
      </c>
      <c r="K10" s="160">
        <v>0</v>
      </c>
      <c r="L10" s="160">
        <v>0</v>
      </c>
      <c r="M10" s="160">
        <v>0</v>
      </c>
      <c r="N10" s="160">
        <v>0</v>
      </c>
      <c r="O10" s="250">
        <v>5000</v>
      </c>
      <c r="P10" s="160">
        <v>3836.25</v>
      </c>
      <c r="Q10" s="160">
        <v>13600</v>
      </c>
      <c r="R10" s="160">
        <v>4299.5950000000003</v>
      </c>
      <c r="S10" s="160">
        <v>10434.6</v>
      </c>
      <c r="T10" s="250">
        <v>20000</v>
      </c>
      <c r="U10" s="160">
        <v>15345</v>
      </c>
      <c r="V10" s="160">
        <v>25500</v>
      </c>
      <c r="W10" s="160">
        <v>8091.27</v>
      </c>
      <c r="X10" s="160">
        <v>19564.875</v>
      </c>
      <c r="Y10" s="250">
        <v>29830</v>
      </c>
      <c r="Z10" s="160">
        <v>22887.067500000001</v>
      </c>
      <c r="AA10" s="160">
        <v>29830</v>
      </c>
      <c r="AB10" s="160">
        <v>13518.27</v>
      </c>
      <c r="AC10" s="160">
        <v>22887.067500000001</v>
      </c>
      <c r="AD10" s="250">
        <v>29830</v>
      </c>
      <c r="AE10" s="160">
        <v>22887.067500000001</v>
      </c>
      <c r="AF10" s="160">
        <v>29830</v>
      </c>
      <c r="AG10" s="160">
        <v>13518.27</v>
      </c>
      <c r="AH10" s="160">
        <v>22887.067500000001</v>
      </c>
      <c r="AI10" s="250">
        <v>29830</v>
      </c>
      <c r="AJ10" s="160">
        <v>22887.067500000001</v>
      </c>
      <c r="AK10" s="160">
        <v>29830</v>
      </c>
      <c r="AL10" s="160">
        <v>13518.27</v>
      </c>
      <c r="AM10" s="160">
        <v>22887.067500000001</v>
      </c>
      <c r="AN10" s="250">
        <v>29830</v>
      </c>
      <c r="AO10" s="160">
        <v>22887.067500000001</v>
      </c>
      <c r="AP10" s="160">
        <v>29830</v>
      </c>
      <c r="AQ10" s="160">
        <v>13518.27</v>
      </c>
      <c r="AR10" s="160">
        <v>22887.067500000001</v>
      </c>
      <c r="AS10" s="250">
        <v>29830</v>
      </c>
      <c r="AT10" s="160">
        <v>22887.067500000001</v>
      </c>
      <c r="AU10" s="160">
        <v>29830</v>
      </c>
      <c r="AV10" s="160">
        <v>13518.27</v>
      </c>
      <c r="AW10" s="160">
        <v>22887.067500000001</v>
      </c>
      <c r="AX10" s="250">
        <v>29830</v>
      </c>
      <c r="AY10" s="160">
        <v>22887.067500000001</v>
      </c>
      <c r="AZ10" s="160">
        <v>29830</v>
      </c>
      <c r="BA10" s="160">
        <v>13518.27</v>
      </c>
      <c r="BB10" s="257">
        <v>22887.067500000001</v>
      </c>
      <c r="BC10" s="57"/>
      <c r="BD10" s="204"/>
      <c r="BE10" s="57"/>
    </row>
    <row r="11" spans="1:57" ht="17.25" x14ac:dyDescent="0.25">
      <c r="A11" s="234">
        <v>61</v>
      </c>
      <c r="B11" s="241" t="s">
        <v>1321</v>
      </c>
      <c r="C11" s="224">
        <v>12535</v>
      </c>
      <c r="D11" s="57" t="s">
        <v>1316</v>
      </c>
      <c r="E11" s="20">
        <v>37229.319999999985</v>
      </c>
      <c r="F11" s="224">
        <v>2.9700295173514148</v>
      </c>
      <c r="G11" s="224">
        <v>12535</v>
      </c>
      <c r="H11" s="20">
        <v>213777.52000000005</v>
      </c>
      <c r="I11" s="224">
        <v>17.054449142401282</v>
      </c>
      <c r="J11" s="250">
        <v>0</v>
      </c>
      <c r="K11" s="160">
        <v>0</v>
      </c>
      <c r="L11" s="160">
        <v>0</v>
      </c>
      <c r="M11" s="160">
        <v>0</v>
      </c>
      <c r="N11" s="160">
        <v>0</v>
      </c>
      <c r="O11" s="250">
        <v>6500</v>
      </c>
      <c r="P11" s="160">
        <v>19305.191862784195</v>
      </c>
      <c r="Q11" s="160">
        <v>6000</v>
      </c>
      <c r="R11" s="160">
        <v>103959.81999999999</v>
      </c>
      <c r="S11" s="160">
        <v>17820.177104108487</v>
      </c>
      <c r="T11" s="250">
        <v>12535</v>
      </c>
      <c r="U11" s="160">
        <v>37229.319999999985</v>
      </c>
      <c r="V11" s="160">
        <v>11500</v>
      </c>
      <c r="W11" s="160">
        <v>198512.82000000004</v>
      </c>
      <c r="X11" s="160">
        <v>34155.339449541272</v>
      </c>
      <c r="Y11" s="250">
        <v>12535</v>
      </c>
      <c r="Z11" s="160">
        <v>37229.319999999985</v>
      </c>
      <c r="AA11" s="160">
        <v>12535</v>
      </c>
      <c r="AB11" s="160">
        <v>213777.52000000005</v>
      </c>
      <c r="AC11" s="160">
        <v>37229.319999999985</v>
      </c>
      <c r="AD11" s="250">
        <v>12535</v>
      </c>
      <c r="AE11" s="160">
        <v>37229.319999999985</v>
      </c>
      <c r="AF11" s="160">
        <v>12535</v>
      </c>
      <c r="AG11" s="160">
        <v>213777.52000000005</v>
      </c>
      <c r="AH11" s="160">
        <v>37229.319999999985</v>
      </c>
      <c r="AI11" s="250">
        <v>12535</v>
      </c>
      <c r="AJ11" s="160">
        <v>37229.319999999985</v>
      </c>
      <c r="AK11" s="160">
        <v>12535</v>
      </c>
      <c r="AL11" s="160">
        <v>213777.52000000005</v>
      </c>
      <c r="AM11" s="160">
        <v>37229.319999999985</v>
      </c>
      <c r="AN11" s="250">
        <v>12535</v>
      </c>
      <c r="AO11" s="160">
        <v>37229.319999999985</v>
      </c>
      <c r="AP11" s="160">
        <v>12535</v>
      </c>
      <c r="AQ11" s="160">
        <v>213777.52000000005</v>
      </c>
      <c r="AR11" s="160">
        <v>37229.319999999985</v>
      </c>
      <c r="AS11" s="250">
        <v>12535</v>
      </c>
      <c r="AT11" s="160">
        <v>37229.319999999985</v>
      </c>
      <c r="AU11" s="160">
        <v>12535</v>
      </c>
      <c r="AV11" s="160">
        <v>213777.52000000005</v>
      </c>
      <c r="AW11" s="160">
        <v>37229.319999999985</v>
      </c>
      <c r="AX11" s="250">
        <v>12535</v>
      </c>
      <c r="AY11" s="160">
        <v>37229.319999999985</v>
      </c>
      <c r="AZ11" s="160">
        <v>12535</v>
      </c>
      <c r="BA11" s="160">
        <v>213777.52000000005</v>
      </c>
      <c r="BB11" s="257">
        <v>37229.319999999985</v>
      </c>
      <c r="BC11" s="57"/>
      <c r="BD11" s="204"/>
      <c r="BE11" s="57"/>
    </row>
    <row r="12" spans="1:57" ht="17.25" x14ac:dyDescent="0.25">
      <c r="A12" s="234">
        <v>62</v>
      </c>
      <c r="B12" s="241" t="s">
        <v>1322</v>
      </c>
      <c r="C12" s="224">
        <v>4019</v>
      </c>
      <c r="D12" s="57" t="s">
        <v>1318</v>
      </c>
      <c r="E12" s="20">
        <v>131637.15013056662</v>
      </c>
      <c r="F12" s="224">
        <v>32.753707422385325</v>
      </c>
      <c r="G12" s="224">
        <v>4610</v>
      </c>
      <c r="H12" s="20">
        <v>102754.36999999998</v>
      </c>
      <c r="I12" s="224">
        <v>22.289451193058564</v>
      </c>
      <c r="J12" s="250">
        <v>0</v>
      </c>
      <c r="K12" s="160">
        <v>0</v>
      </c>
      <c r="L12" s="160">
        <v>0</v>
      </c>
      <c r="M12" s="160">
        <v>0</v>
      </c>
      <c r="N12" s="160">
        <v>0</v>
      </c>
      <c r="O12" s="250">
        <v>1000</v>
      </c>
      <c r="P12" s="160">
        <v>32753.707422385327</v>
      </c>
      <c r="Q12" s="160">
        <v>800</v>
      </c>
      <c r="R12" s="160">
        <v>18755.944999999992</v>
      </c>
      <c r="S12" s="160">
        <v>22843.757072549521</v>
      </c>
      <c r="T12" s="250">
        <v>3000</v>
      </c>
      <c r="U12" s="160">
        <v>98261.122267155981</v>
      </c>
      <c r="V12" s="160">
        <v>1950</v>
      </c>
      <c r="W12" s="160">
        <v>44983.339999999989</v>
      </c>
      <c r="X12" s="160">
        <v>55681.657864339453</v>
      </c>
      <c r="Y12" s="250">
        <v>4019</v>
      </c>
      <c r="Z12" s="160">
        <v>131637.15013056662</v>
      </c>
      <c r="AA12" s="160">
        <v>4500</v>
      </c>
      <c r="AB12" s="160">
        <v>100730.83</v>
      </c>
      <c r="AC12" s="160">
        <v>128496.13353309105</v>
      </c>
      <c r="AD12" s="250">
        <v>4019</v>
      </c>
      <c r="AE12" s="160">
        <v>131637.15013056662</v>
      </c>
      <c r="AF12" s="160">
        <v>4610</v>
      </c>
      <c r="AG12" s="160">
        <v>102754.36999999998</v>
      </c>
      <c r="AH12" s="160">
        <v>131637.15013056662</v>
      </c>
      <c r="AI12" s="250">
        <v>4019</v>
      </c>
      <c r="AJ12" s="160">
        <v>131637.15013056662</v>
      </c>
      <c r="AK12" s="160">
        <v>4610</v>
      </c>
      <c r="AL12" s="160">
        <v>102754.36999999998</v>
      </c>
      <c r="AM12" s="160">
        <v>131637.15013056662</v>
      </c>
      <c r="AN12" s="250">
        <v>4019</v>
      </c>
      <c r="AO12" s="160">
        <v>131637.15013056662</v>
      </c>
      <c r="AP12" s="160">
        <v>4610</v>
      </c>
      <c r="AQ12" s="160">
        <v>102754.36999999998</v>
      </c>
      <c r="AR12" s="160">
        <v>131637.15013056662</v>
      </c>
      <c r="AS12" s="250">
        <v>4019</v>
      </c>
      <c r="AT12" s="160">
        <v>131637.15013056662</v>
      </c>
      <c r="AU12" s="160">
        <v>4610</v>
      </c>
      <c r="AV12" s="160">
        <v>102754.36999999998</v>
      </c>
      <c r="AW12" s="160">
        <v>131637.15013056662</v>
      </c>
      <c r="AX12" s="250">
        <v>4019</v>
      </c>
      <c r="AY12" s="160">
        <v>131637.15013056662</v>
      </c>
      <c r="AZ12" s="160">
        <v>4610</v>
      </c>
      <c r="BA12" s="160">
        <v>102754.36999999998</v>
      </c>
      <c r="BB12" s="257">
        <v>131637.15013056662</v>
      </c>
      <c r="BC12" s="57"/>
      <c r="BD12" s="204"/>
      <c r="BE12" s="57"/>
    </row>
    <row r="13" spans="1:57" ht="17.25" x14ac:dyDescent="0.25">
      <c r="A13" s="234">
        <v>63</v>
      </c>
      <c r="B13" s="241" t="s">
        <v>1323</v>
      </c>
      <c r="C13" s="224">
        <v>9107</v>
      </c>
      <c r="D13" s="57" t="s">
        <v>1316</v>
      </c>
      <c r="E13" s="20">
        <v>75658.8513030303</v>
      </c>
      <c r="F13" s="224">
        <v>8.3077688923937956</v>
      </c>
      <c r="G13" s="224">
        <v>9107</v>
      </c>
      <c r="H13" s="20">
        <v>21913.25</v>
      </c>
      <c r="I13" s="224">
        <v>2.4061985286043703</v>
      </c>
      <c r="J13" s="250">
        <v>0</v>
      </c>
      <c r="K13" s="160">
        <v>0</v>
      </c>
      <c r="L13" s="160">
        <v>0</v>
      </c>
      <c r="M13" s="160">
        <v>0</v>
      </c>
      <c r="N13" s="160">
        <v>0</v>
      </c>
      <c r="O13" s="250">
        <v>0</v>
      </c>
      <c r="P13" s="160">
        <v>0</v>
      </c>
      <c r="Q13" s="160">
        <v>0</v>
      </c>
      <c r="R13" s="160">
        <v>0</v>
      </c>
      <c r="S13" s="160">
        <v>0</v>
      </c>
      <c r="T13" s="250">
        <v>2500</v>
      </c>
      <c r="U13" s="160">
        <v>20769.422230984488</v>
      </c>
      <c r="V13" s="160">
        <v>0</v>
      </c>
      <c r="W13" s="160">
        <v>0</v>
      </c>
      <c r="X13" s="160">
        <v>0</v>
      </c>
      <c r="Y13" s="250">
        <v>9107</v>
      </c>
      <c r="Z13" s="160">
        <v>75658.8513030303</v>
      </c>
      <c r="AA13" s="160">
        <v>5750</v>
      </c>
      <c r="AB13" s="160">
        <v>14389.575000000003</v>
      </c>
      <c r="AC13" s="160">
        <v>47769.671131264324</v>
      </c>
      <c r="AD13" s="250">
        <v>9107</v>
      </c>
      <c r="AE13" s="160">
        <v>75658.8513030303</v>
      </c>
      <c r="AF13" s="160">
        <v>9107</v>
      </c>
      <c r="AG13" s="160">
        <v>21913.25</v>
      </c>
      <c r="AH13" s="160">
        <v>75658.8513030303</v>
      </c>
      <c r="AI13" s="250">
        <v>9107</v>
      </c>
      <c r="AJ13" s="160">
        <v>75658.8513030303</v>
      </c>
      <c r="AK13" s="160">
        <v>9107</v>
      </c>
      <c r="AL13" s="160">
        <v>21913.25</v>
      </c>
      <c r="AM13" s="160">
        <v>75658.8513030303</v>
      </c>
      <c r="AN13" s="250">
        <v>9107</v>
      </c>
      <c r="AO13" s="160">
        <v>75658.8513030303</v>
      </c>
      <c r="AP13" s="160">
        <v>9107</v>
      </c>
      <c r="AQ13" s="160">
        <v>21913.25</v>
      </c>
      <c r="AR13" s="160">
        <v>75658.8513030303</v>
      </c>
      <c r="AS13" s="250">
        <v>9107</v>
      </c>
      <c r="AT13" s="160">
        <v>75658.8513030303</v>
      </c>
      <c r="AU13" s="160">
        <v>9107</v>
      </c>
      <c r="AV13" s="160">
        <v>21913.25</v>
      </c>
      <c r="AW13" s="160">
        <v>75658.8513030303</v>
      </c>
      <c r="AX13" s="250">
        <v>9107</v>
      </c>
      <c r="AY13" s="160">
        <v>75658.8513030303</v>
      </c>
      <c r="AZ13" s="160">
        <v>9107</v>
      </c>
      <c r="BA13" s="160">
        <v>21913.25</v>
      </c>
      <c r="BB13" s="257">
        <v>75658.8513030303</v>
      </c>
      <c r="BC13" s="57"/>
      <c r="BD13" s="204"/>
      <c r="BE13" s="57"/>
    </row>
    <row r="14" spans="1:57" ht="17.25" x14ac:dyDescent="0.25">
      <c r="A14" s="234">
        <v>64</v>
      </c>
      <c r="B14" s="241" t="s">
        <v>1324</v>
      </c>
      <c r="C14" s="224">
        <v>25142</v>
      </c>
      <c r="D14" s="57" t="s">
        <v>1316</v>
      </c>
      <c r="E14" s="20">
        <v>217171.383</v>
      </c>
      <c r="F14" s="224">
        <v>8.6377926577042405</v>
      </c>
      <c r="G14" s="224">
        <v>21275</v>
      </c>
      <c r="H14" s="20">
        <v>277417.8060000001</v>
      </c>
      <c r="I14" s="224">
        <v>13.039614853113989</v>
      </c>
      <c r="J14" s="250">
        <v>0</v>
      </c>
      <c r="K14" s="160">
        <v>0</v>
      </c>
      <c r="L14" s="160">
        <v>0</v>
      </c>
      <c r="M14" s="160">
        <v>0</v>
      </c>
      <c r="N14" s="160">
        <v>0</v>
      </c>
      <c r="O14" s="250">
        <v>0</v>
      </c>
      <c r="P14" s="160">
        <v>0</v>
      </c>
      <c r="Q14" s="160">
        <v>0</v>
      </c>
      <c r="R14" s="160">
        <v>0</v>
      </c>
      <c r="S14" s="160">
        <v>0</v>
      </c>
      <c r="T14" s="250">
        <v>12500</v>
      </c>
      <c r="U14" s="160">
        <v>107972.40822130301</v>
      </c>
      <c r="V14" s="160">
        <v>12535</v>
      </c>
      <c r="W14" s="160">
        <v>112816.375</v>
      </c>
      <c r="X14" s="160">
        <v>127955.03106486486</v>
      </c>
      <c r="Y14" s="250">
        <v>12500</v>
      </c>
      <c r="Z14" s="160">
        <v>107972.40822130301</v>
      </c>
      <c r="AA14" s="160">
        <v>12535</v>
      </c>
      <c r="AB14" s="160">
        <v>112816.375</v>
      </c>
      <c r="AC14" s="160">
        <v>127955.03106486486</v>
      </c>
      <c r="AD14" s="250">
        <v>25142</v>
      </c>
      <c r="AE14" s="160">
        <v>217171.383</v>
      </c>
      <c r="AF14" s="160">
        <v>19500</v>
      </c>
      <c r="AG14" s="160">
        <v>175198.25599999999</v>
      </c>
      <c r="AH14" s="160">
        <v>199052.50145710929</v>
      </c>
      <c r="AI14" s="250">
        <v>25142</v>
      </c>
      <c r="AJ14" s="160">
        <v>217171.383</v>
      </c>
      <c r="AK14" s="160">
        <v>19500</v>
      </c>
      <c r="AL14" s="160">
        <v>176683.25599999999</v>
      </c>
      <c r="AM14" s="160">
        <v>199052.50145710929</v>
      </c>
      <c r="AN14" s="250">
        <v>25142</v>
      </c>
      <c r="AO14" s="160">
        <v>217171.383</v>
      </c>
      <c r="AP14" s="160">
        <v>19500</v>
      </c>
      <c r="AQ14" s="160">
        <v>176683.25599999999</v>
      </c>
      <c r="AR14" s="160">
        <v>199052.50145710929</v>
      </c>
      <c r="AS14" s="250">
        <v>25142</v>
      </c>
      <c r="AT14" s="160">
        <v>217171.383</v>
      </c>
      <c r="AU14" s="160">
        <v>19500</v>
      </c>
      <c r="AV14" s="160">
        <v>176683.25599999999</v>
      </c>
      <c r="AW14" s="160">
        <v>199052.50145710929</v>
      </c>
      <c r="AX14" s="250">
        <v>25142</v>
      </c>
      <c r="AY14" s="160">
        <v>217171.383</v>
      </c>
      <c r="AZ14" s="160">
        <v>21275</v>
      </c>
      <c r="BA14" s="160">
        <v>277417.8060000001</v>
      </c>
      <c r="BB14" s="257">
        <v>217171.383</v>
      </c>
      <c r="BC14" s="57"/>
      <c r="BD14" s="204"/>
      <c r="BE14" s="57"/>
    </row>
    <row r="15" spans="1:57" x14ac:dyDescent="0.25">
      <c r="A15" s="234">
        <v>65</v>
      </c>
      <c r="B15" s="241" t="s">
        <v>1325</v>
      </c>
      <c r="C15" s="224">
        <v>605</v>
      </c>
      <c r="D15" s="57" t="s">
        <v>100</v>
      </c>
      <c r="E15" s="20">
        <v>296792.99452897388</v>
      </c>
      <c r="F15" s="224">
        <v>490.56693310574195</v>
      </c>
      <c r="G15" s="224">
        <v>605</v>
      </c>
      <c r="H15" s="20">
        <v>202459.37999999998</v>
      </c>
      <c r="I15" s="224">
        <v>334.64360330578506</v>
      </c>
      <c r="J15" s="250">
        <v>0</v>
      </c>
      <c r="K15" s="160">
        <v>0</v>
      </c>
      <c r="L15" s="160">
        <v>0</v>
      </c>
      <c r="M15" s="160">
        <v>0</v>
      </c>
      <c r="N15" s="160">
        <v>0</v>
      </c>
      <c r="O15" s="250">
        <v>0</v>
      </c>
      <c r="P15" s="160">
        <v>0</v>
      </c>
      <c r="Q15" s="160">
        <v>0</v>
      </c>
      <c r="R15" s="160">
        <v>0</v>
      </c>
      <c r="S15" s="160">
        <v>0</v>
      </c>
      <c r="T15" s="250">
        <v>0</v>
      </c>
      <c r="U15" s="160">
        <v>0</v>
      </c>
      <c r="V15" s="160">
        <v>0</v>
      </c>
      <c r="W15" s="160">
        <v>0</v>
      </c>
      <c r="X15" s="160">
        <v>0</v>
      </c>
      <c r="Y15" s="250">
        <v>0</v>
      </c>
      <c r="Z15" s="160">
        <v>0</v>
      </c>
      <c r="AA15" s="160">
        <v>0</v>
      </c>
      <c r="AB15" s="160">
        <v>0</v>
      </c>
      <c r="AC15" s="160">
        <v>0</v>
      </c>
      <c r="AD15" s="250">
        <v>605</v>
      </c>
      <c r="AE15" s="160">
        <v>296792.99452897388</v>
      </c>
      <c r="AF15" s="160">
        <v>605</v>
      </c>
      <c r="AG15" s="160">
        <v>202459.37999999998</v>
      </c>
      <c r="AH15" s="160">
        <v>296792.99452897388</v>
      </c>
      <c r="AI15" s="250">
        <v>605</v>
      </c>
      <c r="AJ15" s="160">
        <v>296792.99452897388</v>
      </c>
      <c r="AK15" s="160">
        <v>605</v>
      </c>
      <c r="AL15" s="160">
        <v>202459.37999999998</v>
      </c>
      <c r="AM15" s="160">
        <v>296792.99452897388</v>
      </c>
      <c r="AN15" s="250">
        <v>605</v>
      </c>
      <c r="AO15" s="160">
        <v>296792.99452897388</v>
      </c>
      <c r="AP15" s="160">
        <v>605</v>
      </c>
      <c r="AQ15" s="160">
        <v>202459.37999999998</v>
      </c>
      <c r="AR15" s="160">
        <v>296792.99452897388</v>
      </c>
      <c r="AS15" s="250">
        <v>605</v>
      </c>
      <c r="AT15" s="160">
        <v>296792.99452897388</v>
      </c>
      <c r="AU15" s="160">
        <v>605</v>
      </c>
      <c r="AV15" s="160">
        <v>202459.37999999998</v>
      </c>
      <c r="AW15" s="160">
        <v>296792.99452897388</v>
      </c>
      <c r="AX15" s="250">
        <v>605</v>
      </c>
      <c r="AY15" s="160">
        <v>296792.99452897388</v>
      </c>
      <c r="AZ15" s="160">
        <v>605</v>
      </c>
      <c r="BA15" s="160">
        <v>202459.37999999998</v>
      </c>
      <c r="BB15" s="257">
        <v>296792.99452897388</v>
      </c>
      <c r="BC15" s="57"/>
      <c r="BD15" s="204"/>
      <c r="BE15" s="57"/>
    </row>
    <row r="16" spans="1:57" x14ac:dyDescent="0.25">
      <c r="A16" s="234">
        <v>66</v>
      </c>
      <c r="B16" s="241" t="s">
        <v>1326</v>
      </c>
      <c r="C16" s="224">
        <v>1</v>
      </c>
      <c r="D16" s="57" t="s">
        <v>676</v>
      </c>
      <c r="E16" s="20">
        <v>35476.800000000003</v>
      </c>
      <c r="F16" s="224">
        <v>35476.800000000003</v>
      </c>
      <c r="G16" s="224">
        <v>1</v>
      </c>
      <c r="H16" s="20">
        <v>5622</v>
      </c>
      <c r="I16" s="224">
        <v>5622</v>
      </c>
      <c r="J16" s="250">
        <v>0</v>
      </c>
      <c r="K16" s="160">
        <v>0</v>
      </c>
      <c r="L16" s="160">
        <v>0</v>
      </c>
      <c r="M16" s="160">
        <v>0</v>
      </c>
      <c r="N16" s="160">
        <v>0</v>
      </c>
      <c r="O16" s="250">
        <v>0</v>
      </c>
      <c r="P16" s="160">
        <v>0</v>
      </c>
      <c r="Q16" s="160">
        <v>0</v>
      </c>
      <c r="R16" s="160">
        <v>0</v>
      </c>
      <c r="S16" s="160">
        <v>0</v>
      </c>
      <c r="T16" s="250">
        <v>0</v>
      </c>
      <c r="U16" s="160">
        <v>0</v>
      </c>
      <c r="V16" s="160">
        <v>0</v>
      </c>
      <c r="W16" s="160">
        <v>0</v>
      </c>
      <c r="X16" s="160">
        <v>0</v>
      </c>
      <c r="Y16" s="250">
        <v>0</v>
      </c>
      <c r="Z16" s="160">
        <v>0</v>
      </c>
      <c r="AA16" s="160">
        <v>0</v>
      </c>
      <c r="AB16" s="160">
        <v>0</v>
      </c>
      <c r="AC16" s="160">
        <v>0</v>
      </c>
      <c r="AD16" s="250">
        <v>1</v>
      </c>
      <c r="AE16" s="160">
        <v>35476.800000000003</v>
      </c>
      <c r="AF16" s="160">
        <v>0</v>
      </c>
      <c r="AG16" s="160">
        <v>0</v>
      </c>
      <c r="AH16" s="160">
        <v>0</v>
      </c>
      <c r="AI16" s="250">
        <v>1</v>
      </c>
      <c r="AJ16" s="160">
        <v>35476.800000000003</v>
      </c>
      <c r="AK16" s="160">
        <v>0</v>
      </c>
      <c r="AL16" s="160">
        <v>0</v>
      </c>
      <c r="AM16" s="160">
        <v>0</v>
      </c>
      <c r="AN16" s="250">
        <v>1</v>
      </c>
      <c r="AO16" s="160">
        <v>35476.800000000003</v>
      </c>
      <c r="AP16" s="160">
        <v>0</v>
      </c>
      <c r="AQ16" s="160">
        <v>0</v>
      </c>
      <c r="AR16" s="160">
        <v>0</v>
      </c>
      <c r="AS16" s="250">
        <v>1</v>
      </c>
      <c r="AT16" s="160">
        <v>35476.800000000003</v>
      </c>
      <c r="AU16" s="160">
        <v>0</v>
      </c>
      <c r="AV16" s="160">
        <v>0</v>
      </c>
      <c r="AW16" s="160">
        <v>0</v>
      </c>
      <c r="AX16" s="250">
        <v>1</v>
      </c>
      <c r="AY16" s="160">
        <v>35476.800000000003</v>
      </c>
      <c r="AZ16" s="160">
        <v>1</v>
      </c>
      <c r="BA16" s="160">
        <v>5622</v>
      </c>
      <c r="BB16" s="257">
        <v>35476.800000000003</v>
      </c>
      <c r="BC16" s="57"/>
      <c r="BD16" s="204"/>
      <c r="BE16" s="57"/>
    </row>
    <row r="17" spans="1:57" x14ac:dyDescent="0.25">
      <c r="A17" s="234">
        <v>67</v>
      </c>
      <c r="B17" s="241" t="s">
        <v>1327</v>
      </c>
      <c r="C17" s="224">
        <v>1</v>
      </c>
      <c r="D17" s="57" t="s">
        <v>676</v>
      </c>
      <c r="E17" s="20">
        <v>33024</v>
      </c>
      <c r="F17" s="224">
        <v>33024</v>
      </c>
      <c r="G17" s="224">
        <v>1</v>
      </c>
      <c r="H17" s="20">
        <v>2209.4499999999998</v>
      </c>
      <c r="I17" s="224">
        <v>2209.4499999999998</v>
      </c>
      <c r="J17" s="250">
        <v>0</v>
      </c>
      <c r="K17" s="160">
        <v>0</v>
      </c>
      <c r="L17" s="160">
        <v>0</v>
      </c>
      <c r="M17" s="160">
        <v>0</v>
      </c>
      <c r="N17" s="160">
        <v>0</v>
      </c>
      <c r="O17" s="250">
        <v>0</v>
      </c>
      <c r="P17" s="160">
        <v>0</v>
      </c>
      <c r="Q17" s="160">
        <v>0</v>
      </c>
      <c r="R17" s="160">
        <v>0</v>
      </c>
      <c r="S17" s="160">
        <v>0</v>
      </c>
      <c r="T17" s="250">
        <v>0</v>
      </c>
      <c r="U17" s="160">
        <v>0</v>
      </c>
      <c r="V17" s="160">
        <v>0</v>
      </c>
      <c r="W17" s="160">
        <v>0</v>
      </c>
      <c r="X17" s="160">
        <v>0</v>
      </c>
      <c r="Y17" s="250">
        <v>0</v>
      </c>
      <c r="Z17" s="160">
        <v>0</v>
      </c>
      <c r="AA17" s="160">
        <v>0</v>
      </c>
      <c r="AB17" s="160">
        <v>0</v>
      </c>
      <c r="AC17" s="160">
        <v>0</v>
      </c>
      <c r="AD17" s="250">
        <v>1</v>
      </c>
      <c r="AE17" s="160">
        <v>33024</v>
      </c>
      <c r="AF17" s="160">
        <v>1</v>
      </c>
      <c r="AG17" s="160">
        <v>2209.4499999999998</v>
      </c>
      <c r="AH17" s="160">
        <v>33024</v>
      </c>
      <c r="AI17" s="250">
        <v>1</v>
      </c>
      <c r="AJ17" s="160">
        <v>33024</v>
      </c>
      <c r="AK17" s="160">
        <v>1</v>
      </c>
      <c r="AL17" s="160">
        <v>2209.4499999999998</v>
      </c>
      <c r="AM17" s="160">
        <v>33024</v>
      </c>
      <c r="AN17" s="250">
        <v>1</v>
      </c>
      <c r="AO17" s="160">
        <v>33024</v>
      </c>
      <c r="AP17" s="160">
        <v>1</v>
      </c>
      <c r="AQ17" s="160">
        <v>2209.4499999999998</v>
      </c>
      <c r="AR17" s="160">
        <v>33024</v>
      </c>
      <c r="AS17" s="250">
        <v>1</v>
      </c>
      <c r="AT17" s="160">
        <v>33024</v>
      </c>
      <c r="AU17" s="160">
        <v>1</v>
      </c>
      <c r="AV17" s="160">
        <v>2209.4499999999998</v>
      </c>
      <c r="AW17" s="160">
        <v>33024</v>
      </c>
      <c r="AX17" s="250">
        <v>1</v>
      </c>
      <c r="AY17" s="160">
        <v>33024</v>
      </c>
      <c r="AZ17" s="160">
        <v>1</v>
      </c>
      <c r="BA17" s="160">
        <v>2209.4499999999998</v>
      </c>
      <c r="BB17" s="257">
        <v>33024</v>
      </c>
      <c r="BC17" s="57"/>
      <c r="BD17" s="204"/>
      <c r="BE17" s="57"/>
    </row>
    <row r="18" spans="1:57" ht="17.25" x14ac:dyDescent="0.25">
      <c r="A18" s="234">
        <v>68</v>
      </c>
      <c r="B18" s="241" t="s">
        <v>1328</v>
      </c>
      <c r="C18" s="224">
        <v>600</v>
      </c>
      <c r="D18" s="57" t="s">
        <v>1316</v>
      </c>
      <c r="E18" s="20">
        <v>13641.074412961294</v>
      </c>
      <c r="F18" s="224">
        <v>22.735124021602157</v>
      </c>
      <c r="G18" s="224">
        <v>12535</v>
      </c>
      <c r="H18" s="20">
        <v>51538.064999999973</v>
      </c>
      <c r="I18" s="224">
        <v>4.1115329078579954</v>
      </c>
      <c r="J18" s="250">
        <v>0</v>
      </c>
      <c r="K18" s="160">
        <v>0</v>
      </c>
      <c r="L18" s="160">
        <v>0</v>
      </c>
      <c r="M18" s="160">
        <v>0</v>
      </c>
      <c r="N18" s="160">
        <v>0</v>
      </c>
      <c r="O18" s="250">
        <v>0</v>
      </c>
      <c r="P18" s="160">
        <v>0</v>
      </c>
      <c r="Q18" s="160">
        <v>0</v>
      </c>
      <c r="R18" s="160">
        <v>0</v>
      </c>
      <c r="S18" s="160">
        <v>0</v>
      </c>
      <c r="T18" s="250">
        <v>0</v>
      </c>
      <c r="U18" s="160">
        <v>0</v>
      </c>
      <c r="V18" s="160">
        <v>0</v>
      </c>
      <c r="W18" s="160">
        <v>0</v>
      </c>
      <c r="X18" s="160">
        <v>0</v>
      </c>
      <c r="Y18" s="250">
        <v>0</v>
      </c>
      <c r="Z18" s="160">
        <v>0</v>
      </c>
      <c r="AA18" s="160">
        <v>0</v>
      </c>
      <c r="AB18" s="160">
        <v>0</v>
      </c>
      <c r="AC18" s="160">
        <v>0</v>
      </c>
      <c r="AD18" s="250">
        <v>0</v>
      </c>
      <c r="AE18" s="160">
        <v>0</v>
      </c>
      <c r="AF18" s="160">
        <v>0</v>
      </c>
      <c r="AG18" s="160">
        <v>0</v>
      </c>
      <c r="AH18" s="160">
        <v>0</v>
      </c>
      <c r="AI18" s="250">
        <v>0</v>
      </c>
      <c r="AJ18" s="160">
        <v>0</v>
      </c>
      <c r="AK18" s="160">
        <v>0</v>
      </c>
      <c r="AL18" s="160">
        <v>0</v>
      </c>
      <c r="AM18" s="160">
        <v>0</v>
      </c>
      <c r="AN18" s="250">
        <v>0</v>
      </c>
      <c r="AO18" s="160">
        <v>0</v>
      </c>
      <c r="AP18" s="160">
        <v>0</v>
      </c>
      <c r="AQ18" s="160">
        <v>0</v>
      </c>
      <c r="AR18" s="160">
        <v>0</v>
      </c>
      <c r="AS18" s="250">
        <v>0</v>
      </c>
      <c r="AT18" s="160">
        <v>0</v>
      </c>
      <c r="AU18" s="160">
        <v>0</v>
      </c>
      <c r="AV18" s="160">
        <v>0</v>
      </c>
      <c r="AW18" s="160">
        <v>0</v>
      </c>
      <c r="AX18" s="250">
        <v>600</v>
      </c>
      <c r="AY18" s="160">
        <v>13641.074412961294</v>
      </c>
      <c r="AZ18" s="160">
        <v>12535</v>
      </c>
      <c r="BA18" s="160">
        <v>51538.064999999973</v>
      </c>
      <c r="BB18" s="257">
        <v>13641.074412961294</v>
      </c>
      <c r="BC18" s="57"/>
      <c r="BD18" s="204"/>
      <c r="BE18" s="57"/>
    </row>
    <row r="19" spans="1:57" x14ac:dyDescent="0.25">
      <c r="A19" s="234">
        <v>71</v>
      </c>
      <c r="B19" s="241" t="s">
        <v>1329</v>
      </c>
      <c r="C19" s="224">
        <v>134</v>
      </c>
      <c r="D19" s="57" t="s">
        <v>1330</v>
      </c>
      <c r="E19" s="20">
        <v>6700.0025000000005</v>
      </c>
      <c r="F19" s="224">
        <v>50.000018656716421</v>
      </c>
      <c r="G19" s="224">
        <v>134</v>
      </c>
      <c r="H19" s="20">
        <v>4537.241</v>
      </c>
      <c r="I19" s="224">
        <v>33.860007462686568</v>
      </c>
      <c r="J19" s="250">
        <v>0</v>
      </c>
      <c r="K19" s="160">
        <v>0</v>
      </c>
      <c r="L19" s="160">
        <v>0</v>
      </c>
      <c r="M19" s="160">
        <v>0</v>
      </c>
      <c r="N19" s="160">
        <v>0</v>
      </c>
      <c r="O19" s="250">
        <v>0</v>
      </c>
      <c r="P19" s="160">
        <v>0</v>
      </c>
      <c r="Q19" s="160">
        <v>0</v>
      </c>
      <c r="R19" s="160">
        <v>0</v>
      </c>
      <c r="S19" s="160">
        <v>0</v>
      </c>
      <c r="T19" s="250">
        <v>134</v>
      </c>
      <c r="U19" s="160">
        <v>6700.0025000000005</v>
      </c>
      <c r="V19" s="160">
        <v>0</v>
      </c>
      <c r="W19" s="160">
        <v>0</v>
      </c>
      <c r="X19" s="160">
        <v>0</v>
      </c>
      <c r="Y19" s="250">
        <v>134</v>
      </c>
      <c r="Z19" s="160">
        <v>6700.0025000000005</v>
      </c>
      <c r="AA19" s="160">
        <v>0</v>
      </c>
      <c r="AB19" s="160">
        <v>0</v>
      </c>
      <c r="AC19" s="160">
        <v>0</v>
      </c>
      <c r="AD19" s="250">
        <v>134</v>
      </c>
      <c r="AE19" s="160">
        <v>6700.0025000000005</v>
      </c>
      <c r="AF19" s="160">
        <v>46</v>
      </c>
      <c r="AG19" s="160">
        <v>1562.241</v>
      </c>
      <c r="AH19" s="160">
        <v>2300.0008582089554</v>
      </c>
      <c r="AI19" s="250">
        <v>134</v>
      </c>
      <c r="AJ19" s="160">
        <v>6700.0025000000005</v>
      </c>
      <c r="AK19" s="160">
        <v>134</v>
      </c>
      <c r="AL19" s="160">
        <v>4537.241</v>
      </c>
      <c r="AM19" s="160">
        <v>6700.0025000000005</v>
      </c>
      <c r="AN19" s="250">
        <v>134</v>
      </c>
      <c r="AO19" s="160">
        <v>6700.0025000000005</v>
      </c>
      <c r="AP19" s="160">
        <v>134</v>
      </c>
      <c r="AQ19" s="160">
        <v>4537.241</v>
      </c>
      <c r="AR19" s="160">
        <v>6700.0025000000005</v>
      </c>
      <c r="AS19" s="250">
        <v>134</v>
      </c>
      <c r="AT19" s="160">
        <v>6700.0025000000005</v>
      </c>
      <c r="AU19" s="160">
        <v>134</v>
      </c>
      <c r="AV19" s="160">
        <v>4537.241</v>
      </c>
      <c r="AW19" s="160">
        <v>6700.0025000000005</v>
      </c>
      <c r="AX19" s="250">
        <v>134</v>
      </c>
      <c r="AY19" s="160">
        <v>6700.0025000000005</v>
      </c>
      <c r="AZ19" s="160">
        <v>134</v>
      </c>
      <c r="BA19" s="160">
        <v>4537.241</v>
      </c>
      <c r="BB19" s="257">
        <v>6700.0025000000005</v>
      </c>
      <c r="BC19" s="57"/>
      <c r="BD19" s="204"/>
      <c r="BE19" s="57"/>
    </row>
    <row r="20" spans="1:57" x14ac:dyDescent="0.25">
      <c r="A20" s="234">
        <v>72</v>
      </c>
      <c r="B20" s="241" t="s">
        <v>1331</v>
      </c>
      <c r="C20" s="224">
        <v>11</v>
      </c>
      <c r="D20" s="57" t="s">
        <v>1332</v>
      </c>
      <c r="E20" s="20">
        <v>32902.262095287952</v>
      </c>
      <c r="F20" s="224">
        <v>2991.1147359352685</v>
      </c>
      <c r="G20" s="224">
        <v>11</v>
      </c>
      <c r="H20" s="20">
        <v>18303.345000000005</v>
      </c>
      <c r="I20" s="224">
        <v>1663.9404545454549</v>
      </c>
      <c r="J20" s="250">
        <v>0</v>
      </c>
      <c r="K20" s="160">
        <v>0</v>
      </c>
      <c r="L20" s="160">
        <v>0</v>
      </c>
      <c r="M20" s="160">
        <v>0</v>
      </c>
      <c r="N20" s="160">
        <v>0</v>
      </c>
      <c r="O20" s="250">
        <v>11</v>
      </c>
      <c r="P20" s="160">
        <v>32902.262095287952</v>
      </c>
      <c r="Q20" s="160">
        <v>8</v>
      </c>
      <c r="R20" s="160">
        <v>12371.184999999999</v>
      </c>
      <c r="S20" s="160">
        <v>23928.917887482148</v>
      </c>
      <c r="T20" s="250">
        <v>11</v>
      </c>
      <c r="U20" s="160">
        <v>32902.262095287952</v>
      </c>
      <c r="V20" s="160">
        <v>9.5</v>
      </c>
      <c r="W20" s="160">
        <v>14502.865</v>
      </c>
      <c r="X20" s="160">
        <v>28415.589991385048</v>
      </c>
      <c r="Y20" s="250">
        <v>11</v>
      </c>
      <c r="Z20" s="160">
        <v>32902.262095287952</v>
      </c>
      <c r="AA20" s="160">
        <v>10.5</v>
      </c>
      <c r="AB20" s="160">
        <v>17386.22</v>
      </c>
      <c r="AC20" s="160">
        <v>31406.704727320317</v>
      </c>
      <c r="AD20" s="250">
        <v>11</v>
      </c>
      <c r="AE20" s="160">
        <v>32902.262095287952</v>
      </c>
      <c r="AF20" s="160">
        <v>11</v>
      </c>
      <c r="AG20" s="160">
        <v>18303.345000000005</v>
      </c>
      <c r="AH20" s="160">
        <v>32902.262095287952</v>
      </c>
      <c r="AI20" s="250">
        <v>11</v>
      </c>
      <c r="AJ20" s="160">
        <v>32902.262095287952</v>
      </c>
      <c r="AK20" s="160">
        <v>11</v>
      </c>
      <c r="AL20" s="160">
        <v>18303.345000000005</v>
      </c>
      <c r="AM20" s="160">
        <v>32902.262095287952</v>
      </c>
      <c r="AN20" s="250">
        <v>11</v>
      </c>
      <c r="AO20" s="160">
        <v>32902.262095287952</v>
      </c>
      <c r="AP20" s="160">
        <v>11</v>
      </c>
      <c r="AQ20" s="160">
        <v>18303.345000000005</v>
      </c>
      <c r="AR20" s="160">
        <v>32902.262095287952</v>
      </c>
      <c r="AS20" s="250">
        <v>11</v>
      </c>
      <c r="AT20" s="160">
        <v>32902.262095287952</v>
      </c>
      <c r="AU20" s="160">
        <v>11</v>
      </c>
      <c r="AV20" s="160">
        <v>18303.345000000005</v>
      </c>
      <c r="AW20" s="160">
        <v>32902.262095287952</v>
      </c>
      <c r="AX20" s="250">
        <v>11</v>
      </c>
      <c r="AY20" s="160">
        <v>32902.262095287952</v>
      </c>
      <c r="AZ20" s="160">
        <v>11</v>
      </c>
      <c r="BA20" s="160">
        <v>18303.345000000005</v>
      </c>
      <c r="BB20" s="257">
        <v>32902.262095287952</v>
      </c>
      <c r="BC20" s="57"/>
      <c r="BD20" s="204"/>
      <c r="BE20" s="57"/>
    </row>
    <row r="21" spans="1:57" x14ac:dyDescent="0.25">
      <c r="A21" s="234">
        <v>81</v>
      </c>
      <c r="B21" s="241" t="s">
        <v>1333</v>
      </c>
      <c r="C21" s="224">
        <v>12.2</v>
      </c>
      <c r="D21" s="57" t="s">
        <v>1330</v>
      </c>
      <c r="E21" s="20">
        <v>31756.297167308654</v>
      </c>
      <c r="F21" s="224">
        <v>2602.9751776482503</v>
      </c>
      <c r="G21" s="224">
        <v>12.2</v>
      </c>
      <c r="H21" s="20">
        <v>29127.06</v>
      </c>
      <c r="I21" s="224">
        <v>2387.4639344262296</v>
      </c>
      <c r="J21" s="250">
        <v>6.1</v>
      </c>
      <c r="K21" s="160">
        <v>15878.148583654327</v>
      </c>
      <c r="L21" s="160">
        <v>6</v>
      </c>
      <c r="M21" s="160">
        <v>11906.410000000002</v>
      </c>
      <c r="N21" s="160">
        <v>15617.851065889503</v>
      </c>
      <c r="O21" s="250">
        <v>12.2</v>
      </c>
      <c r="P21" s="160">
        <v>31756.297167308654</v>
      </c>
      <c r="Q21" s="160">
        <v>9.76</v>
      </c>
      <c r="R21" s="160">
        <v>27821.715</v>
      </c>
      <c r="S21" s="160">
        <v>25405.037733846926</v>
      </c>
      <c r="T21" s="250">
        <v>12.2</v>
      </c>
      <c r="U21" s="160">
        <v>31756.297167308654</v>
      </c>
      <c r="V21" s="160">
        <v>9.76</v>
      </c>
      <c r="W21" s="160">
        <v>27821.715</v>
      </c>
      <c r="X21" s="160">
        <v>25405.037733846926</v>
      </c>
      <c r="Y21" s="250">
        <v>12.2</v>
      </c>
      <c r="Z21" s="160">
        <v>31756.297167308654</v>
      </c>
      <c r="AA21" s="160">
        <v>12.2</v>
      </c>
      <c r="AB21" s="160">
        <v>28091.715</v>
      </c>
      <c r="AC21" s="160">
        <v>31756.297167308654</v>
      </c>
      <c r="AD21" s="250">
        <v>12.2</v>
      </c>
      <c r="AE21" s="160">
        <v>31756.297167308654</v>
      </c>
      <c r="AF21" s="160">
        <v>12.2</v>
      </c>
      <c r="AG21" s="160">
        <v>29127.06</v>
      </c>
      <c r="AH21" s="160">
        <v>31756.297167308654</v>
      </c>
      <c r="AI21" s="250">
        <v>12.2</v>
      </c>
      <c r="AJ21" s="160">
        <v>31756.297167308654</v>
      </c>
      <c r="AK21" s="160">
        <v>12.2</v>
      </c>
      <c r="AL21" s="160">
        <v>29127.06</v>
      </c>
      <c r="AM21" s="160">
        <v>31756.297167308654</v>
      </c>
      <c r="AN21" s="250">
        <v>12.2</v>
      </c>
      <c r="AO21" s="160">
        <v>31756.297167308654</v>
      </c>
      <c r="AP21" s="160">
        <v>12.2</v>
      </c>
      <c r="AQ21" s="160">
        <v>29127.06</v>
      </c>
      <c r="AR21" s="160">
        <v>31756.297167308654</v>
      </c>
      <c r="AS21" s="250">
        <v>12.2</v>
      </c>
      <c r="AT21" s="160">
        <v>31756.297167308654</v>
      </c>
      <c r="AU21" s="160">
        <v>12.2</v>
      </c>
      <c r="AV21" s="160">
        <v>29127.06</v>
      </c>
      <c r="AW21" s="160">
        <v>31756.297167308654</v>
      </c>
      <c r="AX21" s="250">
        <v>12.2</v>
      </c>
      <c r="AY21" s="160">
        <v>31756.297167308654</v>
      </c>
      <c r="AZ21" s="160">
        <v>12.2</v>
      </c>
      <c r="BA21" s="160">
        <v>29127.06</v>
      </c>
      <c r="BB21" s="257">
        <v>31756.297167308654</v>
      </c>
      <c r="BC21" s="57"/>
      <c r="BD21" s="204"/>
      <c r="BE21" s="57"/>
    </row>
    <row r="22" spans="1:57" x14ac:dyDescent="0.25">
      <c r="A22" s="234">
        <v>111</v>
      </c>
      <c r="B22" s="241" t="s">
        <v>1334</v>
      </c>
      <c r="C22" s="224">
        <v>157</v>
      </c>
      <c r="D22" s="57" t="s">
        <v>1330</v>
      </c>
      <c r="E22" s="20">
        <v>12960.463999999998</v>
      </c>
      <c r="F22" s="224">
        <v>82.550726114649663</v>
      </c>
      <c r="G22" s="224">
        <v>157</v>
      </c>
      <c r="H22" s="20">
        <v>8890.2149999999983</v>
      </c>
      <c r="I22" s="224">
        <v>56.625573248407633</v>
      </c>
      <c r="J22" s="250">
        <v>0</v>
      </c>
      <c r="K22" s="160">
        <v>0</v>
      </c>
      <c r="L22" s="160">
        <v>0</v>
      </c>
      <c r="M22" s="160">
        <v>0</v>
      </c>
      <c r="N22" s="160">
        <v>0</v>
      </c>
      <c r="O22" s="250">
        <v>0</v>
      </c>
      <c r="P22" s="160">
        <v>0</v>
      </c>
      <c r="Q22" s="160">
        <v>0</v>
      </c>
      <c r="R22" s="160">
        <v>0</v>
      </c>
      <c r="S22" s="160">
        <v>0</v>
      </c>
      <c r="T22" s="250">
        <v>157</v>
      </c>
      <c r="U22" s="160">
        <v>12960.463999999996</v>
      </c>
      <c r="V22" s="160">
        <v>35</v>
      </c>
      <c r="W22" s="160">
        <v>2010.2700000000002</v>
      </c>
      <c r="X22" s="160">
        <v>2889.2754140127386</v>
      </c>
      <c r="Y22" s="250">
        <v>157</v>
      </c>
      <c r="Z22" s="160">
        <v>12960.463999999996</v>
      </c>
      <c r="AA22" s="160">
        <v>35</v>
      </c>
      <c r="AB22" s="160">
        <v>2010.2700000000002</v>
      </c>
      <c r="AC22" s="160">
        <v>2889.2754140127386</v>
      </c>
      <c r="AD22" s="250">
        <v>157</v>
      </c>
      <c r="AE22" s="160">
        <v>12960.463999999996</v>
      </c>
      <c r="AF22" s="160">
        <v>130</v>
      </c>
      <c r="AG22" s="160">
        <v>7286.2950000000001</v>
      </c>
      <c r="AH22" s="160">
        <v>10731.594394904458</v>
      </c>
      <c r="AI22" s="250">
        <v>157</v>
      </c>
      <c r="AJ22" s="160">
        <v>12960.463999999996</v>
      </c>
      <c r="AK22" s="160">
        <v>157</v>
      </c>
      <c r="AL22" s="160">
        <v>8890.2149999999983</v>
      </c>
      <c r="AM22" s="160">
        <v>12960.463999999998</v>
      </c>
      <c r="AN22" s="250">
        <v>157</v>
      </c>
      <c r="AO22" s="160">
        <v>12960.463999999996</v>
      </c>
      <c r="AP22" s="160">
        <v>157</v>
      </c>
      <c r="AQ22" s="160">
        <v>8890.2149999999983</v>
      </c>
      <c r="AR22" s="160">
        <v>12960.463999999998</v>
      </c>
      <c r="AS22" s="250">
        <v>157</v>
      </c>
      <c r="AT22" s="160">
        <v>12960.463999999996</v>
      </c>
      <c r="AU22" s="160">
        <v>157</v>
      </c>
      <c r="AV22" s="160">
        <v>8890.2149999999983</v>
      </c>
      <c r="AW22" s="160">
        <v>12960.463999999998</v>
      </c>
      <c r="AX22" s="250">
        <v>157</v>
      </c>
      <c r="AY22" s="160">
        <v>12960.463999999996</v>
      </c>
      <c r="AZ22" s="160">
        <v>157</v>
      </c>
      <c r="BA22" s="160">
        <v>8890.2149999999983</v>
      </c>
      <c r="BB22" s="257">
        <v>12960.463999999998</v>
      </c>
      <c r="BC22" s="57"/>
      <c r="BD22" s="204"/>
      <c r="BE22" s="57"/>
    </row>
    <row r="23" spans="1:57" x14ac:dyDescent="0.25">
      <c r="A23" s="234">
        <v>121</v>
      </c>
      <c r="B23" s="241" t="s">
        <v>1360</v>
      </c>
      <c r="C23" s="224">
        <v>29830</v>
      </c>
      <c r="D23" s="57"/>
      <c r="E23" s="20">
        <v>29981.050000000003</v>
      </c>
      <c r="F23" s="224">
        <v>1.005063694267516</v>
      </c>
      <c r="G23" s="224">
        <v>0</v>
      </c>
      <c r="H23" s="20">
        <v>57433.552500000005</v>
      </c>
      <c r="I23" s="224">
        <v>0</v>
      </c>
      <c r="J23" s="250"/>
      <c r="M23" s="160">
        <v>0</v>
      </c>
      <c r="O23" s="250"/>
      <c r="R23" s="160">
        <v>0</v>
      </c>
      <c r="T23" s="250"/>
      <c r="W23" s="160">
        <v>0</v>
      </c>
      <c r="Y23" s="250"/>
      <c r="AB23" s="160">
        <v>0</v>
      </c>
      <c r="AD23" s="250">
        <v>29830</v>
      </c>
      <c r="AE23" s="160">
        <v>29981.050000000003</v>
      </c>
      <c r="AF23" s="160">
        <v>0</v>
      </c>
      <c r="AG23" s="160">
        <v>0</v>
      </c>
      <c r="AH23" s="160">
        <v>29981.050000000003</v>
      </c>
      <c r="AI23" s="250">
        <v>29830</v>
      </c>
      <c r="AJ23" s="160">
        <v>29981.050000000003</v>
      </c>
      <c r="AK23" s="160">
        <v>0</v>
      </c>
      <c r="AL23" s="160">
        <v>0</v>
      </c>
      <c r="AM23" s="160">
        <v>29981.050000000003</v>
      </c>
      <c r="AN23" s="250">
        <v>29830</v>
      </c>
      <c r="AO23" s="160">
        <v>29981.050000000003</v>
      </c>
      <c r="AP23" s="160">
        <v>0</v>
      </c>
      <c r="AQ23" s="160">
        <v>0</v>
      </c>
      <c r="AR23" s="160">
        <v>29981.050000000003</v>
      </c>
      <c r="AS23" s="250">
        <v>29830</v>
      </c>
      <c r="AT23" s="160">
        <v>29981.050000000003</v>
      </c>
      <c r="AU23" s="160">
        <v>0</v>
      </c>
      <c r="AV23" s="160">
        <v>0</v>
      </c>
      <c r="AW23" s="160">
        <v>29981.050000000003</v>
      </c>
      <c r="AX23" s="250">
        <v>29830</v>
      </c>
      <c r="AY23" s="160">
        <v>29981.050000000003</v>
      </c>
      <c r="AZ23" s="160">
        <v>0</v>
      </c>
      <c r="BA23" s="160">
        <v>0</v>
      </c>
      <c r="BB23" s="257">
        <v>29981.050000000003</v>
      </c>
      <c r="BC23" s="57"/>
      <c r="BD23" s="204"/>
      <c r="BE23" s="57"/>
    </row>
    <row r="24" spans="1:57" x14ac:dyDescent="0.25">
      <c r="A24" s="234">
        <v>141</v>
      </c>
      <c r="B24" s="241" t="s">
        <v>1335</v>
      </c>
      <c r="C24" s="224">
        <v>1104</v>
      </c>
      <c r="D24" s="57" t="s">
        <v>1312</v>
      </c>
      <c r="E24" s="20">
        <v>115916.75314</v>
      </c>
      <c r="F24" s="224">
        <v>104.99705900362319</v>
      </c>
      <c r="G24" s="224">
        <v>545</v>
      </c>
      <c r="H24" s="20">
        <v>2466.4249999999997</v>
      </c>
      <c r="I24" s="224">
        <v>4.5255504587155961</v>
      </c>
      <c r="J24" s="250">
        <v>50</v>
      </c>
      <c r="K24" s="160">
        <v>5249.8529501811599</v>
      </c>
      <c r="L24" s="160">
        <v>0</v>
      </c>
      <c r="M24" s="160">
        <v>0</v>
      </c>
      <c r="N24" s="160">
        <v>0</v>
      </c>
      <c r="O24" s="250">
        <v>250</v>
      </c>
      <c r="P24" s="160">
        <v>26249.264750905797</v>
      </c>
      <c r="Q24" s="160">
        <v>122</v>
      </c>
      <c r="R24" s="160">
        <v>12821.645</v>
      </c>
      <c r="S24" s="160">
        <v>25948.337400146789</v>
      </c>
      <c r="T24" s="250">
        <v>450</v>
      </c>
      <c r="U24" s="160">
        <v>47248.676551630437</v>
      </c>
      <c r="V24" s="160">
        <v>219</v>
      </c>
      <c r="W24" s="160">
        <v>23008.691500000004</v>
      </c>
      <c r="X24" s="160">
        <v>46579.392546165138</v>
      </c>
      <c r="Y24" s="250">
        <v>750</v>
      </c>
      <c r="Z24" s="160">
        <v>78747.794252717387</v>
      </c>
      <c r="AA24" s="160">
        <v>330</v>
      </c>
      <c r="AB24" s="160">
        <v>34629.251499999998</v>
      </c>
      <c r="AC24" s="160">
        <v>70188.125754495413</v>
      </c>
      <c r="AD24" s="250">
        <v>1104</v>
      </c>
      <c r="AE24" s="160">
        <v>115916.75314</v>
      </c>
      <c r="AF24" s="160">
        <v>480</v>
      </c>
      <c r="AG24" s="160">
        <v>50846.506500000003</v>
      </c>
      <c r="AH24" s="160">
        <v>102091.81927926606</v>
      </c>
      <c r="AI24" s="250">
        <v>1104</v>
      </c>
      <c r="AJ24" s="160">
        <v>115916.75314</v>
      </c>
      <c r="AK24" s="160">
        <v>481</v>
      </c>
      <c r="AL24" s="160">
        <v>51017.002500000002</v>
      </c>
      <c r="AM24" s="160">
        <v>102304.51056943119</v>
      </c>
      <c r="AN24" s="250">
        <v>1104</v>
      </c>
      <c r="AO24" s="160">
        <v>115916.75314</v>
      </c>
      <c r="AP24" s="160">
        <v>481</v>
      </c>
      <c r="AQ24" s="160">
        <v>51017.002500000002</v>
      </c>
      <c r="AR24" s="160">
        <v>102304.51056943119</v>
      </c>
      <c r="AS24" s="250">
        <v>1104</v>
      </c>
      <c r="AT24" s="160">
        <v>115916.75314</v>
      </c>
      <c r="AU24" s="160">
        <v>481</v>
      </c>
      <c r="AV24" s="160">
        <v>51017.002500000002</v>
      </c>
      <c r="AW24" s="160">
        <v>102304.51056943119</v>
      </c>
      <c r="AX24" s="250">
        <v>1104</v>
      </c>
      <c r="AY24" s="160">
        <v>115916.75314</v>
      </c>
      <c r="AZ24" s="160">
        <v>545</v>
      </c>
      <c r="BA24" s="160">
        <v>57433.552500000005</v>
      </c>
      <c r="BB24" s="257">
        <v>115916.75314</v>
      </c>
      <c r="BC24" s="57"/>
      <c r="BD24" s="204"/>
      <c r="BE24" s="57"/>
    </row>
    <row r="25" spans="1:57" x14ac:dyDescent="0.25">
      <c r="A25" s="234">
        <v>151</v>
      </c>
      <c r="B25" s="241" t="s">
        <v>1336</v>
      </c>
      <c r="C25" s="224">
        <v>40</v>
      </c>
      <c r="D25" s="57" t="s">
        <v>1332</v>
      </c>
      <c r="E25" s="20">
        <v>4542.666666666667</v>
      </c>
      <c r="F25" s="224">
        <v>113.56666666666668</v>
      </c>
      <c r="G25" s="224">
        <v>40</v>
      </c>
      <c r="H25" s="20">
        <v>23785.751000000004</v>
      </c>
      <c r="I25" s="224">
        <v>594.64377500000012</v>
      </c>
      <c r="J25" s="250">
        <v>0</v>
      </c>
      <c r="K25" s="160">
        <v>0</v>
      </c>
      <c r="L25" s="160">
        <v>0</v>
      </c>
      <c r="M25" s="160">
        <v>0</v>
      </c>
      <c r="N25" s="160">
        <v>0</v>
      </c>
      <c r="O25" s="250">
        <v>40</v>
      </c>
      <c r="P25" s="160">
        <v>4542.666666666667</v>
      </c>
      <c r="Q25" s="160">
        <v>0</v>
      </c>
      <c r="R25" s="160">
        <v>0</v>
      </c>
      <c r="S25" s="160">
        <v>0</v>
      </c>
      <c r="T25" s="250">
        <v>40</v>
      </c>
      <c r="U25" s="160">
        <v>4542.666666666667</v>
      </c>
      <c r="V25" s="160">
        <v>0</v>
      </c>
      <c r="W25" s="160">
        <v>0</v>
      </c>
      <c r="X25" s="160">
        <v>0</v>
      </c>
      <c r="Y25" s="250">
        <v>40</v>
      </c>
      <c r="Z25" s="160">
        <v>4542.666666666667</v>
      </c>
      <c r="AA25" s="160">
        <v>40</v>
      </c>
      <c r="AB25" s="160">
        <v>2466.4249999999997</v>
      </c>
      <c r="AC25" s="160">
        <v>4542.666666666667</v>
      </c>
      <c r="AD25" s="250">
        <v>40</v>
      </c>
      <c r="AE25" s="160">
        <v>4542.666666666667</v>
      </c>
      <c r="AF25" s="160">
        <v>40</v>
      </c>
      <c r="AG25" s="160">
        <v>2466.4249999999997</v>
      </c>
      <c r="AH25" s="160">
        <v>4542.666666666667</v>
      </c>
      <c r="AI25" s="250">
        <v>40</v>
      </c>
      <c r="AJ25" s="160">
        <v>4542.666666666667</v>
      </c>
      <c r="AK25" s="160">
        <v>40</v>
      </c>
      <c r="AL25" s="160">
        <v>2466.4249999999997</v>
      </c>
      <c r="AM25" s="160">
        <v>4542.666666666667</v>
      </c>
      <c r="AN25" s="250">
        <v>40</v>
      </c>
      <c r="AO25" s="160">
        <v>4542.666666666667</v>
      </c>
      <c r="AP25" s="160">
        <v>40</v>
      </c>
      <c r="AQ25" s="160">
        <v>2466.4249999999997</v>
      </c>
      <c r="AR25" s="160">
        <v>4542.666666666667</v>
      </c>
      <c r="AS25" s="250">
        <v>40</v>
      </c>
      <c r="AT25" s="160">
        <v>4542.666666666667</v>
      </c>
      <c r="AU25" s="160">
        <v>40</v>
      </c>
      <c r="AV25" s="160">
        <v>2466.4249999999997</v>
      </c>
      <c r="AW25" s="160">
        <v>4542.666666666667</v>
      </c>
      <c r="AX25" s="250">
        <v>40</v>
      </c>
      <c r="AY25" s="160">
        <v>4542.666666666667</v>
      </c>
      <c r="AZ25" s="160">
        <v>40</v>
      </c>
      <c r="BA25" s="160">
        <v>2466.4249999999997</v>
      </c>
      <c r="BB25" s="257">
        <v>4542.666666666667</v>
      </c>
      <c r="BC25" s="57"/>
      <c r="BD25" s="204"/>
      <c r="BE25" s="57"/>
    </row>
    <row r="26" spans="1:57" x14ac:dyDescent="0.25">
      <c r="A26" s="234">
        <v>181</v>
      </c>
      <c r="B26" s="241" t="s">
        <v>1337</v>
      </c>
      <c r="C26" s="224">
        <v>59.48</v>
      </c>
      <c r="D26" s="57" t="s">
        <v>1330</v>
      </c>
      <c r="E26" s="20">
        <v>8767.4999999999982</v>
      </c>
      <c r="F26" s="224">
        <v>147.40248823133825</v>
      </c>
      <c r="G26" s="224">
        <v>59.48</v>
      </c>
      <c r="H26" s="20">
        <v>0</v>
      </c>
      <c r="I26" s="224">
        <v>0</v>
      </c>
      <c r="J26" s="250">
        <v>0</v>
      </c>
      <c r="K26" s="160">
        <v>0</v>
      </c>
      <c r="L26" s="160">
        <v>0</v>
      </c>
      <c r="M26" s="160">
        <v>0</v>
      </c>
      <c r="N26" s="160">
        <v>0</v>
      </c>
      <c r="O26" s="250">
        <v>40</v>
      </c>
      <c r="P26" s="160">
        <v>5896.0995292535299</v>
      </c>
      <c r="Q26" s="160">
        <v>44</v>
      </c>
      <c r="R26" s="160">
        <v>17252.126</v>
      </c>
      <c r="S26" s="160">
        <v>6485.7094821788824</v>
      </c>
      <c r="T26" s="250">
        <v>59.48</v>
      </c>
      <c r="U26" s="160">
        <v>8767.4999999999982</v>
      </c>
      <c r="V26" s="160">
        <v>44</v>
      </c>
      <c r="W26" s="160">
        <v>17252.126</v>
      </c>
      <c r="X26" s="160">
        <v>6485.7094821788824</v>
      </c>
      <c r="Y26" s="250">
        <v>59.48</v>
      </c>
      <c r="Z26" s="160">
        <v>8767.4999999999982</v>
      </c>
      <c r="AA26" s="160">
        <v>44</v>
      </c>
      <c r="AB26" s="160">
        <v>17252.126</v>
      </c>
      <c r="AC26" s="160">
        <v>6485.7094821788824</v>
      </c>
      <c r="AD26" s="250">
        <v>59.48</v>
      </c>
      <c r="AE26" s="160">
        <v>8767.4999999999982</v>
      </c>
      <c r="AF26" s="160">
        <v>59.48</v>
      </c>
      <c r="AG26" s="160">
        <v>23785.751000000004</v>
      </c>
      <c r="AH26" s="160">
        <v>8767.4999999999982</v>
      </c>
      <c r="AI26" s="250">
        <v>59.48</v>
      </c>
      <c r="AJ26" s="160">
        <v>8767.4999999999982</v>
      </c>
      <c r="AK26" s="160">
        <v>59.48</v>
      </c>
      <c r="AL26" s="160">
        <v>23785.751000000004</v>
      </c>
      <c r="AM26" s="160">
        <v>8767.4999999999982</v>
      </c>
      <c r="AN26" s="250">
        <v>59.48</v>
      </c>
      <c r="AO26" s="160">
        <v>8767.4999999999982</v>
      </c>
      <c r="AP26" s="160">
        <v>59.48</v>
      </c>
      <c r="AQ26" s="160">
        <v>23785.751000000004</v>
      </c>
      <c r="AR26" s="160">
        <v>8767.4999999999982</v>
      </c>
      <c r="AS26" s="250">
        <v>59.48</v>
      </c>
      <c r="AT26" s="160">
        <v>8767.4999999999982</v>
      </c>
      <c r="AU26" s="160">
        <v>59.48</v>
      </c>
      <c r="AV26" s="160">
        <v>23785.751000000004</v>
      </c>
      <c r="AW26" s="160">
        <v>8767.4999999999982</v>
      </c>
      <c r="AX26" s="250">
        <v>59.48</v>
      </c>
      <c r="AY26" s="160">
        <v>8767.4999999999982</v>
      </c>
      <c r="AZ26" s="160">
        <v>59.48</v>
      </c>
      <c r="BA26" s="160">
        <v>23785.751000000004</v>
      </c>
      <c r="BB26" s="257">
        <v>8767.4999999999982</v>
      </c>
      <c r="BC26" s="57"/>
      <c r="BD26" s="204"/>
      <c r="BE26" s="57"/>
    </row>
    <row r="27" spans="1:57" x14ac:dyDescent="0.25">
      <c r="A27" s="234">
        <v>901</v>
      </c>
      <c r="B27" s="241" t="s">
        <v>1338</v>
      </c>
      <c r="C27" s="224">
        <v>10</v>
      </c>
      <c r="D27" s="57" t="s">
        <v>1339</v>
      </c>
      <c r="E27" s="20">
        <v>32400</v>
      </c>
      <c r="F27" s="224">
        <v>3240</v>
      </c>
      <c r="G27" s="224">
        <v>1.8</v>
      </c>
      <c r="H27" s="20">
        <v>5950</v>
      </c>
      <c r="I27" s="224">
        <v>3305.5555555555557</v>
      </c>
      <c r="J27" s="250">
        <v>1</v>
      </c>
      <c r="K27" s="160">
        <v>3240</v>
      </c>
      <c r="L27" s="160">
        <v>0</v>
      </c>
      <c r="M27" s="160">
        <v>0</v>
      </c>
      <c r="N27" s="160">
        <v>0</v>
      </c>
      <c r="O27" s="250">
        <v>3</v>
      </c>
      <c r="P27" s="160">
        <v>9720</v>
      </c>
      <c r="Q27" s="160">
        <v>1.8</v>
      </c>
      <c r="R27" s="160">
        <v>5950</v>
      </c>
      <c r="S27" s="160">
        <v>32400</v>
      </c>
      <c r="T27" s="250">
        <v>5</v>
      </c>
      <c r="U27" s="160">
        <v>16200</v>
      </c>
      <c r="V27" s="160">
        <v>1.8</v>
      </c>
      <c r="W27" s="160">
        <v>5950</v>
      </c>
      <c r="X27" s="160">
        <v>32400</v>
      </c>
      <c r="Y27" s="250">
        <v>7</v>
      </c>
      <c r="Z27" s="160">
        <v>22680</v>
      </c>
      <c r="AA27" s="160">
        <v>1.8</v>
      </c>
      <c r="AB27" s="160">
        <v>5950</v>
      </c>
      <c r="AC27" s="160">
        <v>32400</v>
      </c>
      <c r="AD27" s="250">
        <v>9</v>
      </c>
      <c r="AE27" s="160">
        <v>29160</v>
      </c>
      <c r="AF27" s="160">
        <v>1.8</v>
      </c>
      <c r="AG27" s="160">
        <v>5950</v>
      </c>
      <c r="AH27" s="160">
        <v>32400</v>
      </c>
      <c r="AI27" s="250">
        <v>10</v>
      </c>
      <c r="AJ27" s="160">
        <v>32400</v>
      </c>
      <c r="AK27" s="160">
        <v>1.8</v>
      </c>
      <c r="AL27" s="160">
        <v>5950</v>
      </c>
      <c r="AM27" s="160">
        <v>32400</v>
      </c>
      <c r="AN27" s="250">
        <v>10</v>
      </c>
      <c r="AO27" s="160">
        <v>32400</v>
      </c>
      <c r="AP27" s="160">
        <v>1.8</v>
      </c>
      <c r="AQ27" s="160">
        <v>5950</v>
      </c>
      <c r="AR27" s="160">
        <v>32400</v>
      </c>
      <c r="AS27" s="250">
        <v>10</v>
      </c>
      <c r="AT27" s="160">
        <v>32400</v>
      </c>
      <c r="AU27" s="160">
        <v>1.8</v>
      </c>
      <c r="AV27" s="160">
        <v>5950</v>
      </c>
      <c r="AW27" s="160">
        <v>32400</v>
      </c>
      <c r="AX27" s="250">
        <v>10</v>
      </c>
      <c r="AY27" s="160">
        <v>32400</v>
      </c>
      <c r="AZ27" s="160">
        <v>1.8</v>
      </c>
      <c r="BA27" s="160">
        <v>5950</v>
      </c>
      <c r="BB27" s="257">
        <v>32400</v>
      </c>
      <c r="BC27" s="57"/>
      <c r="BD27" s="204"/>
      <c r="BE27" s="57"/>
    </row>
    <row r="28" spans="1:57" x14ac:dyDescent="0.25">
      <c r="A28" s="234">
        <v>902</v>
      </c>
      <c r="B28" s="241" t="s">
        <v>505</v>
      </c>
      <c r="C28" s="224">
        <v>16</v>
      </c>
      <c r="D28" s="57" t="s">
        <v>1339</v>
      </c>
      <c r="E28" s="20">
        <v>53600</v>
      </c>
      <c r="F28" s="224">
        <v>3350</v>
      </c>
      <c r="G28" s="224">
        <v>19.5</v>
      </c>
      <c r="H28" s="20">
        <v>65379.849999999969</v>
      </c>
      <c r="I28" s="224">
        <v>3352.8128205128191</v>
      </c>
      <c r="J28" s="250">
        <v>2</v>
      </c>
      <c r="K28" s="160">
        <v>6700</v>
      </c>
      <c r="L28" s="160">
        <v>1.1000000000000001</v>
      </c>
      <c r="M28" s="160">
        <v>3721.65</v>
      </c>
      <c r="N28" s="160">
        <v>3023.5897435897441</v>
      </c>
      <c r="O28" s="250">
        <v>9</v>
      </c>
      <c r="P28" s="160">
        <v>30150</v>
      </c>
      <c r="Q28" s="160">
        <v>7.9</v>
      </c>
      <c r="R28" s="160">
        <v>26574.774999999998</v>
      </c>
      <c r="S28" s="160">
        <v>21714.871794871797</v>
      </c>
      <c r="T28" s="250">
        <v>12</v>
      </c>
      <c r="U28" s="160">
        <v>40200</v>
      </c>
      <c r="V28" s="160">
        <v>10.5</v>
      </c>
      <c r="W28" s="160">
        <v>35074.774999999994</v>
      </c>
      <c r="X28" s="160">
        <v>28861.538461538461</v>
      </c>
      <c r="Y28" s="250">
        <v>15</v>
      </c>
      <c r="Z28" s="160">
        <v>50250</v>
      </c>
      <c r="AA28" s="160">
        <v>15.8</v>
      </c>
      <c r="AB28" s="160">
        <v>53029.899999999994</v>
      </c>
      <c r="AC28" s="160">
        <v>43429.743589743593</v>
      </c>
      <c r="AD28" s="250">
        <v>16</v>
      </c>
      <c r="AE28" s="160">
        <v>53600</v>
      </c>
      <c r="AF28" s="160">
        <v>18</v>
      </c>
      <c r="AG28" s="160">
        <v>62991.049999999974</v>
      </c>
      <c r="AH28" s="160">
        <v>49476.923076923078</v>
      </c>
      <c r="AI28" s="250">
        <v>16</v>
      </c>
      <c r="AJ28" s="160">
        <v>53600</v>
      </c>
      <c r="AK28" s="160">
        <v>19.5</v>
      </c>
      <c r="AL28" s="160">
        <v>65379.849999999969</v>
      </c>
      <c r="AM28" s="160">
        <v>53600</v>
      </c>
      <c r="AN28" s="250">
        <v>16</v>
      </c>
      <c r="AO28" s="160">
        <v>53600</v>
      </c>
      <c r="AP28" s="160">
        <v>19.5</v>
      </c>
      <c r="AQ28" s="160">
        <v>65379.849999999969</v>
      </c>
      <c r="AR28" s="160">
        <v>53600</v>
      </c>
      <c r="AS28" s="250">
        <v>16</v>
      </c>
      <c r="AT28" s="160">
        <v>53600</v>
      </c>
      <c r="AU28" s="160">
        <v>19.5</v>
      </c>
      <c r="AV28" s="160">
        <v>65379.849999999969</v>
      </c>
      <c r="AW28" s="160">
        <v>53600</v>
      </c>
      <c r="AX28" s="250">
        <v>16</v>
      </c>
      <c r="AY28" s="160">
        <v>53600</v>
      </c>
      <c r="AZ28" s="160">
        <v>19.5</v>
      </c>
      <c r="BA28" s="160">
        <v>65379.849999999969</v>
      </c>
      <c r="BB28" s="257">
        <v>53600</v>
      </c>
      <c r="BC28" s="57"/>
      <c r="BD28" s="204"/>
      <c r="BE28" s="57"/>
    </row>
    <row r="29" spans="1:57" x14ac:dyDescent="0.25">
      <c r="A29" s="234">
        <v>903</v>
      </c>
      <c r="B29" s="241" t="s">
        <v>1340</v>
      </c>
      <c r="C29" s="224">
        <v>16</v>
      </c>
      <c r="D29" s="57" t="s">
        <v>1339</v>
      </c>
      <c r="E29" s="20">
        <v>24500</v>
      </c>
      <c r="F29" s="224">
        <v>1531.25</v>
      </c>
      <c r="G29" s="224">
        <v>6</v>
      </c>
      <c r="H29" s="20">
        <v>8814.25</v>
      </c>
      <c r="I29" s="224">
        <v>1469.0416666666667</v>
      </c>
      <c r="J29" s="250">
        <v>0</v>
      </c>
      <c r="K29" s="160">
        <v>0</v>
      </c>
      <c r="L29" s="160">
        <v>0</v>
      </c>
      <c r="M29" s="160">
        <v>0</v>
      </c>
      <c r="N29" s="160">
        <v>0</v>
      </c>
      <c r="O29" s="250">
        <v>2</v>
      </c>
      <c r="P29" s="160">
        <v>3062.5</v>
      </c>
      <c r="Q29" s="160">
        <v>2.7</v>
      </c>
      <c r="R29" s="160">
        <v>4260.9400000000005</v>
      </c>
      <c r="S29" s="160">
        <v>11025</v>
      </c>
      <c r="T29" s="250">
        <v>5</v>
      </c>
      <c r="U29" s="160">
        <v>7656.25</v>
      </c>
      <c r="V29" s="160">
        <v>4.7</v>
      </c>
      <c r="W29" s="160">
        <v>7137.9400000000005</v>
      </c>
      <c r="X29" s="160">
        <v>19191.666666666668</v>
      </c>
      <c r="Y29" s="250">
        <v>8</v>
      </c>
      <c r="Z29" s="160">
        <v>12250</v>
      </c>
      <c r="AA29" s="160">
        <v>4.7</v>
      </c>
      <c r="AB29" s="160">
        <v>7137.9400000000005</v>
      </c>
      <c r="AC29" s="160">
        <v>19191.666666666668</v>
      </c>
      <c r="AD29" s="250">
        <v>12</v>
      </c>
      <c r="AE29" s="160">
        <v>18375</v>
      </c>
      <c r="AF29" s="160">
        <v>5</v>
      </c>
      <c r="AG29" s="160">
        <v>7347.9400000000005</v>
      </c>
      <c r="AH29" s="160">
        <v>20416.666666666668</v>
      </c>
      <c r="AI29" s="250">
        <v>16</v>
      </c>
      <c r="AJ29" s="160">
        <v>24500</v>
      </c>
      <c r="AK29" s="160">
        <v>5</v>
      </c>
      <c r="AL29" s="160">
        <v>7347.9400000000005</v>
      </c>
      <c r="AM29" s="160">
        <v>20416.666666666668</v>
      </c>
      <c r="AN29" s="250">
        <v>16</v>
      </c>
      <c r="AO29" s="160">
        <v>24500</v>
      </c>
      <c r="AP29" s="160">
        <v>6</v>
      </c>
      <c r="AQ29" s="160">
        <v>8814.25</v>
      </c>
      <c r="AR29" s="160">
        <v>24500</v>
      </c>
      <c r="AS29" s="250">
        <v>16</v>
      </c>
      <c r="AT29" s="160">
        <v>24500</v>
      </c>
      <c r="AU29" s="160">
        <v>6</v>
      </c>
      <c r="AV29" s="160">
        <v>8814.25</v>
      </c>
      <c r="AW29" s="160">
        <v>24500</v>
      </c>
      <c r="AX29" s="250">
        <v>16</v>
      </c>
      <c r="AY29" s="160">
        <v>24500</v>
      </c>
      <c r="AZ29" s="160">
        <v>6</v>
      </c>
      <c r="BA29" s="160">
        <v>8814.25</v>
      </c>
      <c r="BB29" s="257">
        <v>24500</v>
      </c>
      <c r="BC29" s="57"/>
      <c r="BD29" s="204"/>
      <c r="BE29" s="57"/>
    </row>
    <row r="30" spans="1:57" x14ac:dyDescent="0.25">
      <c r="A30" s="234">
        <v>904</v>
      </c>
      <c r="B30" s="241" t="s">
        <v>1341</v>
      </c>
      <c r="C30" s="224">
        <v>1</v>
      </c>
      <c r="D30" s="57" t="s">
        <v>676</v>
      </c>
      <c r="E30" s="20">
        <v>25000</v>
      </c>
      <c r="F30" s="224">
        <v>25000</v>
      </c>
      <c r="G30" s="224">
        <v>1</v>
      </c>
      <c r="H30" s="20">
        <v>1203.8600000000001</v>
      </c>
      <c r="I30" s="224">
        <v>1203.8600000000001</v>
      </c>
      <c r="J30" s="250">
        <v>1</v>
      </c>
      <c r="K30" s="160">
        <v>25000</v>
      </c>
      <c r="L30" s="160">
        <v>0</v>
      </c>
      <c r="M30" s="160">
        <v>0</v>
      </c>
      <c r="N30" s="160">
        <v>0</v>
      </c>
      <c r="O30" s="250">
        <v>1</v>
      </c>
      <c r="P30" s="160">
        <v>25000</v>
      </c>
      <c r="Q30" s="160">
        <v>0</v>
      </c>
      <c r="R30" s="160">
        <v>60</v>
      </c>
      <c r="S30" s="160">
        <v>0</v>
      </c>
      <c r="T30" s="250">
        <v>1</v>
      </c>
      <c r="U30" s="160">
        <v>25000</v>
      </c>
      <c r="V30" s="160">
        <v>0</v>
      </c>
      <c r="W30" s="160">
        <v>60</v>
      </c>
      <c r="X30" s="160">
        <v>0</v>
      </c>
      <c r="Y30" s="250">
        <v>1</v>
      </c>
      <c r="Z30" s="160">
        <v>25000</v>
      </c>
      <c r="AA30" s="160">
        <v>0</v>
      </c>
      <c r="AB30" s="160">
        <v>60</v>
      </c>
      <c r="AC30" s="160">
        <v>0</v>
      </c>
      <c r="AD30" s="250">
        <v>1</v>
      </c>
      <c r="AE30" s="160">
        <v>25000</v>
      </c>
      <c r="AF30" s="160">
        <v>0.9</v>
      </c>
      <c r="AG30" s="160">
        <v>1170.8600000000001</v>
      </c>
      <c r="AH30" s="160">
        <v>22500</v>
      </c>
      <c r="AI30" s="250">
        <v>1</v>
      </c>
      <c r="AJ30" s="160">
        <v>25000</v>
      </c>
      <c r="AK30" s="160">
        <v>0.9</v>
      </c>
      <c r="AL30" s="160">
        <v>1170.8600000000001</v>
      </c>
      <c r="AM30" s="160">
        <v>22500</v>
      </c>
      <c r="AN30" s="250">
        <v>1</v>
      </c>
      <c r="AO30" s="160">
        <v>25000</v>
      </c>
      <c r="AP30" s="160">
        <v>0.9</v>
      </c>
      <c r="AQ30" s="160">
        <v>1170.8600000000001</v>
      </c>
      <c r="AR30" s="160">
        <v>22500</v>
      </c>
      <c r="AS30" s="250">
        <v>1</v>
      </c>
      <c r="AT30" s="160">
        <v>25000</v>
      </c>
      <c r="AU30" s="160">
        <v>0.9</v>
      </c>
      <c r="AV30" s="160">
        <v>1170.8600000000001</v>
      </c>
      <c r="AW30" s="160">
        <v>22500</v>
      </c>
      <c r="AX30" s="250">
        <v>1</v>
      </c>
      <c r="AY30" s="160">
        <v>25000</v>
      </c>
      <c r="AZ30" s="160">
        <v>1</v>
      </c>
      <c r="BA30" s="160">
        <v>1203.8600000000001</v>
      </c>
      <c r="BB30" s="257">
        <v>25000</v>
      </c>
      <c r="BC30" s="57"/>
      <c r="BD30" s="204"/>
      <c r="BE30" s="57"/>
    </row>
    <row r="31" spans="1:57" x14ac:dyDescent="0.25">
      <c r="A31" s="234">
        <v>905</v>
      </c>
      <c r="B31" s="241" t="s">
        <v>484</v>
      </c>
      <c r="C31" s="224">
        <v>1</v>
      </c>
      <c r="D31" s="57" t="s">
        <v>676</v>
      </c>
      <c r="E31" s="20">
        <v>5824</v>
      </c>
      <c r="F31" s="224">
        <v>5824</v>
      </c>
      <c r="G31" s="224">
        <v>1</v>
      </c>
      <c r="H31" s="20">
        <v>9544.9399999999969</v>
      </c>
      <c r="I31" s="224">
        <v>9544.9399999999969</v>
      </c>
      <c r="J31" s="250">
        <v>0.25</v>
      </c>
      <c r="K31" s="160">
        <v>1456</v>
      </c>
      <c r="L31" s="160">
        <v>0.25</v>
      </c>
      <c r="M31" s="160">
        <v>3029.05</v>
      </c>
      <c r="N31" s="160">
        <v>1456</v>
      </c>
      <c r="O31" s="250">
        <v>0.5</v>
      </c>
      <c r="P31" s="160">
        <v>2912</v>
      </c>
      <c r="Q31" s="160">
        <v>0.5</v>
      </c>
      <c r="R31" s="160">
        <v>5050.0580000000009</v>
      </c>
      <c r="S31" s="160">
        <v>2912</v>
      </c>
      <c r="T31" s="250">
        <v>0.75</v>
      </c>
      <c r="U31" s="160">
        <v>4368</v>
      </c>
      <c r="V31" s="160">
        <v>0.5</v>
      </c>
      <c r="W31" s="160">
        <v>5821.5080000000016</v>
      </c>
      <c r="X31" s="160">
        <v>2912</v>
      </c>
      <c r="Y31" s="250">
        <v>1</v>
      </c>
      <c r="Z31" s="160">
        <v>5824</v>
      </c>
      <c r="AA31" s="160">
        <v>0.75</v>
      </c>
      <c r="AB31" s="160">
        <v>7695.898000000001</v>
      </c>
      <c r="AC31" s="160">
        <v>4368</v>
      </c>
      <c r="AD31" s="250">
        <v>1</v>
      </c>
      <c r="AE31" s="160">
        <v>5824</v>
      </c>
      <c r="AF31" s="160">
        <v>0.8</v>
      </c>
      <c r="AG31" s="160">
        <v>8904.81</v>
      </c>
      <c r="AH31" s="160">
        <v>4659.2</v>
      </c>
      <c r="AI31" s="250">
        <v>1</v>
      </c>
      <c r="AJ31" s="160">
        <v>5824</v>
      </c>
      <c r="AK31" s="160">
        <v>0.9</v>
      </c>
      <c r="AL31" s="160">
        <v>9111.8499999999985</v>
      </c>
      <c r="AM31" s="160">
        <v>5241.6000000000004</v>
      </c>
      <c r="AN31" s="250">
        <v>1</v>
      </c>
      <c r="AO31" s="160">
        <v>5824</v>
      </c>
      <c r="AP31" s="160">
        <v>0.9</v>
      </c>
      <c r="AQ31" s="160">
        <v>9111.8499999999985</v>
      </c>
      <c r="AR31" s="160">
        <v>5241.6000000000004</v>
      </c>
      <c r="AS31" s="250">
        <v>1</v>
      </c>
      <c r="AT31" s="160">
        <v>5824</v>
      </c>
      <c r="AU31" s="160">
        <v>0.9</v>
      </c>
      <c r="AV31" s="160">
        <v>9111.8499999999985</v>
      </c>
      <c r="AW31" s="160">
        <v>5241.6000000000004</v>
      </c>
      <c r="AX31" s="250">
        <v>1</v>
      </c>
      <c r="AY31" s="160">
        <v>5824</v>
      </c>
      <c r="AZ31" s="160">
        <v>1</v>
      </c>
      <c r="BA31" s="160">
        <v>9544.9399999999969</v>
      </c>
      <c r="BB31" s="257">
        <v>5824</v>
      </c>
      <c r="BC31" s="57"/>
      <c r="BD31" s="204"/>
      <c r="BE31" s="57"/>
    </row>
    <row r="32" spans="1:57" x14ac:dyDescent="0.25">
      <c r="A32" s="234">
        <v>907</v>
      </c>
      <c r="B32" s="241" t="s">
        <v>1342</v>
      </c>
      <c r="C32" s="224">
        <v>1</v>
      </c>
      <c r="D32" s="57" t="s">
        <v>676</v>
      </c>
      <c r="E32" s="20">
        <v>19585</v>
      </c>
      <c r="F32" s="224">
        <v>19585</v>
      </c>
      <c r="G32" s="224">
        <v>1</v>
      </c>
      <c r="H32" s="20">
        <v>45323.639000000039</v>
      </c>
      <c r="I32" s="224">
        <v>45323.639000000039</v>
      </c>
      <c r="J32" s="250">
        <v>0.5</v>
      </c>
      <c r="K32" s="160">
        <v>9792.5</v>
      </c>
      <c r="L32" s="160">
        <v>0.1</v>
      </c>
      <c r="M32" s="160">
        <v>5412.9150000000009</v>
      </c>
      <c r="N32" s="160">
        <v>1958.5</v>
      </c>
      <c r="O32" s="250">
        <v>1</v>
      </c>
      <c r="P32" s="160">
        <v>19585</v>
      </c>
      <c r="Q32" s="160">
        <v>0.25</v>
      </c>
      <c r="R32" s="160">
        <v>10632.845000000003</v>
      </c>
      <c r="S32" s="160">
        <v>4896.25</v>
      </c>
      <c r="T32" s="250">
        <v>1</v>
      </c>
      <c r="U32" s="160">
        <v>19585</v>
      </c>
      <c r="V32" s="160">
        <v>0.35</v>
      </c>
      <c r="W32" s="160">
        <v>15208.395</v>
      </c>
      <c r="X32" s="160">
        <v>6854.75</v>
      </c>
      <c r="Y32" s="250">
        <v>1</v>
      </c>
      <c r="Z32" s="160">
        <v>19585</v>
      </c>
      <c r="AA32" s="160">
        <v>0.7</v>
      </c>
      <c r="AB32" s="160">
        <v>31625.370000000006</v>
      </c>
      <c r="AC32" s="160">
        <v>13709.5</v>
      </c>
      <c r="AD32" s="250">
        <v>1</v>
      </c>
      <c r="AE32" s="160">
        <v>19585</v>
      </c>
      <c r="AF32" s="160">
        <v>0.85</v>
      </c>
      <c r="AG32" s="160">
        <v>37969.525000000016</v>
      </c>
      <c r="AH32" s="160">
        <v>16647.25</v>
      </c>
      <c r="AI32" s="250">
        <v>1</v>
      </c>
      <c r="AJ32" s="160">
        <v>19585</v>
      </c>
      <c r="AK32" s="160">
        <v>0.9</v>
      </c>
      <c r="AL32" s="160">
        <v>39974.125000000022</v>
      </c>
      <c r="AM32" s="160">
        <v>17626.5</v>
      </c>
      <c r="AN32" s="250">
        <v>1</v>
      </c>
      <c r="AO32" s="160">
        <v>19585</v>
      </c>
      <c r="AP32" s="160">
        <v>0.9</v>
      </c>
      <c r="AQ32" s="160">
        <v>40378.175000000025</v>
      </c>
      <c r="AR32" s="160">
        <v>17626.5</v>
      </c>
      <c r="AS32" s="250">
        <v>1</v>
      </c>
      <c r="AT32" s="160">
        <v>19585</v>
      </c>
      <c r="AU32" s="160">
        <v>0.9</v>
      </c>
      <c r="AV32" s="160">
        <v>40378.175000000025</v>
      </c>
      <c r="AW32" s="160">
        <v>17626.5</v>
      </c>
      <c r="AX32" s="250">
        <v>1</v>
      </c>
      <c r="AY32" s="160">
        <v>19585</v>
      </c>
      <c r="AZ32" s="160">
        <v>1</v>
      </c>
      <c r="BA32" s="160">
        <v>45323.639000000039</v>
      </c>
      <c r="BB32" s="257">
        <v>19585</v>
      </c>
      <c r="BC32" s="57"/>
      <c r="BD32" s="204"/>
      <c r="BE32" s="57"/>
    </row>
    <row r="33" spans="1:57" x14ac:dyDescent="0.25">
      <c r="A33" s="234">
        <v>910</v>
      </c>
      <c r="B33" s="241" t="s">
        <v>1343</v>
      </c>
      <c r="C33" s="224">
        <v>1</v>
      </c>
      <c r="D33" s="57" t="s">
        <v>676</v>
      </c>
      <c r="E33" s="20">
        <v>5040</v>
      </c>
      <c r="F33" s="224">
        <v>5040</v>
      </c>
      <c r="G33" s="224">
        <v>1</v>
      </c>
      <c r="H33" s="20">
        <v>530.25</v>
      </c>
      <c r="I33" s="224">
        <v>530.25</v>
      </c>
      <c r="J33" s="250">
        <v>0</v>
      </c>
      <c r="K33" s="160">
        <v>0</v>
      </c>
      <c r="L33" s="160">
        <v>0</v>
      </c>
      <c r="M33" s="160">
        <v>0</v>
      </c>
      <c r="N33" s="160">
        <v>0</v>
      </c>
      <c r="O33" s="250">
        <v>0</v>
      </c>
      <c r="P33" s="160">
        <v>0</v>
      </c>
      <c r="Q33" s="160">
        <v>0</v>
      </c>
      <c r="R33" s="160">
        <v>0</v>
      </c>
      <c r="S33" s="160">
        <v>0</v>
      </c>
      <c r="T33" s="250">
        <v>0</v>
      </c>
      <c r="U33" s="160">
        <v>0</v>
      </c>
      <c r="V33" s="160">
        <v>0</v>
      </c>
      <c r="W33" s="160">
        <v>0</v>
      </c>
      <c r="X33" s="160">
        <v>0</v>
      </c>
      <c r="Y33" s="250">
        <v>0</v>
      </c>
      <c r="Z33" s="160">
        <v>0</v>
      </c>
      <c r="AA33" s="160">
        <v>0</v>
      </c>
      <c r="AB33" s="160">
        <v>0</v>
      </c>
      <c r="AC33" s="160">
        <v>0</v>
      </c>
      <c r="AD33" s="250">
        <v>1</v>
      </c>
      <c r="AE33" s="160">
        <v>5040</v>
      </c>
      <c r="AF33" s="160">
        <v>0</v>
      </c>
      <c r="AG33" s="160">
        <v>0</v>
      </c>
      <c r="AH33" s="160">
        <v>0</v>
      </c>
      <c r="AI33" s="250">
        <v>1</v>
      </c>
      <c r="AJ33" s="160">
        <v>5040</v>
      </c>
      <c r="AK33" s="160">
        <v>1</v>
      </c>
      <c r="AL33" s="160">
        <v>530.25</v>
      </c>
      <c r="AM33" s="160">
        <v>5040</v>
      </c>
      <c r="AN33" s="250">
        <v>1</v>
      </c>
      <c r="AO33" s="160">
        <v>5040</v>
      </c>
      <c r="AP33" s="160">
        <v>1</v>
      </c>
      <c r="AQ33" s="160">
        <v>530.25</v>
      </c>
      <c r="AR33" s="160">
        <v>5040</v>
      </c>
      <c r="AS33" s="250">
        <v>1</v>
      </c>
      <c r="AT33" s="160">
        <v>5040</v>
      </c>
      <c r="AU33" s="160">
        <v>1</v>
      </c>
      <c r="AV33" s="160">
        <v>530.25</v>
      </c>
      <c r="AW33" s="160">
        <v>5040</v>
      </c>
      <c r="AX33" s="250">
        <v>1</v>
      </c>
      <c r="AY33" s="160">
        <v>5040</v>
      </c>
      <c r="AZ33" s="160">
        <v>1</v>
      </c>
      <c r="BA33" s="160">
        <v>530.25</v>
      </c>
      <c r="BB33" s="257">
        <v>5040</v>
      </c>
      <c r="BC33" s="57"/>
      <c r="BD33" s="204"/>
      <c r="BE33" s="57"/>
    </row>
    <row r="34" spans="1:57" x14ac:dyDescent="0.25">
      <c r="A34" s="234">
        <v>911</v>
      </c>
      <c r="B34" s="241" t="s">
        <v>24</v>
      </c>
      <c r="C34" s="224">
        <v>254</v>
      </c>
      <c r="D34" s="57" t="s">
        <v>1344</v>
      </c>
      <c r="E34" s="20">
        <v>31750.171821305841</v>
      </c>
      <c r="F34" s="224">
        <v>125.00067646183402</v>
      </c>
      <c r="G34" s="224">
        <v>198</v>
      </c>
      <c r="H34" s="20">
        <v>24904.43</v>
      </c>
      <c r="I34" s="224">
        <v>125.77994949494949</v>
      </c>
      <c r="J34" s="250">
        <v>18</v>
      </c>
      <c r="K34" s="160">
        <v>2250.0121763130123</v>
      </c>
      <c r="L34" s="160">
        <v>0</v>
      </c>
      <c r="M34" s="160">
        <v>0</v>
      </c>
      <c r="N34" s="160">
        <v>0</v>
      </c>
      <c r="O34" s="250">
        <v>78</v>
      </c>
      <c r="P34" s="160">
        <v>9750.0527640230539</v>
      </c>
      <c r="Q34" s="160">
        <v>60</v>
      </c>
      <c r="R34" s="160">
        <v>7525.35</v>
      </c>
      <c r="S34" s="160">
        <v>9621.2641882744974</v>
      </c>
      <c r="T34" s="250">
        <v>138</v>
      </c>
      <c r="U34" s="160">
        <v>17250.093351733096</v>
      </c>
      <c r="V34" s="160">
        <v>67</v>
      </c>
      <c r="W34" s="160">
        <v>8338.99</v>
      </c>
      <c r="X34" s="160">
        <v>10743.745010239856</v>
      </c>
      <c r="Y34" s="250">
        <v>198</v>
      </c>
      <c r="Z34" s="160">
        <v>24750.133939443134</v>
      </c>
      <c r="AA34" s="160">
        <v>128</v>
      </c>
      <c r="AB34" s="160">
        <v>15958.220000000001</v>
      </c>
      <c r="AC34" s="160">
        <v>20525.363601652261</v>
      </c>
      <c r="AD34" s="250">
        <v>254</v>
      </c>
      <c r="AE34" s="160">
        <v>31750.171821305841</v>
      </c>
      <c r="AF34" s="160">
        <v>180</v>
      </c>
      <c r="AG34" s="160">
        <v>22436.240000000002</v>
      </c>
      <c r="AH34" s="160">
        <v>28863.792564823492</v>
      </c>
      <c r="AI34" s="250">
        <v>254</v>
      </c>
      <c r="AJ34" s="160">
        <v>31750.171821305841</v>
      </c>
      <c r="AK34" s="160">
        <v>198</v>
      </c>
      <c r="AL34" s="160">
        <v>24904.43</v>
      </c>
      <c r="AM34" s="160">
        <v>31750.171821305841</v>
      </c>
      <c r="AN34" s="250">
        <v>254</v>
      </c>
      <c r="AO34" s="160">
        <v>31750.171821305841</v>
      </c>
      <c r="AP34" s="160">
        <v>198</v>
      </c>
      <c r="AQ34" s="160">
        <v>24904.43</v>
      </c>
      <c r="AR34" s="160">
        <v>31750.171821305841</v>
      </c>
      <c r="AS34" s="250">
        <v>254</v>
      </c>
      <c r="AT34" s="160">
        <v>31750.171821305841</v>
      </c>
      <c r="AU34" s="160">
        <v>198</v>
      </c>
      <c r="AV34" s="160">
        <v>24904.43</v>
      </c>
      <c r="AW34" s="160">
        <v>31750.171821305841</v>
      </c>
      <c r="AX34" s="250">
        <v>254</v>
      </c>
      <c r="AY34" s="160">
        <v>31750.171821305841</v>
      </c>
      <c r="AZ34" s="160">
        <v>198</v>
      </c>
      <c r="BA34" s="160">
        <v>24904.43</v>
      </c>
      <c r="BB34" s="257">
        <v>31750.171821305841</v>
      </c>
      <c r="BC34" s="57"/>
      <c r="BD34" s="204"/>
      <c r="BE34" s="57"/>
    </row>
    <row r="35" spans="1:57" ht="17.25" x14ac:dyDescent="0.25">
      <c r="A35" s="234" t="s">
        <v>1358</v>
      </c>
      <c r="B35" s="241" t="s">
        <v>1345</v>
      </c>
      <c r="C35" s="224">
        <v>10</v>
      </c>
      <c r="D35" s="57" t="s">
        <v>1318</v>
      </c>
      <c r="E35" s="20">
        <v>0</v>
      </c>
      <c r="F35" s="224">
        <v>0</v>
      </c>
      <c r="G35" s="224">
        <v>8.5</v>
      </c>
      <c r="H35" s="20">
        <v>2513.5</v>
      </c>
      <c r="I35" s="224">
        <v>295.70588235294116</v>
      </c>
      <c r="J35" s="250">
        <v>0</v>
      </c>
      <c r="K35" s="160">
        <v>0</v>
      </c>
      <c r="L35" s="160">
        <v>0</v>
      </c>
      <c r="M35" s="160">
        <v>0</v>
      </c>
      <c r="N35" s="160">
        <v>0</v>
      </c>
      <c r="O35" s="250">
        <v>10</v>
      </c>
      <c r="P35" s="160">
        <v>0</v>
      </c>
      <c r="Q35" s="160">
        <v>3.5</v>
      </c>
      <c r="R35" s="160">
        <v>1035.5</v>
      </c>
      <c r="S35" s="160">
        <v>0</v>
      </c>
      <c r="T35" s="250">
        <v>10</v>
      </c>
      <c r="U35" s="160">
        <v>0</v>
      </c>
      <c r="V35" s="160">
        <v>3.5</v>
      </c>
      <c r="W35" s="160">
        <v>1035.5</v>
      </c>
      <c r="X35" s="160">
        <v>0</v>
      </c>
      <c r="Y35" s="250">
        <v>10</v>
      </c>
      <c r="Z35" s="160">
        <v>0</v>
      </c>
      <c r="AA35" s="160">
        <v>6.2</v>
      </c>
      <c r="AB35" s="160">
        <v>1825.5</v>
      </c>
      <c r="AC35" s="160">
        <v>0</v>
      </c>
      <c r="AD35" s="250">
        <v>10</v>
      </c>
      <c r="AE35" s="160">
        <v>0</v>
      </c>
      <c r="AF35" s="160">
        <v>8.5</v>
      </c>
      <c r="AG35" s="160">
        <v>2513.5</v>
      </c>
      <c r="AH35" s="160">
        <v>0</v>
      </c>
      <c r="AI35" s="250">
        <v>10</v>
      </c>
      <c r="AJ35" s="160">
        <v>0</v>
      </c>
      <c r="AK35" s="160">
        <v>8.5</v>
      </c>
      <c r="AL35" s="160">
        <v>2513.5</v>
      </c>
      <c r="AM35" s="160">
        <v>0</v>
      </c>
      <c r="AN35" s="250">
        <v>10</v>
      </c>
      <c r="AO35" s="160">
        <v>0</v>
      </c>
      <c r="AP35" s="160">
        <v>8.5</v>
      </c>
      <c r="AQ35" s="160">
        <v>2513.5</v>
      </c>
      <c r="AR35" s="160">
        <v>0</v>
      </c>
      <c r="AS35" s="250">
        <v>10</v>
      </c>
      <c r="AT35" s="160">
        <v>0</v>
      </c>
      <c r="AU35" s="160">
        <v>8.5</v>
      </c>
      <c r="AV35" s="160">
        <v>2513.5</v>
      </c>
      <c r="AW35" s="160">
        <v>0</v>
      </c>
      <c r="AX35" s="250">
        <v>10</v>
      </c>
      <c r="AY35" s="160">
        <v>0</v>
      </c>
      <c r="AZ35" s="160">
        <v>8.5</v>
      </c>
      <c r="BA35" s="160">
        <v>2513.5</v>
      </c>
      <c r="BB35" s="257">
        <v>0</v>
      </c>
      <c r="BC35" s="57"/>
      <c r="BD35" s="204"/>
      <c r="BE35" s="57"/>
    </row>
    <row r="36" spans="1:57" ht="17.25" x14ac:dyDescent="0.25">
      <c r="A36" s="234" t="s">
        <v>550</v>
      </c>
      <c r="B36" s="241" t="s">
        <v>1346</v>
      </c>
      <c r="C36" s="224">
        <v>4</v>
      </c>
      <c r="D36" s="57" t="s">
        <v>1318</v>
      </c>
      <c r="E36" s="20">
        <v>1236</v>
      </c>
      <c r="F36" s="224">
        <v>309</v>
      </c>
      <c r="G36" s="224">
        <v>22</v>
      </c>
      <c r="H36" s="20">
        <v>6886.8</v>
      </c>
      <c r="I36" s="224">
        <v>313.03636363636366</v>
      </c>
      <c r="J36" s="250">
        <v>0</v>
      </c>
      <c r="K36" s="160">
        <v>0</v>
      </c>
      <c r="L36" s="160">
        <v>0</v>
      </c>
      <c r="M36" s="160">
        <v>0</v>
      </c>
      <c r="N36" s="160">
        <v>0</v>
      </c>
      <c r="O36" s="250">
        <v>0</v>
      </c>
      <c r="P36" s="160">
        <v>0</v>
      </c>
      <c r="Q36" s="160">
        <v>7.8</v>
      </c>
      <c r="R36" s="160">
        <v>2438.1</v>
      </c>
      <c r="S36" s="160">
        <v>438.21818181818185</v>
      </c>
      <c r="T36" s="250">
        <v>0</v>
      </c>
      <c r="U36" s="160">
        <v>0</v>
      </c>
      <c r="V36" s="160">
        <v>8.8000000000000007</v>
      </c>
      <c r="W36" s="160">
        <v>2716.5</v>
      </c>
      <c r="X36" s="160">
        <v>494.40000000000003</v>
      </c>
      <c r="Y36" s="250">
        <v>4</v>
      </c>
      <c r="Z36" s="160">
        <v>1236</v>
      </c>
      <c r="AA36" s="160">
        <v>22</v>
      </c>
      <c r="AB36" s="160">
        <v>6886.8</v>
      </c>
      <c r="AC36" s="160">
        <v>1236</v>
      </c>
      <c r="AD36" s="250">
        <v>4</v>
      </c>
      <c r="AE36" s="160">
        <v>1236</v>
      </c>
      <c r="AF36" s="160">
        <v>22</v>
      </c>
      <c r="AG36" s="160">
        <v>6886.8</v>
      </c>
      <c r="AH36" s="160">
        <v>1236</v>
      </c>
      <c r="AI36" s="250">
        <v>4</v>
      </c>
      <c r="AJ36" s="160">
        <v>1236</v>
      </c>
      <c r="AK36" s="160">
        <v>22</v>
      </c>
      <c r="AL36" s="160">
        <v>6886.8</v>
      </c>
      <c r="AM36" s="160">
        <v>1236</v>
      </c>
      <c r="AN36" s="250">
        <v>4</v>
      </c>
      <c r="AO36" s="160">
        <v>1236</v>
      </c>
      <c r="AP36" s="160">
        <v>22</v>
      </c>
      <c r="AQ36" s="160">
        <v>6886.8</v>
      </c>
      <c r="AR36" s="160">
        <v>1236</v>
      </c>
      <c r="AS36" s="250">
        <v>4</v>
      </c>
      <c r="AT36" s="160">
        <v>1236</v>
      </c>
      <c r="AU36" s="160">
        <v>22</v>
      </c>
      <c r="AV36" s="160">
        <v>6886.8</v>
      </c>
      <c r="AW36" s="160">
        <v>1236</v>
      </c>
      <c r="AX36" s="250">
        <v>4</v>
      </c>
      <c r="AY36" s="160">
        <v>1236</v>
      </c>
      <c r="AZ36" s="160">
        <v>22</v>
      </c>
      <c r="BA36" s="160">
        <v>6886.8</v>
      </c>
      <c r="BB36" s="257">
        <v>1236</v>
      </c>
      <c r="BC36" s="57"/>
      <c r="BD36" s="204"/>
      <c r="BE36" s="57"/>
    </row>
    <row r="37" spans="1:57" ht="17.25" x14ac:dyDescent="0.25">
      <c r="A37" s="234" t="s">
        <v>543</v>
      </c>
      <c r="B37" s="241" t="s">
        <v>1347</v>
      </c>
      <c r="C37" s="224">
        <v>50</v>
      </c>
      <c r="D37" s="57" t="s">
        <v>1318</v>
      </c>
      <c r="E37" s="20">
        <v>19981.041313342575</v>
      </c>
      <c r="F37" s="224">
        <v>399.62082626685151</v>
      </c>
      <c r="G37" s="224">
        <v>23.3</v>
      </c>
      <c r="H37" s="20">
        <v>7571.2000000000007</v>
      </c>
      <c r="I37" s="224">
        <v>324.94420600858371</v>
      </c>
      <c r="J37" s="250">
        <v>0</v>
      </c>
      <c r="K37" s="160">
        <v>0</v>
      </c>
      <c r="L37" s="160">
        <v>0</v>
      </c>
      <c r="M37" s="160">
        <v>0</v>
      </c>
      <c r="N37" s="160">
        <v>0</v>
      </c>
      <c r="O37" s="250">
        <v>50</v>
      </c>
      <c r="P37" s="160">
        <v>19981.041313342575</v>
      </c>
      <c r="Q37" s="160">
        <v>21.6</v>
      </c>
      <c r="R37" s="160">
        <v>7044.6</v>
      </c>
      <c r="S37" s="160">
        <v>18523.197097347624</v>
      </c>
      <c r="T37" s="250">
        <v>50</v>
      </c>
      <c r="U37" s="160">
        <v>19981.041313342575</v>
      </c>
      <c r="V37" s="160">
        <v>21.6</v>
      </c>
      <c r="W37" s="160">
        <v>7044.6</v>
      </c>
      <c r="X37" s="160">
        <v>18523.197097347624</v>
      </c>
      <c r="Y37" s="250">
        <v>50</v>
      </c>
      <c r="Z37" s="160">
        <v>19981.041313342575</v>
      </c>
      <c r="AA37" s="160">
        <v>21.6</v>
      </c>
      <c r="AB37" s="160">
        <v>7044.6</v>
      </c>
      <c r="AC37" s="160">
        <v>18523.197097347624</v>
      </c>
      <c r="AD37" s="250">
        <v>50</v>
      </c>
      <c r="AE37" s="160">
        <v>19981.041313342575</v>
      </c>
      <c r="AF37" s="160">
        <v>23.3</v>
      </c>
      <c r="AG37" s="160">
        <v>7571.2000000000007</v>
      </c>
      <c r="AH37" s="160">
        <v>19981.041313342575</v>
      </c>
      <c r="AI37" s="250">
        <v>50</v>
      </c>
      <c r="AJ37" s="160">
        <v>19981.041313342575</v>
      </c>
      <c r="AK37" s="160">
        <v>23.3</v>
      </c>
      <c r="AL37" s="160">
        <v>7571.2000000000007</v>
      </c>
      <c r="AM37" s="160">
        <v>19981.041313342575</v>
      </c>
      <c r="AN37" s="250">
        <v>50</v>
      </c>
      <c r="AO37" s="160">
        <v>19981.041313342575</v>
      </c>
      <c r="AP37" s="160">
        <v>23.3</v>
      </c>
      <c r="AQ37" s="160">
        <v>7571.2000000000007</v>
      </c>
      <c r="AR37" s="160">
        <v>19981.041313342575</v>
      </c>
      <c r="AS37" s="250">
        <v>50</v>
      </c>
      <c r="AT37" s="160">
        <v>19981.041313342575</v>
      </c>
      <c r="AU37" s="160">
        <v>23.3</v>
      </c>
      <c r="AV37" s="160">
        <v>7571.2000000000007</v>
      </c>
      <c r="AW37" s="160">
        <v>19981.041313342575</v>
      </c>
      <c r="AX37" s="250">
        <v>50</v>
      </c>
      <c r="AY37" s="160">
        <v>19981.041313342575</v>
      </c>
      <c r="AZ37" s="160">
        <v>23.3</v>
      </c>
      <c r="BA37" s="160">
        <v>7571.2000000000007</v>
      </c>
      <c r="BB37" s="257">
        <v>19981.041313342575</v>
      </c>
      <c r="BC37" s="57"/>
      <c r="BD37" s="204"/>
      <c r="BE37" s="57"/>
    </row>
    <row r="38" spans="1:57" ht="17.25" x14ac:dyDescent="0.25">
      <c r="A38" s="234" t="s">
        <v>547</v>
      </c>
      <c r="B38" s="241" t="s">
        <v>1348</v>
      </c>
      <c r="C38" s="224">
        <v>14.4</v>
      </c>
      <c r="D38" s="57" t="s">
        <v>1318</v>
      </c>
      <c r="E38" s="20">
        <v>4452.2577322580637</v>
      </c>
      <c r="F38" s="224">
        <v>309.18456474014329</v>
      </c>
      <c r="G38" s="224">
        <v>7</v>
      </c>
      <c r="H38" s="20">
        <v>2177.4</v>
      </c>
      <c r="I38" s="224">
        <v>311.05714285714288</v>
      </c>
      <c r="J38" s="250">
        <v>0</v>
      </c>
      <c r="K38" s="160">
        <v>0</v>
      </c>
      <c r="L38" s="160">
        <v>0</v>
      </c>
      <c r="M38" s="160">
        <v>0</v>
      </c>
      <c r="N38" s="160">
        <v>0</v>
      </c>
      <c r="O38" s="250">
        <v>0</v>
      </c>
      <c r="P38" s="160">
        <v>0</v>
      </c>
      <c r="Q38" s="160">
        <v>0</v>
      </c>
      <c r="R38" s="160">
        <v>0</v>
      </c>
      <c r="S38" s="160">
        <v>0</v>
      </c>
      <c r="T38" s="250">
        <v>14.4</v>
      </c>
      <c r="U38" s="160">
        <v>4452.2577322580637</v>
      </c>
      <c r="V38" s="160">
        <v>0</v>
      </c>
      <c r="W38" s="160">
        <v>0</v>
      </c>
      <c r="X38" s="160">
        <v>0</v>
      </c>
      <c r="Y38" s="250">
        <v>14.4</v>
      </c>
      <c r="Z38" s="160">
        <v>4452.2577322580637</v>
      </c>
      <c r="AA38" s="160">
        <v>0</v>
      </c>
      <c r="AB38" s="160">
        <v>0</v>
      </c>
      <c r="AC38" s="160">
        <v>0</v>
      </c>
      <c r="AD38" s="250">
        <v>14.4</v>
      </c>
      <c r="AE38" s="160">
        <v>4452.2577322580637</v>
      </c>
      <c r="AF38" s="160">
        <v>7</v>
      </c>
      <c r="AG38" s="160">
        <v>2177.4</v>
      </c>
      <c r="AH38" s="160">
        <v>4452.2577322580637</v>
      </c>
      <c r="AI38" s="250">
        <v>14.4</v>
      </c>
      <c r="AJ38" s="160">
        <v>4452.2577322580637</v>
      </c>
      <c r="AK38" s="160">
        <v>7</v>
      </c>
      <c r="AL38" s="160">
        <v>2177.4</v>
      </c>
      <c r="AM38" s="160">
        <v>4452.2577322580637</v>
      </c>
      <c r="AN38" s="250">
        <v>14.4</v>
      </c>
      <c r="AO38" s="160">
        <v>4452.2577322580637</v>
      </c>
      <c r="AP38" s="160">
        <v>7</v>
      </c>
      <c r="AQ38" s="160">
        <v>2177.4</v>
      </c>
      <c r="AR38" s="160">
        <v>4452.2577322580637</v>
      </c>
      <c r="AS38" s="250">
        <v>14.4</v>
      </c>
      <c r="AT38" s="160">
        <v>4452.2577322580637</v>
      </c>
      <c r="AU38" s="160">
        <v>7</v>
      </c>
      <c r="AV38" s="160">
        <v>2177.4</v>
      </c>
      <c r="AW38" s="160">
        <v>4452.2577322580637</v>
      </c>
      <c r="AX38" s="250">
        <v>14.4</v>
      </c>
      <c r="AY38" s="160">
        <v>4452.2577322580637</v>
      </c>
      <c r="AZ38" s="160">
        <v>7</v>
      </c>
      <c r="BA38" s="160">
        <v>2177.4</v>
      </c>
      <c r="BB38" s="257">
        <v>4452.2577322580637</v>
      </c>
      <c r="BC38" s="57"/>
      <c r="BD38" s="204"/>
      <c r="BE38" s="57"/>
    </row>
    <row r="39" spans="1:57" x14ac:dyDescent="0.25">
      <c r="A39" s="234" t="s">
        <v>546</v>
      </c>
      <c r="B39" s="241" t="s">
        <v>1349</v>
      </c>
      <c r="C39" s="224">
        <v>50</v>
      </c>
      <c r="D39" s="57" t="s">
        <v>100</v>
      </c>
      <c r="E39" s="20">
        <v>19915.279661118642</v>
      </c>
      <c r="F39" s="224">
        <v>398.30559322237286</v>
      </c>
      <c r="G39" s="224">
        <v>50.1</v>
      </c>
      <c r="H39" s="20">
        <v>20711.157000000003</v>
      </c>
      <c r="I39" s="224">
        <v>413.39634730538927</v>
      </c>
      <c r="J39" s="250">
        <v>0</v>
      </c>
      <c r="K39" s="160">
        <v>0</v>
      </c>
      <c r="L39" s="160">
        <v>0</v>
      </c>
      <c r="M39" s="160">
        <v>0</v>
      </c>
      <c r="N39" s="160">
        <v>0</v>
      </c>
      <c r="O39" s="250">
        <v>0</v>
      </c>
      <c r="P39" s="160">
        <v>0</v>
      </c>
      <c r="Q39" s="160">
        <v>0</v>
      </c>
      <c r="R39" s="160">
        <v>0</v>
      </c>
      <c r="S39" s="160">
        <v>0</v>
      </c>
      <c r="T39" s="250">
        <v>0</v>
      </c>
      <c r="U39" s="160">
        <v>0</v>
      </c>
      <c r="V39" s="160">
        <v>0</v>
      </c>
      <c r="W39" s="160">
        <v>0</v>
      </c>
      <c r="X39" s="160">
        <v>0</v>
      </c>
      <c r="Y39" s="250">
        <v>0</v>
      </c>
      <c r="Z39" s="160">
        <v>0</v>
      </c>
      <c r="AA39" s="160">
        <v>0</v>
      </c>
      <c r="AB39" s="160">
        <v>0</v>
      </c>
      <c r="AC39" s="160">
        <v>0</v>
      </c>
      <c r="AD39" s="250">
        <v>0</v>
      </c>
      <c r="AE39" s="160">
        <v>0</v>
      </c>
      <c r="AF39" s="160">
        <v>0</v>
      </c>
      <c r="AG39" s="160">
        <v>0</v>
      </c>
      <c r="AH39" s="160">
        <v>0</v>
      </c>
      <c r="AI39" s="250">
        <v>0</v>
      </c>
      <c r="AJ39" s="160">
        <v>0</v>
      </c>
      <c r="AK39" s="160">
        <v>0</v>
      </c>
      <c r="AL39" s="160">
        <v>0</v>
      </c>
      <c r="AM39" s="160">
        <v>0</v>
      </c>
      <c r="AN39" s="250">
        <v>0</v>
      </c>
      <c r="AO39" s="160">
        <v>0</v>
      </c>
      <c r="AP39" s="160">
        <v>0</v>
      </c>
      <c r="AQ39" s="160">
        <v>0</v>
      </c>
      <c r="AR39" s="160">
        <v>0</v>
      </c>
      <c r="AS39" s="250">
        <v>0</v>
      </c>
      <c r="AT39" s="160">
        <v>0</v>
      </c>
      <c r="AU39" s="160">
        <v>0</v>
      </c>
      <c r="AV39" s="160">
        <v>0</v>
      </c>
      <c r="AW39" s="160">
        <v>0</v>
      </c>
      <c r="AX39" s="250">
        <v>50</v>
      </c>
      <c r="AY39" s="160">
        <v>19915.279661118642</v>
      </c>
      <c r="AZ39" s="160">
        <v>50.1</v>
      </c>
      <c r="BA39" s="160">
        <v>20711.157000000003</v>
      </c>
      <c r="BB39" s="257">
        <v>19915.279661118642</v>
      </c>
      <c r="BC39" s="57"/>
      <c r="BD39" s="204"/>
      <c r="BE39" s="57"/>
    </row>
    <row r="40" spans="1:57" ht="17.25" x14ac:dyDescent="0.25">
      <c r="A40" s="234" t="s">
        <v>1359</v>
      </c>
      <c r="B40" s="241" t="s">
        <v>1350</v>
      </c>
      <c r="C40" s="224">
        <v>245</v>
      </c>
      <c r="D40" s="57" t="s">
        <v>1318</v>
      </c>
      <c r="E40" s="20">
        <v>0</v>
      </c>
      <c r="F40" s="224">
        <v>0</v>
      </c>
      <c r="G40" s="224">
        <v>244</v>
      </c>
      <c r="H40" s="20">
        <v>6711.3200000000006</v>
      </c>
      <c r="I40" s="224">
        <v>27.505409836065578</v>
      </c>
      <c r="J40" s="250">
        <v>0</v>
      </c>
      <c r="K40" s="160">
        <v>0</v>
      </c>
      <c r="L40" s="160">
        <v>0</v>
      </c>
      <c r="M40" s="160">
        <v>304</v>
      </c>
      <c r="N40" s="160">
        <v>0</v>
      </c>
      <c r="O40" s="250">
        <v>200</v>
      </c>
      <c r="P40" s="160">
        <v>0</v>
      </c>
      <c r="Q40" s="160">
        <v>48</v>
      </c>
      <c r="R40" s="160">
        <v>1813.02</v>
      </c>
      <c r="S40" s="160">
        <v>0</v>
      </c>
      <c r="T40" s="250">
        <v>245</v>
      </c>
      <c r="U40" s="160">
        <v>0</v>
      </c>
      <c r="V40" s="160">
        <v>48</v>
      </c>
      <c r="W40" s="160">
        <v>1813.02</v>
      </c>
      <c r="X40" s="160">
        <v>0</v>
      </c>
      <c r="Y40" s="250">
        <v>245</v>
      </c>
      <c r="Z40" s="160">
        <v>0</v>
      </c>
      <c r="AA40" s="160">
        <v>48</v>
      </c>
      <c r="AB40" s="160">
        <v>1813.02</v>
      </c>
      <c r="AC40" s="160">
        <v>0</v>
      </c>
      <c r="AD40" s="250">
        <v>245</v>
      </c>
      <c r="AE40" s="160">
        <v>0</v>
      </c>
      <c r="AF40" s="160">
        <v>244</v>
      </c>
      <c r="AG40" s="160">
        <v>6711.3200000000006</v>
      </c>
      <c r="AH40" s="160">
        <v>0</v>
      </c>
      <c r="AI40" s="250">
        <v>245</v>
      </c>
      <c r="AJ40" s="160">
        <v>0</v>
      </c>
      <c r="AK40" s="160">
        <v>244</v>
      </c>
      <c r="AL40" s="160">
        <v>6711.3200000000006</v>
      </c>
      <c r="AM40" s="160">
        <v>0</v>
      </c>
      <c r="AN40" s="250">
        <v>245</v>
      </c>
      <c r="AO40" s="160">
        <v>0</v>
      </c>
      <c r="AP40" s="160">
        <v>244</v>
      </c>
      <c r="AQ40" s="160">
        <v>6711.3200000000006</v>
      </c>
      <c r="AR40" s="160">
        <v>0</v>
      </c>
      <c r="AS40" s="250">
        <v>245</v>
      </c>
      <c r="AT40" s="160">
        <v>0</v>
      </c>
      <c r="AU40" s="160">
        <v>244</v>
      </c>
      <c r="AV40" s="160">
        <v>6711.3200000000006</v>
      </c>
      <c r="AW40" s="160">
        <v>0</v>
      </c>
      <c r="AX40" s="250">
        <v>245</v>
      </c>
      <c r="AY40" s="160">
        <v>0</v>
      </c>
      <c r="AZ40" s="160">
        <v>244</v>
      </c>
      <c r="BA40" s="160">
        <v>6711.3200000000006</v>
      </c>
      <c r="BB40" s="257">
        <v>0</v>
      </c>
      <c r="BC40" s="57"/>
      <c r="BD40" s="204"/>
      <c r="BE40" s="57"/>
    </row>
    <row r="41" spans="1:57" x14ac:dyDescent="0.25">
      <c r="A41" s="234" t="s">
        <v>548</v>
      </c>
      <c r="B41" s="241" t="s">
        <v>1351</v>
      </c>
      <c r="C41" s="224">
        <v>157</v>
      </c>
      <c r="D41" s="57" t="s">
        <v>1330</v>
      </c>
      <c r="E41" s="20">
        <v>3521.4874999999997</v>
      </c>
      <c r="F41" s="224">
        <v>22.429856687898088</v>
      </c>
      <c r="G41" s="224">
        <v>157</v>
      </c>
      <c r="H41" s="20">
        <v>5070.29</v>
      </c>
      <c r="I41" s="224">
        <v>32.294840764331212</v>
      </c>
      <c r="J41" s="250">
        <v>0</v>
      </c>
      <c r="K41" s="160">
        <v>0</v>
      </c>
      <c r="L41" s="160">
        <v>0</v>
      </c>
      <c r="M41" s="160">
        <v>0</v>
      </c>
      <c r="N41" s="160">
        <v>0</v>
      </c>
      <c r="O41" s="250"/>
      <c r="P41" s="160">
        <v>0</v>
      </c>
      <c r="Q41" s="160">
        <v>0</v>
      </c>
      <c r="R41" s="160">
        <v>0</v>
      </c>
      <c r="S41" s="160">
        <v>0</v>
      </c>
      <c r="T41" s="250"/>
      <c r="U41" s="160">
        <v>0</v>
      </c>
      <c r="V41" s="160">
        <v>0</v>
      </c>
      <c r="W41" s="160">
        <v>0</v>
      </c>
      <c r="X41" s="160">
        <v>0</v>
      </c>
      <c r="Y41" s="250"/>
      <c r="Z41" s="160">
        <v>0</v>
      </c>
      <c r="AB41" s="160">
        <v>3350.29</v>
      </c>
      <c r="AC41" s="160">
        <v>0</v>
      </c>
      <c r="AD41" s="250">
        <v>157</v>
      </c>
      <c r="AE41" s="160">
        <v>3521.4874999999997</v>
      </c>
      <c r="AF41" s="160">
        <v>157</v>
      </c>
      <c r="AG41" s="160">
        <v>5070.29</v>
      </c>
      <c r="AH41" s="160">
        <v>3521.4874999999997</v>
      </c>
      <c r="AI41" s="250">
        <v>157</v>
      </c>
      <c r="AJ41" s="160">
        <v>3521.4874999999997</v>
      </c>
      <c r="AK41" s="160">
        <v>157</v>
      </c>
      <c r="AL41" s="160">
        <v>5070.29</v>
      </c>
      <c r="AM41" s="160">
        <v>3521.4874999999997</v>
      </c>
      <c r="AN41" s="250">
        <v>157</v>
      </c>
      <c r="AO41" s="160">
        <v>3521.4874999999997</v>
      </c>
      <c r="AP41" s="160">
        <v>157</v>
      </c>
      <c r="AQ41" s="160">
        <v>5070.29</v>
      </c>
      <c r="AR41" s="160">
        <v>3521.4874999999997</v>
      </c>
      <c r="AS41" s="250">
        <v>157</v>
      </c>
      <c r="AT41" s="160">
        <v>3521.4874999999997</v>
      </c>
      <c r="AU41" s="160">
        <v>157</v>
      </c>
      <c r="AV41" s="160">
        <v>5070.29</v>
      </c>
      <c r="AW41" s="160">
        <v>3521.4874999999997</v>
      </c>
      <c r="AX41" s="250">
        <v>157</v>
      </c>
      <c r="AY41" s="160">
        <v>3521.4874999999997</v>
      </c>
      <c r="AZ41" s="160">
        <v>157</v>
      </c>
      <c r="BA41" s="160">
        <v>5070.29</v>
      </c>
      <c r="BB41" s="257">
        <v>3521.4874999999997</v>
      </c>
      <c r="BC41" s="57"/>
      <c r="BD41" s="204"/>
      <c r="BE41" s="57"/>
    </row>
    <row r="42" spans="1:57" x14ac:dyDescent="0.25">
      <c r="A42" s="234" t="s">
        <v>549</v>
      </c>
      <c r="B42" s="241" t="s">
        <v>1352</v>
      </c>
      <c r="C42" s="224">
        <v>4</v>
      </c>
      <c r="D42" s="57" t="s">
        <v>1332</v>
      </c>
      <c r="E42" s="20">
        <v>3120</v>
      </c>
      <c r="F42" s="224">
        <v>780</v>
      </c>
      <c r="G42" s="224">
        <v>4</v>
      </c>
      <c r="H42" s="20">
        <v>3525</v>
      </c>
      <c r="I42" s="224">
        <v>881.25</v>
      </c>
      <c r="J42" s="250">
        <v>0</v>
      </c>
      <c r="K42" s="160">
        <v>0</v>
      </c>
      <c r="L42" s="160">
        <v>0</v>
      </c>
      <c r="M42" s="160">
        <v>0</v>
      </c>
      <c r="N42" s="160">
        <v>0</v>
      </c>
      <c r="O42" s="250">
        <v>0</v>
      </c>
      <c r="P42" s="160">
        <v>0</v>
      </c>
      <c r="Q42" s="160">
        <v>0</v>
      </c>
      <c r="R42" s="160">
        <v>0</v>
      </c>
      <c r="S42" s="160">
        <v>0</v>
      </c>
      <c r="T42" s="250">
        <v>0</v>
      </c>
      <c r="U42" s="160">
        <v>0</v>
      </c>
      <c r="V42" s="160">
        <v>0</v>
      </c>
      <c r="W42" s="160">
        <v>0</v>
      </c>
      <c r="X42" s="160">
        <v>0</v>
      </c>
      <c r="Y42" s="250">
        <v>4</v>
      </c>
      <c r="Z42" s="160">
        <v>3120</v>
      </c>
      <c r="AA42" s="160">
        <v>4</v>
      </c>
      <c r="AB42" s="160">
        <v>3525</v>
      </c>
      <c r="AC42" s="160">
        <v>3120</v>
      </c>
      <c r="AD42" s="250">
        <v>4</v>
      </c>
      <c r="AE42" s="160">
        <v>3120</v>
      </c>
      <c r="AF42" s="160">
        <v>4</v>
      </c>
      <c r="AG42" s="160">
        <v>3525</v>
      </c>
      <c r="AH42" s="160">
        <v>3120</v>
      </c>
      <c r="AI42" s="250">
        <v>4</v>
      </c>
      <c r="AJ42" s="160">
        <v>3120</v>
      </c>
      <c r="AK42" s="160">
        <v>4</v>
      </c>
      <c r="AL42" s="160">
        <v>3525</v>
      </c>
      <c r="AM42" s="160">
        <v>3120</v>
      </c>
      <c r="AN42" s="250">
        <v>4</v>
      </c>
      <c r="AO42" s="160">
        <v>3120</v>
      </c>
      <c r="AP42" s="160">
        <v>4</v>
      </c>
      <c r="AQ42" s="160">
        <v>3525</v>
      </c>
      <c r="AR42" s="160">
        <v>3120</v>
      </c>
      <c r="AS42" s="250">
        <v>4</v>
      </c>
      <c r="AT42" s="160">
        <v>3120</v>
      </c>
      <c r="AU42" s="160">
        <v>4</v>
      </c>
      <c r="AV42" s="160">
        <v>3525</v>
      </c>
      <c r="AW42" s="160">
        <v>3120</v>
      </c>
      <c r="AX42" s="250">
        <v>4</v>
      </c>
      <c r="AY42" s="160">
        <v>3120</v>
      </c>
      <c r="AZ42" s="160">
        <v>4</v>
      </c>
      <c r="BA42" s="160">
        <v>3525</v>
      </c>
      <c r="BB42" s="257">
        <v>3120</v>
      </c>
      <c r="BC42" s="57"/>
      <c r="BD42" s="204"/>
      <c r="BE42" s="57"/>
    </row>
    <row r="43" spans="1:57" x14ac:dyDescent="0.25">
      <c r="A43" s="234" t="s">
        <v>539</v>
      </c>
      <c r="B43" s="241" t="s">
        <v>103</v>
      </c>
      <c r="C43" s="224">
        <v>4019</v>
      </c>
      <c r="D43" s="57" t="s">
        <v>100</v>
      </c>
      <c r="E43" s="20">
        <v>-144410.78542500001</v>
      </c>
      <c r="F43" s="224">
        <v>-35.932019264742479</v>
      </c>
      <c r="G43" s="224">
        <v>4610</v>
      </c>
      <c r="H43" s="20">
        <v>36883.199999999997</v>
      </c>
      <c r="I43" s="224">
        <v>8.0006941431670278</v>
      </c>
      <c r="J43" s="250">
        <v>0</v>
      </c>
      <c r="K43" s="160">
        <v>0</v>
      </c>
      <c r="L43" s="160">
        <v>0</v>
      </c>
      <c r="M43" s="160">
        <v>0</v>
      </c>
      <c r="N43" s="160">
        <v>0</v>
      </c>
      <c r="O43" s="250">
        <v>1000</v>
      </c>
      <c r="P43" s="160">
        <v>-35932.019264742477</v>
      </c>
      <c r="Q43" s="160">
        <v>0</v>
      </c>
      <c r="R43" s="160">
        <v>0</v>
      </c>
      <c r="S43" s="160">
        <v>0</v>
      </c>
      <c r="T43" s="250">
        <v>3000</v>
      </c>
      <c r="U43" s="160">
        <v>-107796.05779422744</v>
      </c>
      <c r="V43" s="160">
        <v>0</v>
      </c>
      <c r="W43" s="160">
        <v>0</v>
      </c>
      <c r="X43" s="160">
        <v>0</v>
      </c>
      <c r="Y43" s="250">
        <v>4019</v>
      </c>
      <c r="Z43" s="160">
        <v>-144410.78542500001</v>
      </c>
      <c r="AA43" s="160">
        <v>4610</v>
      </c>
      <c r="AB43" s="160">
        <v>36883.199999999997</v>
      </c>
      <c r="AC43" s="160">
        <v>-144410.78542500001</v>
      </c>
      <c r="AD43" s="250">
        <v>4019</v>
      </c>
      <c r="AE43" s="160">
        <v>-144410.78542500001</v>
      </c>
      <c r="AF43" s="160">
        <v>4610</v>
      </c>
      <c r="AG43" s="160">
        <v>36883.199999999997</v>
      </c>
      <c r="AH43" s="160">
        <v>-144410.78542500001</v>
      </c>
      <c r="AI43" s="250">
        <v>4019</v>
      </c>
      <c r="AJ43" s="160">
        <v>-144410.78542500001</v>
      </c>
      <c r="AK43" s="160">
        <v>4610</v>
      </c>
      <c r="AL43" s="160">
        <v>36883.199999999997</v>
      </c>
      <c r="AM43" s="160">
        <v>-144410.78542500001</v>
      </c>
      <c r="AN43" s="250">
        <v>4019</v>
      </c>
      <c r="AO43" s="160">
        <v>-144410.78542500001</v>
      </c>
      <c r="AP43" s="160">
        <v>4610</v>
      </c>
      <c r="AQ43" s="160">
        <v>36883.199999999997</v>
      </c>
      <c r="AR43" s="160">
        <v>-144410.78542500001</v>
      </c>
      <c r="AS43" s="250">
        <v>4019</v>
      </c>
      <c r="AT43" s="160">
        <v>-144410.78542500001</v>
      </c>
      <c r="AU43" s="160">
        <v>4610</v>
      </c>
      <c r="AV43" s="160">
        <v>36883.199999999997</v>
      </c>
      <c r="AW43" s="160">
        <v>-144410.78542500001</v>
      </c>
      <c r="AX43" s="250">
        <v>4019</v>
      </c>
      <c r="AY43" s="160">
        <v>-144410.78542500001</v>
      </c>
      <c r="AZ43" s="160">
        <v>4610</v>
      </c>
      <c r="BA43" s="160">
        <v>36883.199999999997</v>
      </c>
      <c r="BB43" s="257">
        <v>-144410.78542500001</v>
      </c>
      <c r="BC43" s="57"/>
      <c r="BD43" s="204"/>
      <c r="BE43" s="57"/>
    </row>
    <row r="44" spans="1:57" x14ac:dyDescent="0.25">
      <c r="A44" s="234" t="s">
        <v>540</v>
      </c>
      <c r="B44" s="241" t="s">
        <v>1353</v>
      </c>
      <c r="C44" s="224">
        <v>354</v>
      </c>
      <c r="D44" s="57" t="s">
        <v>100</v>
      </c>
      <c r="E44" s="20">
        <v>12390</v>
      </c>
      <c r="F44" s="224">
        <v>35</v>
      </c>
      <c r="G44" s="224">
        <v>178</v>
      </c>
      <c r="H44" s="20">
        <v>6005.268</v>
      </c>
      <c r="I44" s="224">
        <v>33.737460674157305</v>
      </c>
      <c r="J44" s="250">
        <v>0</v>
      </c>
      <c r="K44" s="160">
        <v>0</v>
      </c>
      <c r="L44" s="160">
        <v>0</v>
      </c>
      <c r="M44" s="160">
        <v>0</v>
      </c>
      <c r="N44" s="160">
        <v>0</v>
      </c>
      <c r="O44" s="250">
        <v>150</v>
      </c>
      <c r="P44" s="160">
        <v>5250</v>
      </c>
      <c r="Q44" s="160">
        <v>35</v>
      </c>
      <c r="R44" s="160">
        <v>1222.028</v>
      </c>
      <c r="S44" s="160">
        <v>2436.23595505618</v>
      </c>
      <c r="T44" s="250">
        <v>354</v>
      </c>
      <c r="U44" s="160">
        <v>12390</v>
      </c>
      <c r="V44" s="160">
        <v>35</v>
      </c>
      <c r="W44" s="160">
        <v>1222.028</v>
      </c>
      <c r="X44" s="160">
        <v>2436.23595505618</v>
      </c>
      <c r="Y44" s="250">
        <v>354</v>
      </c>
      <c r="Z44" s="160">
        <v>12390</v>
      </c>
      <c r="AA44" s="160">
        <v>178</v>
      </c>
      <c r="AB44" s="160">
        <v>6005.268</v>
      </c>
      <c r="AC44" s="160">
        <v>12390</v>
      </c>
      <c r="AD44" s="250">
        <v>354</v>
      </c>
      <c r="AE44" s="160">
        <v>12390</v>
      </c>
      <c r="AF44" s="160">
        <v>178</v>
      </c>
      <c r="AG44" s="160">
        <v>6005.268</v>
      </c>
      <c r="AH44" s="160">
        <v>12390</v>
      </c>
      <c r="AI44" s="250">
        <v>354</v>
      </c>
      <c r="AJ44" s="160">
        <v>12390</v>
      </c>
      <c r="AK44" s="160">
        <v>178</v>
      </c>
      <c r="AL44" s="160">
        <v>6005.268</v>
      </c>
      <c r="AM44" s="160">
        <v>12390</v>
      </c>
      <c r="AN44" s="250">
        <v>354</v>
      </c>
      <c r="AO44" s="160">
        <v>12390</v>
      </c>
      <c r="AP44" s="160">
        <v>178</v>
      </c>
      <c r="AQ44" s="160">
        <v>6005.268</v>
      </c>
      <c r="AR44" s="160">
        <v>12390</v>
      </c>
      <c r="AS44" s="250">
        <v>354</v>
      </c>
      <c r="AT44" s="160">
        <v>12390</v>
      </c>
      <c r="AU44" s="160">
        <v>178</v>
      </c>
      <c r="AV44" s="160">
        <v>6005.268</v>
      </c>
      <c r="AW44" s="160">
        <v>12390</v>
      </c>
      <c r="AX44" s="250">
        <v>354</v>
      </c>
      <c r="AY44" s="160">
        <v>12390</v>
      </c>
      <c r="AZ44" s="160">
        <v>178</v>
      </c>
      <c r="BA44" s="160">
        <v>6005.268</v>
      </c>
      <c r="BB44" s="257">
        <v>12390</v>
      </c>
      <c r="BC44" s="57"/>
      <c r="BD44" s="204"/>
      <c r="BE44" s="57"/>
    </row>
    <row r="45" spans="1:57" x14ac:dyDescent="0.25">
      <c r="A45" s="234" t="s">
        <v>542</v>
      </c>
      <c r="B45" s="241" t="s">
        <v>189</v>
      </c>
      <c r="C45" s="224">
        <v>147.81</v>
      </c>
      <c r="D45" s="57" t="s">
        <v>100</v>
      </c>
      <c r="E45" s="20">
        <v>4061.304995611556</v>
      </c>
      <c r="F45" s="224">
        <v>27.476523886148136</v>
      </c>
      <c r="G45" s="224">
        <v>56</v>
      </c>
      <c r="H45" s="20">
        <v>1428.3</v>
      </c>
      <c r="I45" s="224"/>
      <c r="J45" s="250">
        <v>100</v>
      </c>
      <c r="K45" s="160">
        <v>2747.6523886148138</v>
      </c>
      <c r="L45" s="160">
        <v>0</v>
      </c>
      <c r="M45" s="160">
        <v>0</v>
      </c>
      <c r="N45" s="160">
        <v>0</v>
      </c>
      <c r="O45" s="250">
        <v>147.81</v>
      </c>
      <c r="P45" s="160">
        <v>4061.304995611556</v>
      </c>
      <c r="Q45" s="160">
        <v>56</v>
      </c>
      <c r="R45" s="160">
        <v>1428.3</v>
      </c>
      <c r="S45" s="160">
        <v>4061.304995611556</v>
      </c>
      <c r="T45" s="250">
        <v>147.81</v>
      </c>
      <c r="U45" s="160">
        <v>4061.304995611556</v>
      </c>
      <c r="V45" s="160">
        <v>56</v>
      </c>
      <c r="W45" s="160">
        <v>1428.3</v>
      </c>
      <c r="X45" s="160">
        <v>4061.304995611556</v>
      </c>
      <c r="Y45" s="250">
        <v>147.81</v>
      </c>
      <c r="Z45" s="160">
        <v>4061.304995611556</v>
      </c>
      <c r="AA45" s="160">
        <v>56</v>
      </c>
      <c r="AB45" s="160">
        <v>1428.3</v>
      </c>
      <c r="AD45" s="250">
        <v>147.81</v>
      </c>
      <c r="AE45" s="160">
        <v>4061.304995611556</v>
      </c>
      <c r="AF45" s="160">
        <v>56</v>
      </c>
      <c r="AG45" s="160">
        <v>1428.3</v>
      </c>
      <c r="AH45" s="160">
        <v>4061.304995611556</v>
      </c>
      <c r="AI45" s="250">
        <v>147.81</v>
      </c>
      <c r="AJ45" s="160">
        <v>4061.304995611556</v>
      </c>
      <c r="AK45" s="160">
        <v>56</v>
      </c>
      <c r="AL45" s="160">
        <v>1428.3</v>
      </c>
      <c r="AM45" s="160">
        <v>4061.304995611556</v>
      </c>
      <c r="AN45" s="250">
        <v>147.81</v>
      </c>
      <c r="AO45" s="160">
        <v>4061.304995611556</v>
      </c>
      <c r="AP45" s="160">
        <v>56</v>
      </c>
      <c r="AQ45" s="160">
        <v>1428.3</v>
      </c>
      <c r="AR45" s="160">
        <v>4061.304995611556</v>
      </c>
      <c r="AS45" s="250">
        <v>147.81</v>
      </c>
      <c r="AT45" s="160">
        <v>4061.304995611556</v>
      </c>
      <c r="AU45" s="160">
        <v>56</v>
      </c>
      <c r="AV45" s="160">
        <v>1428.3</v>
      </c>
      <c r="AW45" s="160">
        <v>4061.304995611556</v>
      </c>
      <c r="AX45" s="250">
        <v>147.81</v>
      </c>
      <c r="AY45" s="160">
        <v>4061.304995611556</v>
      </c>
      <c r="AZ45" s="160">
        <v>56</v>
      </c>
      <c r="BA45" s="160">
        <v>1428.3</v>
      </c>
      <c r="BB45" s="257">
        <v>4061.304995611556</v>
      </c>
      <c r="BC45" s="57"/>
      <c r="BD45" s="204"/>
      <c r="BE45" s="57"/>
    </row>
    <row r="46" spans="1:57" x14ac:dyDescent="0.25">
      <c r="A46" s="234" t="s">
        <v>544</v>
      </c>
      <c r="B46" s="241" t="s">
        <v>1354</v>
      </c>
      <c r="C46" s="224">
        <v>2.71</v>
      </c>
      <c r="D46" s="57" t="s">
        <v>100</v>
      </c>
      <c r="E46" s="20">
        <v>5959.8388032879629</v>
      </c>
      <c r="F46" s="224">
        <v>2199.2025104383629</v>
      </c>
      <c r="G46" s="224">
        <v>1.4</v>
      </c>
      <c r="H46" s="20">
        <v>2909.52</v>
      </c>
      <c r="I46" s="224">
        <v>2078.2285714285717</v>
      </c>
      <c r="J46" s="250">
        <v>0</v>
      </c>
      <c r="K46" s="160">
        <v>0</v>
      </c>
      <c r="L46" s="160">
        <v>0</v>
      </c>
      <c r="M46" s="160">
        <v>0</v>
      </c>
      <c r="N46" s="160">
        <v>0</v>
      </c>
      <c r="O46" s="250"/>
      <c r="P46" s="160">
        <v>0</v>
      </c>
      <c r="Q46" s="160">
        <v>1.4</v>
      </c>
      <c r="R46" s="160">
        <v>2909.52</v>
      </c>
      <c r="S46" s="160">
        <v>5959.8388032879629</v>
      </c>
      <c r="T46" s="250"/>
      <c r="U46" s="160">
        <v>0</v>
      </c>
      <c r="V46" s="160">
        <v>1.4</v>
      </c>
      <c r="W46" s="160">
        <v>2909.52</v>
      </c>
      <c r="X46" s="160">
        <v>5959.8388032879629</v>
      </c>
      <c r="Y46" s="250"/>
      <c r="Z46" s="160">
        <v>0</v>
      </c>
      <c r="AA46" s="160">
        <v>1.4</v>
      </c>
      <c r="AB46" s="160">
        <v>2909.52</v>
      </c>
      <c r="AC46" s="160">
        <v>5959.8388032879629</v>
      </c>
      <c r="AD46" s="250">
        <v>2.71</v>
      </c>
      <c r="AE46" s="160">
        <v>5959.8388032879629</v>
      </c>
      <c r="AF46" s="160">
        <v>1.4</v>
      </c>
      <c r="AG46" s="160">
        <v>2909.52</v>
      </c>
      <c r="AH46" s="160">
        <v>5959.8388032879629</v>
      </c>
      <c r="AI46" s="250">
        <v>2.71</v>
      </c>
      <c r="AJ46" s="160">
        <v>5959.8388032879629</v>
      </c>
      <c r="AK46" s="160">
        <v>1.4</v>
      </c>
      <c r="AL46" s="160">
        <v>2909.52</v>
      </c>
      <c r="AM46" s="160">
        <v>5959.8388032879629</v>
      </c>
      <c r="AN46" s="250">
        <v>2.71</v>
      </c>
      <c r="AO46" s="160">
        <v>5959.8388032879629</v>
      </c>
      <c r="AP46" s="160">
        <v>1.4</v>
      </c>
      <c r="AQ46" s="160">
        <v>2909.52</v>
      </c>
      <c r="AR46" s="160">
        <v>5959.8388032879629</v>
      </c>
      <c r="AS46" s="250">
        <v>2.71</v>
      </c>
      <c r="AT46" s="160">
        <v>5959.8388032879629</v>
      </c>
      <c r="AU46" s="160">
        <v>1.4</v>
      </c>
      <c r="AV46" s="160">
        <v>2909.52</v>
      </c>
      <c r="AW46" s="160">
        <v>5959.8388032879629</v>
      </c>
      <c r="AX46" s="250">
        <v>2.71</v>
      </c>
      <c r="AY46" s="160">
        <v>5959.8388032879629</v>
      </c>
      <c r="AZ46" s="160">
        <v>1.4</v>
      </c>
      <c r="BA46" s="160">
        <v>2909.52</v>
      </c>
      <c r="BB46" s="257">
        <v>5959.8388032879629</v>
      </c>
      <c r="BC46" s="57"/>
      <c r="BD46" s="204"/>
      <c r="BE46" s="57"/>
    </row>
    <row r="47" spans="1:57" x14ac:dyDescent="0.25">
      <c r="A47" s="234" t="s">
        <v>545</v>
      </c>
      <c r="B47" s="241" t="s">
        <v>1355</v>
      </c>
      <c r="C47" s="224">
        <v>59.48</v>
      </c>
      <c r="D47" s="57" t="s">
        <v>1330</v>
      </c>
      <c r="E47" s="20">
        <v>39512.156799999997</v>
      </c>
      <c r="F47" s="224">
        <v>664.29315400134499</v>
      </c>
      <c r="G47" s="224">
        <v>59.48</v>
      </c>
      <c r="H47" s="20">
        <v>20610</v>
      </c>
      <c r="I47" s="224">
        <v>346.50302622730334</v>
      </c>
      <c r="J47" s="250">
        <v>0</v>
      </c>
      <c r="K47" s="160">
        <v>0</v>
      </c>
      <c r="L47" s="160">
        <v>0</v>
      </c>
      <c r="M47" s="160">
        <v>0</v>
      </c>
      <c r="N47" s="160">
        <v>0</v>
      </c>
      <c r="O47" s="250">
        <v>59.48</v>
      </c>
      <c r="P47" s="160">
        <v>39512.156799999997</v>
      </c>
      <c r="Q47" s="160">
        <v>59.48</v>
      </c>
      <c r="R47" s="160">
        <v>20610</v>
      </c>
      <c r="S47" s="160">
        <v>39512.156799999997</v>
      </c>
      <c r="T47" s="250">
        <v>59.48</v>
      </c>
      <c r="U47" s="160">
        <v>39512.156799999997</v>
      </c>
      <c r="V47" s="160">
        <v>59.48</v>
      </c>
      <c r="W47" s="160">
        <v>20610</v>
      </c>
      <c r="X47" s="160">
        <v>39512.156799999997</v>
      </c>
      <c r="Y47" s="250">
        <v>59.48</v>
      </c>
      <c r="Z47" s="160">
        <v>39512.156799999997</v>
      </c>
      <c r="AA47" s="160">
        <v>59.48</v>
      </c>
      <c r="AB47" s="160">
        <v>20610</v>
      </c>
      <c r="AC47" s="160">
        <v>39512.156799999997</v>
      </c>
      <c r="AD47" s="250">
        <v>59.48</v>
      </c>
      <c r="AE47" s="160">
        <v>39512.156799999997</v>
      </c>
      <c r="AF47" s="160">
        <v>59.48</v>
      </c>
      <c r="AG47" s="160">
        <v>20610</v>
      </c>
      <c r="AH47" s="160">
        <v>39512.156799999997</v>
      </c>
      <c r="AI47" s="250">
        <v>59.48</v>
      </c>
      <c r="AJ47" s="160">
        <v>39512.156799999997</v>
      </c>
      <c r="AK47" s="160">
        <v>59.48</v>
      </c>
      <c r="AL47" s="160">
        <v>20610</v>
      </c>
      <c r="AM47" s="160">
        <v>39512.156799999997</v>
      </c>
      <c r="AN47" s="250">
        <v>59.48</v>
      </c>
      <c r="AO47" s="160">
        <v>39512.156799999997</v>
      </c>
      <c r="AP47" s="160">
        <v>59.48</v>
      </c>
      <c r="AQ47" s="160">
        <v>20610</v>
      </c>
      <c r="AR47" s="160">
        <v>39512.156799999997</v>
      </c>
      <c r="AS47" s="250">
        <v>59.48</v>
      </c>
      <c r="AT47" s="160">
        <v>39512.156799999997</v>
      </c>
      <c r="AU47" s="160">
        <v>59.48</v>
      </c>
      <c r="AV47" s="160">
        <v>20610</v>
      </c>
      <c r="AW47" s="160">
        <v>39512.156799999997</v>
      </c>
      <c r="AX47" s="250">
        <v>59.48</v>
      </c>
      <c r="AY47" s="160">
        <v>39512.156799999997</v>
      </c>
      <c r="AZ47" s="160">
        <v>59.48</v>
      </c>
      <c r="BA47" s="160">
        <v>20610</v>
      </c>
      <c r="BB47" s="257">
        <v>39512.156799999997</v>
      </c>
      <c r="BC47" s="57"/>
      <c r="BD47" s="204"/>
      <c r="BE47" s="57"/>
    </row>
    <row r="48" spans="1:57" x14ac:dyDescent="0.25">
      <c r="A48" s="234" t="s">
        <v>541</v>
      </c>
      <c r="B48" s="241" t="s">
        <v>1356</v>
      </c>
      <c r="C48" s="224">
        <v>12.2</v>
      </c>
      <c r="D48" s="57" t="s">
        <v>1330</v>
      </c>
      <c r="E48" s="20">
        <v>6677.4459348000009</v>
      </c>
      <c r="F48" s="224">
        <v>547.33163400000012</v>
      </c>
      <c r="G48" s="224">
        <v>10.98</v>
      </c>
      <c r="H48" s="20">
        <v>10500.25</v>
      </c>
      <c r="I48" s="224">
        <v>956.30692167577411</v>
      </c>
      <c r="J48" s="250">
        <v>12.2</v>
      </c>
      <c r="K48" s="160">
        <v>6677.4459348000009</v>
      </c>
      <c r="L48" s="160">
        <v>9.76</v>
      </c>
      <c r="M48" s="160">
        <v>9270.25</v>
      </c>
      <c r="N48" s="160">
        <v>5935.5074976000005</v>
      </c>
      <c r="O48" s="250">
        <v>12.2</v>
      </c>
      <c r="P48" s="160">
        <v>6677.4459348000009</v>
      </c>
      <c r="Q48" s="160">
        <v>10.98</v>
      </c>
      <c r="R48" s="160">
        <v>10500.25</v>
      </c>
      <c r="S48" s="160">
        <v>6677.4459348000009</v>
      </c>
      <c r="T48" s="250">
        <v>12.2</v>
      </c>
      <c r="U48" s="160">
        <v>6677.4459348000009</v>
      </c>
      <c r="V48" s="160">
        <v>10.98</v>
      </c>
      <c r="W48" s="160">
        <v>10500.25</v>
      </c>
      <c r="X48" s="160">
        <v>6677.4459348000009</v>
      </c>
      <c r="Y48" s="250">
        <v>12.2</v>
      </c>
      <c r="Z48" s="160">
        <v>6677.4459348000009</v>
      </c>
      <c r="AA48" s="160">
        <v>10.98</v>
      </c>
      <c r="AB48" s="160">
        <v>10500.25</v>
      </c>
      <c r="AC48" s="160">
        <v>6677.4459348000009</v>
      </c>
      <c r="AD48" s="250">
        <v>12.2</v>
      </c>
      <c r="AE48" s="160">
        <v>6677.4459348000009</v>
      </c>
      <c r="AF48" s="160">
        <v>10.98</v>
      </c>
      <c r="AG48" s="160">
        <v>10500.25</v>
      </c>
      <c r="AH48" s="160">
        <v>6677.4459348000009</v>
      </c>
      <c r="AI48" s="250">
        <v>12.2</v>
      </c>
      <c r="AJ48" s="160">
        <v>6677.4459348000009</v>
      </c>
      <c r="AK48" s="160">
        <v>10.98</v>
      </c>
      <c r="AL48" s="160">
        <v>10500.25</v>
      </c>
      <c r="AM48" s="160">
        <v>6677.4459348000009</v>
      </c>
      <c r="AN48" s="250">
        <v>12.2</v>
      </c>
      <c r="AO48" s="160">
        <v>6677.4459348000009</v>
      </c>
      <c r="AP48" s="160">
        <v>10.98</v>
      </c>
      <c r="AQ48" s="160">
        <v>10500.25</v>
      </c>
      <c r="AR48" s="160">
        <v>6677.4459348000009</v>
      </c>
      <c r="AS48" s="250">
        <v>12.2</v>
      </c>
      <c r="AT48" s="160">
        <v>6677.4459348000009</v>
      </c>
      <c r="AU48" s="160">
        <v>10.98</v>
      </c>
      <c r="AV48" s="160">
        <v>10500.25</v>
      </c>
      <c r="AW48" s="160">
        <v>6677.4459348000009</v>
      </c>
      <c r="AX48" s="250">
        <v>12.2</v>
      </c>
      <c r="AY48" s="160">
        <v>6677.4459348000009</v>
      </c>
      <c r="AZ48" s="160">
        <v>10.98</v>
      </c>
      <c r="BA48" s="160">
        <v>10500.25</v>
      </c>
      <c r="BB48" s="257">
        <v>6677.4459348000009</v>
      </c>
      <c r="BC48" s="57"/>
      <c r="BD48" s="204"/>
      <c r="BE48" s="57"/>
    </row>
    <row r="49" spans="1:57" x14ac:dyDescent="0.25">
      <c r="A49" s="238" t="s">
        <v>682</v>
      </c>
      <c r="B49" s="239" t="s">
        <v>1357</v>
      </c>
      <c r="C49" s="226"/>
      <c r="D49" s="177" t="s">
        <v>682</v>
      </c>
      <c r="E49" s="227">
        <v>1433245.2003124875</v>
      </c>
      <c r="F49" s="226"/>
      <c r="G49" s="226"/>
      <c r="H49" s="227">
        <v>1429262.6044999999</v>
      </c>
      <c r="I49" s="226"/>
      <c r="J49" s="251"/>
      <c r="K49" s="201">
        <v>92383.025544687174</v>
      </c>
      <c r="L49" s="201"/>
      <c r="M49" s="201">
        <v>35104.275000000001</v>
      </c>
      <c r="N49" s="201">
        <v>30031.448307079245</v>
      </c>
      <c r="O49" s="251"/>
      <c r="P49" s="201">
        <v>363972.18749418581</v>
      </c>
      <c r="Q49" s="201"/>
      <c r="R49" s="201">
        <v>339634.79699999996</v>
      </c>
      <c r="S49" s="201">
        <v>345496.51269968442</v>
      </c>
      <c r="T49" s="251"/>
      <c r="U49" s="201">
        <v>634423.96383997705</v>
      </c>
      <c r="V49" s="201"/>
      <c r="W49" s="201">
        <v>634273.35350000008</v>
      </c>
      <c r="X49" s="201">
        <v>612206.15473140974</v>
      </c>
      <c r="Y49" s="251"/>
      <c r="Z49" s="201">
        <v>781549.20120578352</v>
      </c>
      <c r="AA49" s="201"/>
      <c r="AB49" s="201">
        <v>858404.62350000022</v>
      </c>
      <c r="AC49" s="201">
        <v>695633.62052627676</v>
      </c>
      <c r="AD49" s="251"/>
      <c r="AE49" s="201">
        <v>1382770.7427901316</v>
      </c>
      <c r="AF49" s="201"/>
      <c r="AG49" s="201">
        <v>1214197.5625</v>
      </c>
      <c r="AH49" s="201">
        <v>1295576.8130272792</v>
      </c>
      <c r="AI49" s="251"/>
      <c r="AJ49" s="201">
        <v>1399688.8462384075</v>
      </c>
      <c r="AK49" s="201"/>
      <c r="AL49" s="201">
        <v>1228795.6184999999</v>
      </c>
      <c r="AM49" s="201">
        <v>1317157.4435085959</v>
      </c>
      <c r="AN49" s="251"/>
      <c r="AO49" s="201">
        <v>1399688.8462384075</v>
      </c>
      <c r="AP49" s="201"/>
      <c r="AQ49" s="201">
        <v>1230665.9785</v>
      </c>
      <c r="AR49" s="201">
        <v>1321240.7768419289</v>
      </c>
      <c r="AS49" s="251"/>
      <c r="AT49" s="201">
        <v>1399688.8462384075</v>
      </c>
      <c r="AU49" s="201"/>
      <c r="AV49" s="201">
        <v>1230665.9785</v>
      </c>
      <c r="AW49" s="201">
        <v>1321240.7768419289</v>
      </c>
      <c r="AX49" s="251"/>
      <c r="AY49" s="201">
        <v>1433245.2003124875</v>
      </c>
      <c r="AZ49" s="201"/>
      <c r="BA49" s="201">
        <v>1429262.6044999999</v>
      </c>
      <c r="BB49" s="258">
        <v>1433245.2003124875</v>
      </c>
      <c r="BC49" s="57"/>
      <c r="BE49" s="57"/>
    </row>
    <row r="50" spans="1:57" x14ac:dyDescent="0.25">
      <c r="D50" s="57"/>
    </row>
    <row r="51" spans="1:57" x14ac:dyDescent="0.25">
      <c r="C51" s="228" t="s">
        <v>1308</v>
      </c>
      <c r="D51" s="229" t="s">
        <v>1310</v>
      </c>
      <c r="E51" s="229" t="s">
        <v>1309</v>
      </c>
      <c r="F51" s="230"/>
      <c r="G51" s="230"/>
      <c r="H51" s="231"/>
      <c r="I51" s="230"/>
      <c r="J51" s="252"/>
      <c r="K51" s="252"/>
      <c r="L51" s="252"/>
      <c r="M51" s="252"/>
      <c r="N51" s="252"/>
      <c r="O51" s="252"/>
      <c r="S51" s="252"/>
      <c r="T51" s="252"/>
      <c r="BC51" s="57"/>
      <c r="BE51" s="57"/>
    </row>
    <row r="52" spans="1:57" x14ac:dyDescent="0.25">
      <c r="B52" s="242">
        <v>40817</v>
      </c>
      <c r="C52" s="204">
        <v>92383.025544687174</v>
      </c>
      <c r="D52" s="204">
        <v>30031.448307079245</v>
      </c>
      <c r="E52" s="204">
        <v>35104.275000000001</v>
      </c>
      <c r="F52" s="204"/>
      <c r="G52" s="204"/>
      <c r="H52" s="204"/>
      <c r="I52" s="204"/>
      <c r="O52" s="259"/>
      <c r="BC52" s="57"/>
      <c r="BE52" s="57"/>
    </row>
    <row r="53" spans="1:57" x14ac:dyDescent="0.25">
      <c r="B53" s="242">
        <v>40848</v>
      </c>
      <c r="C53" s="204">
        <v>363972.18749418581</v>
      </c>
      <c r="D53" s="204">
        <v>345496.51269968442</v>
      </c>
      <c r="E53" s="204">
        <v>339634.79699999996</v>
      </c>
      <c r="F53" s="204"/>
      <c r="G53" s="204"/>
      <c r="H53" s="204"/>
      <c r="I53" s="204"/>
      <c r="O53" s="259"/>
      <c r="BC53" s="57"/>
      <c r="BE53" s="57"/>
    </row>
    <row r="54" spans="1:57" x14ac:dyDescent="0.25">
      <c r="B54" s="242">
        <v>40878</v>
      </c>
      <c r="C54" s="204">
        <v>634423.96383997705</v>
      </c>
      <c r="D54" s="204">
        <v>612206.15473140974</v>
      </c>
      <c r="E54" s="204">
        <v>634273.35350000008</v>
      </c>
      <c r="F54" s="204"/>
      <c r="G54" s="204"/>
      <c r="H54" s="204"/>
      <c r="I54" s="204"/>
      <c r="O54" s="259"/>
      <c r="BC54" s="57"/>
      <c r="BE54" s="57"/>
    </row>
    <row r="55" spans="1:57" x14ac:dyDescent="0.25">
      <c r="B55" s="242">
        <v>40909</v>
      </c>
      <c r="C55" s="204">
        <v>781549.20120578352</v>
      </c>
      <c r="D55" s="204">
        <v>695633.62052627676</v>
      </c>
      <c r="E55" s="204">
        <v>858404.62350000022</v>
      </c>
      <c r="F55" s="204"/>
      <c r="G55" s="204"/>
      <c r="H55" s="204"/>
      <c r="I55" s="204"/>
      <c r="O55" s="259"/>
      <c r="BC55" s="57"/>
      <c r="BE55" s="57"/>
    </row>
    <row r="56" spans="1:57" x14ac:dyDescent="0.25">
      <c r="B56" s="242">
        <v>40940</v>
      </c>
      <c r="C56" s="204">
        <v>1382770.7427901316</v>
      </c>
      <c r="D56" s="204">
        <v>1295576.8130272792</v>
      </c>
      <c r="E56" s="204">
        <v>1214197.5625</v>
      </c>
      <c r="F56" s="204"/>
      <c r="G56" s="204"/>
      <c r="H56" s="204"/>
      <c r="I56" s="204"/>
      <c r="O56" s="259"/>
      <c r="BC56" s="57"/>
      <c r="BE56" s="57"/>
    </row>
    <row r="57" spans="1:57" x14ac:dyDescent="0.25">
      <c r="B57" s="242">
        <v>40969</v>
      </c>
      <c r="C57" s="204">
        <v>1399688.8462384075</v>
      </c>
      <c r="D57" s="204">
        <v>1317157.4435085959</v>
      </c>
      <c r="E57" s="204">
        <v>1228795.6184999999</v>
      </c>
      <c r="F57" s="204"/>
      <c r="G57" s="204"/>
      <c r="H57" s="204"/>
      <c r="I57" s="204"/>
      <c r="O57" s="259"/>
      <c r="BC57" s="57"/>
      <c r="BE57" s="57"/>
    </row>
    <row r="58" spans="1:57" x14ac:dyDescent="0.25">
      <c r="B58" s="242">
        <v>41000</v>
      </c>
      <c r="C58" s="204">
        <v>1399688.8462384075</v>
      </c>
      <c r="D58" s="204">
        <v>1321240.7768419289</v>
      </c>
      <c r="E58" s="204">
        <v>1230665.9785</v>
      </c>
      <c r="F58" s="204"/>
      <c r="G58" s="204"/>
      <c r="H58" s="204"/>
      <c r="I58" s="204"/>
      <c r="O58" s="259"/>
      <c r="BC58" s="57"/>
      <c r="BE58" s="57"/>
    </row>
    <row r="59" spans="1:57" x14ac:dyDescent="0.25">
      <c r="B59" s="242">
        <v>41030</v>
      </c>
      <c r="C59" s="204">
        <v>1399688.8462384075</v>
      </c>
      <c r="D59" s="204">
        <v>1321240.7768419289</v>
      </c>
      <c r="E59" s="204">
        <v>1230665.9785</v>
      </c>
      <c r="F59" s="204"/>
      <c r="G59" s="204"/>
      <c r="H59" s="204"/>
      <c r="I59" s="204"/>
      <c r="O59" s="259"/>
      <c r="BC59" s="57"/>
      <c r="BE59" s="57"/>
    </row>
    <row r="60" spans="1:57" x14ac:dyDescent="0.25">
      <c r="B60" s="242">
        <v>41061</v>
      </c>
      <c r="C60" s="204">
        <v>1433245.2003124875</v>
      </c>
      <c r="D60" s="204">
        <v>1433245.2003124875</v>
      </c>
      <c r="E60" s="204">
        <v>1429262.6044999999</v>
      </c>
      <c r="F60" s="204"/>
      <c r="G60" s="204"/>
      <c r="H60" s="204"/>
      <c r="I60" s="204"/>
      <c r="BC60" s="57"/>
      <c r="BE60" s="57"/>
    </row>
    <row r="61" spans="1:57" x14ac:dyDescent="0.25">
      <c r="C61" s="224"/>
      <c r="D61" s="224"/>
      <c r="E61" s="57"/>
      <c r="F61" s="224"/>
      <c r="G61" s="224"/>
      <c r="H61" s="57"/>
      <c r="I61" s="204"/>
      <c r="BC61" s="57"/>
      <c r="BE61" s="57"/>
    </row>
    <row r="62" spans="1:57" x14ac:dyDescent="0.25">
      <c r="D62" s="57"/>
    </row>
    <row r="63" spans="1:57" x14ac:dyDescent="0.25">
      <c r="D63" s="57"/>
    </row>
    <row r="64" spans="1:57" x14ac:dyDescent="0.25">
      <c r="D64" s="57"/>
    </row>
    <row r="65" spans="4:4" x14ac:dyDescent="0.25">
      <c r="D65" s="57"/>
    </row>
    <row r="66" spans="4:4" x14ac:dyDescent="0.25">
      <c r="D66" s="57"/>
    </row>
    <row r="67" spans="4:4" x14ac:dyDescent="0.25">
      <c r="D67" s="57"/>
    </row>
    <row r="68" spans="4:4" x14ac:dyDescent="0.25">
      <c r="D68" s="57"/>
    </row>
    <row r="69" spans="4:4" x14ac:dyDescent="0.25">
      <c r="D69" s="57"/>
    </row>
    <row r="70" spans="4:4" x14ac:dyDescent="0.25">
      <c r="D70" s="57"/>
    </row>
    <row r="71" spans="4:4" x14ac:dyDescent="0.25">
      <c r="D71" s="57"/>
    </row>
    <row r="72" spans="4:4" x14ac:dyDescent="0.25">
      <c r="D72" s="57"/>
    </row>
    <row r="73" spans="4:4" x14ac:dyDescent="0.25">
      <c r="D73" s="57"/>
    </row>
    <row r="74" spans="4:4" x14ac:dyDescent="0.25">
      <c r="D74" s="57"/>
    </row>
    <row r="75" spans="4:4" x14ac:dyDescent="0.25">
      <c r="D75" s="57"/>
    </row>
    <row r="76" spans="4:4" x14ac:dyDescent="0.25">
      <c r="D76" s="57"/>
    </row>
    <row r="77" spans="4:4" x14ac:dyDescent="0.25">
      <c r="D77" s="57"/>
    </row>
    <row r="78" spans="4:4" x14ac:dyDescent="0.25">
      <c r="D78" s="57"/>
    </row>
    <row r="79" spans="4:4" x14ac:dyDescent="0.25">
      <c r="D79" s="57"/>
    </row>
    <row r="80" spans="4:4" x14ac:dyDescent="0.25">
      <c r="D80" s="57"/>
    </row>
    <row r="81" spans="4:4" x14ac:dyDescent="0.25">
      <c r="D81" s="57"/>
    </row>
    <row r="82" spans="4:4" x14ac:dyDescent="0.25">
      <c r="D82" s="57"/>
    </row>
    <row r="83" spans="4:4" x14ac:dyDescent="0.25">
      <c r="D83" s="57"/>
    </row>
    <row r="84" spans="4:4" x14ac:dyDescent="0.25">
      <c r="D84" s="57"/>
    </row>
    <row r="85" spans="4:4" x14ac:dyDescent="0.25">
      <c r="D85" s="57"/>
    </row>
    <row r="86" spans="4:4" x14ac:dyDescent="0.25">
      <c r="D86" s="57"/>
    </row>
    <row r="87" spans="4:4" x14ac:dyDescent="0.25">
      <c r="D87" s="57"/>
    </row>
    <row r="88" spans="4:4" x14ac:dyDescent="0.25">
      <c r="D88" s="57"/>
    </row>
    <row r="89" spans="4:4" x14ac:dyDescent="0.25">
      <c r="D89" s="57"/>
    </row>
    <row r="90" spans="4:4" x14ac:dyDescent="0.25">
      <c r="D90" s="57"/>
    </row>
    <row r="91" spans="4:4" x14ac:dyDescent="0.25">
      <c r="D91" s="57"/>
    </row>
    <row r="92" spans="4:4" x14ac:dyDescent="0.25">
      <c r="D92" s="57"/>
    </row>
    <row r="93" spans="4:4" x14ac:dyDescent="0.25">
      <c r="D93" s="57"/>
    </row>
    <row r="94" spans="4:4" x14ac:dyDescent="0.25">
      <c r="D94" s="57"/>
    </row>
    <row r="95" spans="4:4" x14ac:dyDescent="0.25">
      <c r="D95" s="57"/>
    </row>
    <row r="96" spans="4:4" x14ac:dyDescent="0.25">
      <c r="D96" s="57"/>
    </row>
    <row r="97" spans="4:4" x14ac:dyDescent="0.25">
      <c r="D97" s="57"/>
    </row>
    <row r="98" spans="4:4" x14ac:dyDescent="0.25">
      <c r="D98" s="57"/>
    </row>
    <row r="99" spans="4:4" x14ac:dyDescent="0.25">
      <c r="D99" s="57"/>
    </row>
    <row r="100" spans="4:4" x14ac:dyDescent="0.25">
      <c r="D100" s="57"/>
    </row>
    <row r="101" spans="4:4" x14ac:dyDescent="0.25">
      <c r="D101" s="57"/>
    </row>
    <row r="102" spans="4:4" x14ac:dyDescent="0.25">
      <c r="D102" s="57"/>
    </row>
    <row r="103" spans="4:4" x14ac:dyDescent="0.25">
      <c r="D103" s="57"/>
    </row>
    <row r="104" spans="4:4" x14ac:dyDescent="0.25">
      <c r="D104" s="57"/>
    </row>
    <row r="105" spans="4:4" x14ac:dyDescent="0.25">
      <c r="D105" s="57"/>
    </row>
    <row r="106" spans="4:4" x14ac:dyDescent="0.25">
      <c r="D106" s="57"/>
    </row>
    <row r="107" spans="4:4" x14ac:dyDescent="0.25">
      <c r="D107" s="57"/>
    </row>
    <row r="108" spans="4:4" x14ac:dyDescent="0.25">
      <c r="D108" s="57"/>
    </row>
    <row r="109" spans="4:4" x14ac:dyDescent="0.25">
      <c r="D109" s="57"/>
    </row>
    <row r="110" spans="4:4" x14ac:dyDescent="0.25">
      <c r="D110" s="57"/>
    </row>
    <row r="111" spans="4:4" x14ac:dyDescent="0.25">
      <c r="D111" s="57"/>
    </row>
    <row r="112" spans="4:4" x14ac:dyDescent="0.25">
      <c r="D112" s="57"/>
    </row>
    <row r="113" spans="4:4" x14ac:dyDescent="0.25">
      <c r="D113" s="57"/>
    </row>
    <row r="114" spans="4:4" x14ac:dyDescent="0.25">
      <c r="D114" s="57"/>
    </row>
    <row r="115" spans="4:4" x14ac:dyDescent="0.25">
      <c r="D115" s="57"/>
    </row>
    <row r="116" spans="4:4" x14ac:dyDescent="0.25">
      <c r="D116" s="57"/>
    </row>
    <row r="117" spans="4:4" x14ac:dyDescent="0.25">
      <c r="D117" s="57"/>
    </row>
    <row r="118" spans="4:4" x14ac:dyDescent="0.25">
      <c r="D118" s="57"/>
    </row>
    <row r="119" spans="4:4" x14ac:dyDescent="0.25">
      <c r="D119" s="57"/>
    </row>
    <row r="120" spans="4:4" x14ac:dyDescent="0.25">
      <c r="D120" s="57"/>
    </row>
    <row r="121" spans="4:4" x14ac:dyDescent="0.25">
      <c r="D121" s="57"/>
    </row>
    <row r="122" spans="4:4" x14ac:dyDescent="0.25">
      <c r="D122" s="57"/>
    </row>
    <row r="123" spans="4:4" x14ac:dyDescent="0.25">
      <c r="D123" s="57"/>
    </row>
    <row r="124" spans="4:4" x14ac:dyDescent="0.25">
      <c r="D124" s="57"/>
    </row>
    <row r="125" spans="4:4" x14ac:dyDescent="0.25">
      <c r="D125" s="57"/>
    </row>
    <row r="126" spans="4:4" x14ac:dyDescent="0.25">
      <c r="D126" s="57"/>
    </row>
    <row r="127" spans="4:4" x14ac:dyDescent="0.25">
      <c r="D127" s="57"/>
    </row>
    <row r="128" spans="4:4" x14ac:dyDescent="0.25">
      <c r="D128" s="57"/>
    </row>
    <row r="129" spans="4:4" x14ac:dyDescent="0.25">
      <c r="D129" s="57"/>
    </row>
    <row r="130" spans="4:4" x14ac:dyDescent="0.25">
      <c r="D130" s="57"/>
    </row>
    <row r="131" spans="4:4" x14ac:dyDescent="0.25">
      <c r="D131" s="57"/>
    </row>
    <row r="132" spans="4:4" x14ac:dyDescent="0.25">
      <c r="D132" s="57"/>
    </row>
    <row r="133" spans="4:4" x14ac:dyDescent="0.25">
      <c r="D133" s="57"/>
    </row>
    <row r="134" spans="4:4" x14ac:dyDescent="0.25">
      <c r="D134" s="57"/>
    </row>
    <row r="135" spans="4:4" x14ac:dyDescent="0.25">
      <c r="D135" s="57"/>
    </row>
    <row r="136" spans="4:4" x14ac:dyDescent="0.25">
      <c r="D136" s="57"/>
    </row>
    <row r="137" spans="4:4" x14ac:dyDescent="0.25">
      <c r="D137" s="57"/>
    </row>
    <row r="138" spans="4:4" x14ac:dyDescent="0.25">
      <c r="D138" s="57"/>
    </row>
    <row r="139" spans="4:4" x14ac:dyDescent="0.25">
      <c r="D139" s="57"/>
    </row>
    <row r="140" spans="4:4" x14ac:dyDescent="0.25">
      <c r="D140" s="57"/>
    </row>
    <row r="141" spans="4:4" x14ac:dyDescent="0.25">
      <c r="D141" s="57"/>
    </row>
    <row r="142" spans="4:4" x14ac:dyDescent="0.25">
      <c r="D142" s="57"/>
    </row>
    <row r="143" spans="4:4" x14ac:dyDescent="0.25">
      <c r="D143" s="57"/>
    </row>
    <row r="144" spans="4:4" x14ac:dyDescent="0.25">
      <c r="D144" s="57"/>
    </row>
    <row r="145" spans="4:4" x14ac:dyDescent="0.25">
      <c r="D145" s="57"/>
    </row>
    <row r="146" spans="4:4" x14ac:dyDescent="0.25">
      <c r="D146" s="57"/>
    </row>
    <row r="147" spans="4:4" x14ac:dyDescent="0.25">
      <c r="D147" s="57"/>
    </row>
    <row r="148" spans="4:4" x14ac:dyDescent="0.25">
      <c r="D148" s="57"/>
    </row>
    <row r="149" spans="4:4" x14ac:dyDescent="0.25">
      <c r="D149" s="57"/>
    </row>
    <row r="150" spans="4:4" x14ac:dyDescent="0.25">
      <c r="D150" s="57"/>
    </row>
    <row r="151" spans="4:4" x14ac:dyDescent="0.25">
      <c r="D151" s="57"/>
    </row>
    <row r="152" spans="4:4" x14ac:dyDescent="0.25">
      <c r="D152" s="57"/>
    </row>
    <row r="153" spans="4:4" x14ac:dyDescent="0.25">
      <c r="D153" s="57"/>
    </row>
    <row r="154" spans="4:4" x14ac:dyDescent="0.25">
      <c r="D154" s="57"/>
    </row>
    <row r="155" spans="4:4" x14ac:dyDescent="0.25">
      <c r="D155" s="57"/>
    </row>
    <row r="156" spans="4:4" x14ac:dyDescent="0.25">
      <c r="D156" s="57"/>
    </row>
    <row r="157" spans="4:4" x14ac:dyDescent="0.25">
      <c r="D157" s="57"/>
    </row>
    <row r="158" spans="4:4" x14ac:dyDescent="0.25">
      <c r="D158" s="57"/>
    </row>
    <row r="159" spans="4:4" x14ac:dyDescent="0.25">
      <c r="D159" s="57"/>
    </row>
    <row r="160" spans="4:4" x14ac:dyDescent="0.25">
      <c r="D160" s="57"/>
    </row>
    <row r="161" spans="4:4" x14ac:dyDescent="0.25">
      <c r="D161" s="57"/>
    </row>
    <row r="162" spans="4:4" x14ac:dyDescent="0.25">
      <c r="D162" s="57"/>
    </row>
    <row r="163" spans="4:4" x14ac:dyDescent="0.25">
      <c r="D163" s="57"/>
    </row>
    <row r="164" spans="4:4" x14ac:dyDescent="0.25">
      <c r="D164" s="57"/>
    </row>
    <row r="165" spans="4:4" x14ac:dyDescent="0.25">
      <c r="D165" s="57"/>
    </row>
    <row r="166" spans="4:4" x14ac:dyDescent="0.25">
      <c r="D166" s="57"/>
    </row>
    <row r="167" spans="4:4" x14ac:dyDescent="0.25">
      <c r="D167" s="57"/>
    </row>
    <row r="168" spans="4:4" x14ac:dyDescent="0.25">
      <c r="D168" s="57"/>
    </row>
    <row r="169" spans="4:4" x14ac:dyDescent="0.25">
      <c r="D169" s="57"/>
    </row>
    <row r="170" spans="4:4" x14ac:dyDescent="0.25">
      <c r="D170" s="57"/>
    </row>
    <row r="171" spans="4:4" x14ac:dyDescent="0.25">
      <c r="D171" s="57"/>
    </row>
    <row r="172" spans="4:4" x14ac:dyDescent="0.25">
      <c r="D172" s="57"/>
    </row>
    <row r="173" spans="4:4" x14ac:dyDescent="0.25">
      <c r="D173" s="57"/>
    </row>
    <row r="174" spans="4:4" x14ac:dyDescent="0.25">
      <c r="D174" s="57"/>
    </row>
    <row r="175" spans="4:4" x14ac:dyDescent="0.25">
      <c r="D175" s="57"/>
    </row>
    <row r="176" spans="4:4" x14ac:dyDescent="0.25">
      <c r="D176" s="57"/>
    </row>
    <row r="177" spans="4:4" x14ac:dyDescent="0.25">
      <c r="D177" s="57"/>
    </row>
    <row r="178" spans="4:4" x14ac:dyDescent="0.25">
      <c r="D178" s="57"/>
    </row>
    <row r="179" spans="4:4" x14ac:dyDescent="0.25">
      <c r="D179" s="57"/>
    </row>
    <row r="180" spans="4:4" x14ac:dyDescent="0.25">
      <c r="D180" s="57"/>
    </row>
    <row r="181" spans="4:4" x14ac:dyDescent="0.25">
      <c r="D181" s="57"/>
    </row>
    <row r="182" spans="4:4" x14ac:dyDescent="0.25">
      <c r="D182" s="57"/>
    </row>
    <row r="183" spans="4:4" x14ac:dyDescent="0.25">
      <c r="D183" s="57"/>
    </row>
    <row r="184" spans="4:4" x14ac:dyDescent="0.25">
      <c r="D184" s="57"/>
    </row>
    <row r="185" spans="4:4" x14ac:dyDescent="0.25">
      <c r="D185" s="57"/>
    </row>
    <row r="186" spans="4:4" x14ac:dyDescent="0.25">
      <c r="D186" s="57"/>
    </row>
    <row r="187" spans="4:4" x14ac:dyDescent="0.25">
      <c r="D187" s="57"/>
    </row>
    <row r="188" spans="4:4" x14ac:dyDescent="0.25">
      <c r="D188" s="57"/>
    </row>
    <row r="189" spans="4:4" x14ac:dyDescent="0.25">
      <c r="D189" s="57"/>
    </row>
    <row r="190" spans="4:4" x14ac:dyDescent="0.25">
      <c r="D190" s="57"/>
    </row>
    <row r="191" spans="4:4" x14ac:dyDescent="0.25">
      <c r="D191" s="57"/>
    </row>
    <row r="192" spans="4:4" x14ac:dyDescent="0.25">
      <c r="D192" s="57"/>
    </row>
    <row r="193" spans="4:4" x14ac:dyDescent="0.25">
      <c r="D193" s="57"/>
    </row>
    <row r="194" spans="4:4" x14ac:dyDescent="0.25">
      <c r="D194" s="57"/>
    </row>
    <row r="195" spans="4:4" x14ac:dyDescent="0.25">
      <c r="D195" s="57"/>
    </row>
    <row r="196" spans="4:4" x14ac:dyDescent="0.25">
      <c r="D196" s="57"/>
    </row>
    <row r="197" spans="4:4" x14ac:dyDescent="0.25">
      <c r="D197" s="57"/>
    </row>
    <row r="198" spans="4:4" x14ac:dyDescent="0.25">
      <c r="D198" s="57"/>
    </row>
    <row r="199" spans="4:4" x14ac:dyDescent="0.25">
      <c r="D199" s="57"/>
    </row>
    <row r="200" spans="4:4" x14ac:dyDescent="0.25">
      <c r="D200" s="57"/>
    </row>
    <row r="201" spans="4:4" x14ac:dyDescent="0.25">
      <c r="D201" s="57"/>
    </row>
    <row r="202" spans="4:4" x14ac:dyDescent="0.25">
      <c r="D202" s="57"/>
    </row>
    <row r="203" spans="4:4" x14ac:dyDescent="0.25">
      <c r="D203" s="57"/>
    </row>
    <row r="204" spans="4:4" x14ac:dyDescent="0.25">
      <c r="D204" s="57"/>
    </row>
    <row r="205" spans="4:4" x14ac:dyDescent="0.25">
      <c r="D205" s="57"/>
    </row>
    <row r="206" spans="4:4" x14ac:dyDescent="0.25">
      <c r="D206" s="57"/>
    </row>
    <row r="207" spans="4:4" x14ac:dyDescent="0.25">
      <c r="D207" s="57"/>
    </row>
    <row r="208" spans="4:4" x14ac:dyDescent="0.25">
      <c r="D208" s="57"/>
    </row>
    <row r="209" spans="4:4" x14ac:dyDescent="0.25">
      <c r="D209" s="57"/>
    </row>
    <row r="210" spans="4:4" x14ac:dyDescent="0.25">
      <c r="D210" s="57"/>
    </row>
    <row r="211" spans="4:4" x14ac:dyDescent="0.25">
      <c r="D211" s="57"/>
    </row>
    <row r="212" spans="4:4" x14ac:dyDescent="0.25">
      <c r="D212" s="57"/>
    </row>
    <row r="213" spans="4:4" x14ac:dyDescent="0.25">
      <c r="D213" s="57"/>
    </row>
    <row r="214" spans="4:4" x14ac:dyDescent="0.25">
      <c r="D214" s="57"/>
    </row>
    <row r="215" spans="4:4" x14ac:dyDescent="0.25">
      <c r="D215" s="57"/>
    </row>
    <row r="216" spans="4:4" x14ac:dyDescent="0.25">
      <c r="D216" s="57"/>
    </row>
    <row r="217" spans="4:4" x14ac:dyDescent="0.25">
      <c r="D217" s="57"/>
    </row>
    <row r="218" spans="4:4" x14ac:dyDescent="0.25">
      <c r="D218" s="57"/>
    </row>
    <row r="219" spans="4:4" x14ac:dyDescent="0.25">
      <c r="D219" s="57"/>
    </row>
    <row r="220" spans="4:4" x14ac:dyDescent="0.25">
      <c r="D220" s="57"/>
    </row>
    <row r="221" spans="4:4" x14ac:dyDescent="0.25">
      <c r="D221" s="57"/>
    </row>
    <row r="222" spans="4:4" x14ac:dyDescent="0.25">
      <c r="D222" s="57"/>
    </row>
    <row r="223" spans="4:4" x14ac:dyDescent="0.25">
      <c r="D223" s="57"/>
    </row>
    <row r="224" spans="4:4" x14ac:dyDescent="0.25">
      <c r="D224" s="57"/>
    </row>
    <row r="225" spans="4:4" x14ac:dyDescent="0.25">
      <c r="D225" s="57"/>
    </row>
    <row r="226" spans="4:4" x14ac:dyDescent="0.25">
      <c r="D226" s="57"/>
    </row>
    <row r="227" spans="4:4" x14ac:dyDescent="0.25">
      <c r="D227" s="57"/>
    </row>
    <row r="228" spans="4:4" x14ac:dyDescent="0.25">
      <c r="D228" s="57"/>
    </row>
    <row r="229" spans="4:4" x14ac:dyDescent="0.25">
      <c r="D229" s="57"/>
    </row>
    <row r="230" spans="4:4" x14ac:dyDescent="0.25">
      <c r="D230" s="57"/>
    </row>
    <row r="231" spans="4:4" x14ac:dyDescent="0.25">
      <c r="D231" s="57"/>
    </row>
    <row r="232" spans="4:4" x14ac:dyDescent="0.25">
      <c r="D232" s="57"/>
    </row>
    <row r="233" spans="4:4" x14ac:dyDescent="0.25">
      <c r="D233" s="57"/>
    </row>
    <row r="234" spans="4:4" x14ac:dyDescent="0.25">
      <c r="D234" s="57"/>
    </row>
    <row r="235" spans="4:4" x14ac:dyDescent="0.25">
      <c r="D235" s="57"/>
    </row>
    <row r="236" spans="4:4" x14ac:dyDescent="0.25">
      <c r="D236" s="57"/>
    </row>
    <row r="237" spans="4:4" x14ac:dyDescent="0.25">
      <c r="D237" s="57"/>
    </row>
    <row r="238" spans="4:4" x14ac:dyDescent="0.25">
      <c r="D238" s="57"/>
    </row>
    <row r="239" spans="4:4" x14ac:dyDescent="0.25">
      <c r="D239" s="57"/>
    </row>
    <row r="240" spans="4:4" x14ac:dyDescent="0.25">
      <c r="D240" s="57"/>
    </row>
    <row r="241" spans="4:4" x14ac:dyDescent="0.25">
      <c r="D241" s="57"/>
    </row>
    <row r="242" spans="4:4" x14ac:dyDescent="0.25">
      <c r="D242" s="57"/>
    </row>
    <row r="243" spans="4:4" x14ac:dyDescent="0.25">
      <c r="D243" s="57"/>
    </row>
    <row r="244" spans="4:4" x14ac:dyDescent="0.25">
      <c r="D244" s="57"/>
    </row>
    <row r="245" spans="4:4" x14ac:dyDescent="0.25">
      <c r="D245" s="57"/>
    </row>
    <row r="246" spans="4:4" x14ac:dyDescent="0.25">
      <c r="D246" s="57"/>
    </row>
    <row r="247" spans="4:4" x14ac:dyDescent="0.25">
      <c r="D247" s="57"/>
    </row>
    <row r="248" spans="4:4" x14ac:dyDescent="0.25">
      <c r="D248" s="57"/>
    </row>
    <row r="249" spans="4:4" x14ac:dyDescent="0.25">
      <c r="D249" s="57"/>
    </row>
    <row r="250" spans="4:4" x14ac:dyDescent="0.25">
      <c r="D250" s="57"/>
    </row>
    <row r="251" spans="4:4" x14ac:dyDescent="0.25">
      <c r="D251" s="57"/>
    </row>
    <row r="252" spans="4:4" x14ac:dyDescent="0.25">
      <c r="D252" s="57"/>
    </row>
    <row r="253" spans="4:4" x14ac:dyDescent="0.25">
      <c r="D253" s="57"/>
    </row>
    <row r="254" spans="4:4" x14ac:dyDescent="0.25">
      <c r="D254" s="57"/>
    </row>
    <row r="255" spans="4:4" x14ac:dyDescent="0.25">
      <c r="D255" s="57"/>
    </row>
    <row r="256" spans="4:4" x14ac:dyDescent="0.25">
      <c r="D256" s="57"/>
    </row>
    <row r="257" spans="4:4" x14ac:dyDescent="0.25">
      <c r="D257" s="57"/>
    </row>
    <row r="258" spans="4:4" x14ac:dyDescent="0.25">
      <c r="D258" s="57"/>
    </row>
    <row r="259" spans="4:4" x14ac:dyDescent="0.25">
      <c r="D259" s="57"/>
    </row>
    <row r="260" spans="4:4" x14ac:dyDescent="0.25">
      <c r="D260" s="57"/>
    </row>
    <row r="261" spans="4:4" x14ac:dyDescent="0.25">
      <c r="D261" s="57"/>
    </row>
    <row r="262" spans="4:4" x14ac:dyDescent="0.25">
      <c r="D262" s="57"/>
    </row>
    <row r="263" spans="4:4" x14ac:dyDescent="0.25">
      <c r="D263" s="57"/>
    </row>
    <row r="264" spans="4:4" x14ac:dyDescent="0.25">
      <c r="D264" s="57"/>
    </row>
    <row r="265" spans="4:4" x14ac:dyDescent="0.25">
      <c r="D265" s="57"/>
    </row>
    <row r="266" spans="4:4" x14ac:dyDescent="0.25">
      <c r="D266" s="57"/>
    </row>
    <row r="267" spans="4:4" x14ac:dyDescent="0.25">
      <c r="D267" s="57"/>
    </row>
    <row r="268" spans="4:4" x14ac:dyDescent="0.25">
      <c r="D268" s="57"/>
    </row>
    <row r="269" spans="4:4" x14ac:dyDescent="0.25">
      <c r="D269" s="57"/>
    </row>
    <row r="270" spans="4:4" x14ac:dyDescent="0.25">
      <c r="D270" s="57"/>
    </row>
    <row r="271" spans="4:4" x14ac:dyDescent="0.25">
      <c r="D271" s="57"/>
    </row>
    <row r="272" spans="4:4" x14ac:dyDescent="0.25">
      <c r="D272" s="57"/>
    </row>
    <row r="273" spans="4:4" x14ac:dyDescent="0.25">
      <c r="D273" s="57"/>
    </row>
    <row r="274" spans="4:4" x14ac:dyDescent="0.25">
      <c r="D274" s="57"/>
    </row>
    <row r="275" spans="4:4" x14ac:dyDescent="0.25">
      <c r="D275" s="57"/>
    </row>
    <row r="276" spans="4:4" x14ac:dyDescent="0.25">
      <c r="D276" s="57"/>
    </row>
    <row r="277" spans="4:4" x14ac:dyDescent="0.25">
      <c r="D277" s="57"/>
    </row>
    <row r="278" spans="4:4" x14ac:dyDescent="0.25">
      <c r="D278" s="57"/>
    </row>
    <row r="279" spans="4:4" x14ac:dyDescent="0.25">
      <c r="D279" s="57"/>
    </row>
    <row r="280" spans="4:4" x14ac:dyDescent="0.25">
      <c r="D280" s="57"/>
    </row>
    <row r="281" spans="4:4" x14ac:dyDescent="0.25">
      <c r="D281" s="57"/>
    </row>
    <row r="282" spans="4:4" x14ac:dyDescent="0.25">
      <c r="D282" s="57"/>
    </row>
    <row r="283" spans="4:4" x14ac:dyDescent="0.25">
      <c r="D283" s="57"/>
    </row>
    <row r="284" spans="4:4" x14ac:dyDescent="0.25">
      <c r="D284" s="57"/>
    </row>
    <row r="285" spans="4:4" x14ac:dyDescent="0.25">
      <c r="D285" s="57"/>
    </row>
    <row r="286" spans="4:4" x14ac:dyDescent="0.25">
      <c r="D286" s="57"/>
    </row>
    <row r="287" spans="4:4" x14ac:dyDescent="0.25">
      <c r="D287" s="57"/>
    </row>
    <row r="288" spans="4:4" x14ac:dyDescent="0.25">
      <c r="D288" s="57"/>
    </row>
    <row r="289" spans="4:4" x14ac:dyDescent="0.25">
      <c r="D289" s="57"/>
    </row>
    <row r="290" spans="4:4" x14ac:dyDescent="0.25">
      <c r="D290" s="57"/>
    </row>
    <row r="291" spans="4:4" x14ac:dyDescent="0.25">
      <c r="D291" s="57"/>
    </row>
    <row r="292" spans="4:4" x14ac:dyDescent="0.25">
      <c r="D292" s="57"/>
    </row>
    <row r="293" spans="4:4" x14ac:dyDescent="0.25">
      <c r="D293" s="57"/>
    </row>
    <row r="294" spans="4:4" x14ac:dyDescent="0.25">
      <c r="D294" s="57"/>
    </row>
    <row r="295" spans="4:4" x14ac:dyDescent="0.25">
      <c r="D295" s="57"/>
    </row>
    <row r="296" spans="4:4" x14ac:dyDescent="0.25">
      <c r="D296" s="57"/>
    </row>
    <row r="297" spans="4:4" x14ac:dyDescent="0.25">
      <c r="D297" s="57"/>
    </row>
    <row r="298" spans="4:4" x14ac:dyDescent="0.25">
      <c r="D298" s="57"/>
    </row>
    <row r="299" spans="4:4" x14ac:dyDescent="0.25">
      <c r="D299" s="57"/>
    </row>
    <row r="300" spans="4:4" x14ac:dyDescent="0.25">
      <c r="D300" s="57"/>
    </row>
    <row r="301" spans="4:4" x14ac:dyDescent="0.25">
      <c r="D301" s="57"/>
    </row>
    <row r="302" spans="4:4" x14ac:dyDescent="0.25">
      <c r="D302" s="57"/>
    </row>
    <row r="303" spans="4:4" x14ac:dyDescent="0.25">
      <c r="D303" s="57"/>
    </row>
    <row r="304" spans="4:4" x14ac:dyDescent="0.25">
      <c r="D304" s="57"/>
    </row>
    <row r="305" spans="4:4" x14ac:dyDescent="0.25">
      <c r="D305" s="57"/>
    </row>
    <row r="306" spans="4:4" x14ac:dyDescent="0.25">
      <c r="D306" s="57"/>
    </row>
    <row r="307" spans="4:4" x14ac:dyDescent="0.25">
      <c r="D307" s="57"/>
    </row>
    <row r="308" spans="4:4" x14ac:dyDescent="0.25">
      <c r="D308" s="57"/>
    </row>
    <row r="309" spans="4:4" x14ac:dyDescent="0.25">
      <c r="D309" s="57"/>
    </row>
    <row r="310" spans="4:4" x14ac:dyDescent="0.25">
      <c r="D310" s="57"/>
    </row>
    <row r="311" spans="4:4" x14ac:dyDescent="0.25">
      <c r="D311" s="57"/>
    </row>
    <row r="312" spans="4:4" x14ac:dyDescent="0.25">
      <c r="D312" s="57"/>
    </row>
    <row r="313" spans="4:4" x14ac:dyDescent="0.25">
      <c r="D313" s="57"/>
    </row>
    <row r="314" spans="4:4" x14ac:dyDescent="0.25">
      <c r="D314" s="57"/>
    </row>
    <row r="315" spans="4:4" x14ac:dyDescent="0.25">
      <c r="D315" s="57"/>
    </row>
    <row r="316" spans="4:4" x14ac:dyDescent="0.25">
      <c r="D316" s="57"/>
    </row>
    <row r="317" spans="4:4" x14ac:dyDescent="0.25">
      <c r="D317" s="57"/>
    </row>
    <row r="318" spans="4:4" x14ac:dyDescent="0.25">
      <c r="D318" s="57"/>
    </row>
    <row r="319" spans="4:4" x14ac:dyDescent="0.25">
      <c r="D319" s="57"/>
    </row>
    <row r="320" spans="4:4" x14ac:dyDescent="0.25">
      <c r="D320" s="57"/>
    </row>
    <row r="321" spans="4:4" x14ac:dyDescent="0.25">
      <c r="D321" s="57"/>
    </row>
    <row r="322" spans="4:4" x14ac:dyDescent="0.25">
      <c r="D322" s="57"/>
    </row>
    <row r="323" spans="4:4" x14ac:dyDescent="0.25">
      <c r="D323" s="57"/>
    </row>
    <row r="324" spans="4:4" x14ac:dyDescent="0.25">
      <c r="D324" s="57"/>
    </row>
    <row r="325" spans="4:4" x14ac:dyDescent="0.25">
      <c r="D325" s="57"/>
    </row>
    <row r="326" spans="4:4" x14ac:dyDescent="0.25">
      <c r="D326" s="57"/>
    </row>
    <row r="327" spans="4:4" x14ac:dyDescent="0.25">
      <c r="D327" s="57"/>
    </row>
    <row r="328" spans="4:4" x14ac:dyDescent="0.25">
      <c r="D328" s="57"/>
    </row>
    <row r="329" spans="4:4" x14ac:dyDescent="0.25">
      <c r="D329" s="57"/>
    </row>
    <row r="330" spans="4:4" x14ac:dyDescent="0.25">
      <c r="D330" s="57"/>
    </row>
    <row r="331" spans="4:4" x14ac:dyDescent="0.25">
      <c r="D331" s="57"/>
    </row>
    <row r="332" spans="4:4" x14ac:dyDescent="0.25">
      <c r="D332" s="57"/>
    </row>
    <row r="333" spans="4:4" x14ac:dyDescent="0.25">
      <c r="D333" s="57"/>
    </row>
    <row r="334" spans="4:4" x14ac:dyDescent="0.25">
      <c r="D334" s="57"/>
    </row>
    <row r="335" spans="4:4" x14ac:dyDescent="0.25">
      <c r="D335" s="57"/>
    </row>
    <row r="336" spans="4:4" x14ac:dyDescent="0.25">
      <c r="D336" s="57"/>
    </row>
    <row r="337" spans="4:4" x14ac:dyDescent="0.25">
      <c r="D337" s="57"/>
    </row>
    <row r="338" spans="4:4" x14ac:dyDescent="0.25">
      <c r="D338" s="57"/>
    </row>
    <row r="339" spans="4:4" x14ac:dyDescent="0.25">
      <c r="D339" s="57"/>
    </row>
    <row r="340" spans="4:4" x14ac:dyDescent="0.25">
      <c r="D340" s="57"/>
    </row>
    <row r="341" spans="4:4" x14ac:dyDescent="0.25">
      <c r="D341" s="57"/>
    </row>
    <row r="342" spans="4:4" x14ac:dyDescent="0.25">
      <c r="D342" s="57"/>
    </row>
    <row r="343" spans="4:4" x14ac:dyDescent="0.25">
      <c r="D343" s="57"/>
    </row>
    <row r="344" spans="4:4" x14ac:dyDescent="0.25">
      <c r="D344" s="57"/>
    </row>
    <row r="345" spans="4:4" x14ac:dyDescent="0.25">
      <c r="D345" s="57"/>
    </row>
    <row r="346" spans="4:4" x14ac:dyDescent="0.25">
      <c r="D346" s="57"/>
    </row>
    <row r="347" spans="4:4" x14ac:dyDescent="0.25">
      <c r="D347" s="57"/>
    </row>
    <row r="348" spans="4:4" x14ac:dyDescent="0.25">
      <c r="D348" s="57"/>
    </row>
    <row r="349" spans="4:4" x14ac:dyDescent="0.25">
      <c r="D349" s="57"/>
    </row>
    <row r="350" spans="4:4" x14ac:dyDescent="0.25">
      <c r="D350" s="57"/>
    </row>
    <row r="351" spans="4:4" x14ac:dyDescent="0.25">
      <c r="D351" s="57"/>
    </row>
    <row r="352" spans="4:4" x14ac:dyDescent="0.25">
      <c r="D352" s="57"/>
    </row>
    <row r="353" spans="4:4" x14ac:dyDescent="0.25">
      <c r="D353" s="57"/>
    </row>
    <row r="354" spans="4:4" x14ac:dyDescent="0.25">
      <c r="D354" s="57"/>
    </row>
    <row r="355" spans="4:4" x14ac:dyDescent="0.25">
      <c r="D355" s="57"/>
    </row>
    <row r="356" spans="4:4" x14ac:dyDescent="0.25">
      <c r="D356" s="57"/>
    </row>
    <row r="357" spans="4:4" x14ac:dyDescent="0.25">
      <c r="D357" s="57"/>
    </row>
    <row r="358" spans="4:4" x14ac:dyDescent="0.25">
      <c r="D358" s="57"/>
    </row>
    <row r="359" spans="4:4" x14ac:dyDescent="0.25">
      <c r="D359" s="57"/>
    </row>
    <row r="360" spans="4:4" x14ac:dyDescent="0.25">
      <c r="D360" s="57"/>
    </row>
    <row r="361" spans="4:4" x14ac:dyDescent="0.25">
      <c r="D361" s="57"/>
    </row>
    <row r="362" spans="4:4" x14ac:dyDescent="0.25">
      <c r="D362" s="57"/>
    </row>
    <row r="363" spans="4:4" x14ac:dyDescent="0.25">
      <c r="D363" s="57"/>
    </row>
    <row r="364" spans="4:4" x14ac:dyDescent="0.25">
      <c r="D364" s="57"/>
    </row>
    <row r="365" spans="4:4" x14ac:dyDescent="0.25">
      <c r="D365" s="57"/>
    </row>
    <row r="366" spans="4:4" x14ac:dyDescent="0.25">
      <c r="D366" s="57"/>
    </row>
    <row r="367" spans="4:4" x14ac:dyDescent="0.25">
      <c r="D367" s="57"/>
    </row>
    <row r="368" spans="4:4" x14ac:dyDescent="0.25">
      <c r="D368" s="57"/>
    </row>
    <row r="369" spans="4:4" x14ac:dyDescent="0.25">
      <c r="D369" s="57"/>
    </row>
    <row r="370" spans="4:4" x14ac:dyDescent="0.25">
      <c r="D370" s="57"/>
    </row>
    <row r="371" spans="4:4" x14ac:dyDescent="0.25">
      <c r="D371" s="57"/>
    </row>
    <row r="372" spans="4:4" x14ac:dyDescent="0.25">
      <c r="D372" s="57"/>
    </row>
    <row r="373" spans="4:4" x14ac:dyDescent="0.25">
      <c r="D373" s="57"/>
    </row>
    <row r="374" spans="4:4" x14ac:dyDescent="0.25">
      <c r="D374" s="57"/>
    </row>
    <row r="375" spans="4:4" x14ac:dyDescent="0.25">
      <c r="D375" s="57"/>
    </row>
    <row r="376" spans="4:4" x14ac:dyDescent="0.25">
      <c r="D376" s="57"/>
    </row>
    <row r="377" spans="4:4" x14ac:dyDescent="0.25">
      <c r="D377" s="57"/>
    </row>
    <row r="378" spans="4:4" x14ac:dyDescent="0.25">
      <c r="D378" s="57"/>
    </row>
    <row r="379" spans="4:4" x14ac:dyDescent="0.25">
      <c r="D379" s="57"/>
    </row>
    <row r="380" spans="4:4" x14ac:dyDescent="0.25">
      <c r="D380" s="57"/>
    </row>
    <row r="381" spans="4:4" x14ac:dyDescent="0.25">
      <c r="D381" s="57"/>
    </row>
    <row r="382" spans="4:4" x14ac:dyDescent="0.25">
      <c r="D382" s="57"/>
    </row>
    <row r="383" spans="4:4" x14ac:dyDescent="0.25">
      <c r="D383" s="57"/>
    </row>
    <row r="384" spans="4:4" x14ac:dyDescent="0.25">
      <c r="D384" s="57"/>
    </row>
    <row r="385" spans="4:4" x14ac:dyDescent="0.25">
      <c r="D385" s="57"/>
    </row>
    <row r="386" spans="4:4" x14ac:dyDescent="0.25">
      <c r="D386" s="57"/>
    </row>
    <row r="387" spans="4:4" x14ac:dyDescent="0.25">
      <c r="D387" s="57"/>
    </row>
    <row r="388" spans="4:4" x14ac:dyDescent="0.25">
      <c r="D388" s="57"/>
    </row>
    <row r="389" spans="4:4" x14ac:dyDescent="0.25">
      <c r="D389" s="57"/>
    </row>
    <row r="390" spans="4:4" x14ac:dyDescent="0.25">
      <c r="D390" s="57"/>
    </row>
    <row r="391" spans="4:4" x14ac:dyDescent="0.25">
      <c r="D391" s="57"/>
    </row>
    <row r="392" spans="4:4" x14ac:dyDescent="0.25">
      <c r="D392" s="57"/>
    </row>
    <row r="393" spans="4:4" x14ac:dyDescent="0.25">
      <c r="D393" s="57"/>
    </row>
    <row r="394" spans="4:4" x14ac:dyDescent="0.25">
      <c r="D394" s="57"/>
    </row>
    <row r="395" spans="4:4" x14ac:dyDescent="0.25">
      <c r="D395" s="57"/>
    </row>
    <row r="396" spans="4:4" x14ac:dyDescent="0.25">
      <c r="D396" s="57"/>
    </row>
    <row r="397" spans="4:4" x14ac:dyDescent="0.25">
      <c r="D397" s="57"/>
    </row>
    <row r="398" spans="4:4" x14ac:dyDescent="0.25">
      <c r="D398" s="57"/>
    </row>
    <row r="399" spans="4:4" x14ac:dyDescent="0.25">
      <c r="D399" s="57"/>
    </row>
    <row r="400" spans="4:4" x14ac:dyDescent="0.25">
      <c r="D400" s="57"/>
    </row>
    <row r="401" spans="4:4" x14ac:dyDescent="0.25">
      <c r="D401" s="57"/>
    </row>
    <row r="402" spans="4:4" x14ac:dyDescent="0.25">
      <c r="D402" s="57"/>
    </row>
    <row r="403" spans="4:4" x14ac:dyDescent="0.25">
      <c r="D403" s="57"/>
    </row>
    <row r="404" spans="4:4" x14ac:dyDescent="0.25">
      <c r="D404" s="57"/>
    </row>
    <row r="405" spans="4:4" x14ac:dyDescent="0.25">
      <c r="D405" s="57"/>
    </row>
    <row r="406" spans="4:4" x14ac:dyDescent="0.25">
      <c r="D406" s="57"/>
    </row>
    <row r="407" spans="4:4" x14ac:dyDescent="0.25">
      <c r="D407" s="57"/>
    </row>
    <row r="408" spans="4:4" x14ac:dyDescent="0.25">
      <c r="D408" s="57"/>
    </row>
    <row r="409" spans="4:4" x14ac:dyDescent="0.25">
      <c r="D409" s="57"/>
    </row>
    <row r="410" spans="4:4" x14ac:dyDescent="0.25">
      <c r="D410" s="57"/>
    </row>
    <row r="411" spans="4:4" x14ac:dyDescent="0.25">
      <c r="D411" s="57"/>
    </row>
    <row r="412" spans="4:4" x14ac:dyDescent="0.25">
      <c r="D412" s="57"/>
    </row>
    <row r="413" spans="4:4" x14ac:dyDescent="0.25">
      <c r="D413" s="57"/>
    </row>
    <row r="414" spans="4:4" x14ac:dyDescent="0.25">
      <c r="D414" s="57"/>
    </row>
    <row r="415" spans="4:4" x14ac:dyDescent="0.25">
      <c r="D415" s="57"/>
    </row>
    <row r="416" spans="4:4" x14ac:dyDescent="0.25">
      <c r="D416" s="57"/>
    </row>
    <row r="417" spans="4:4" x14ac:dyDescent="0.25">
      <c r="D417" s="57"/>
    </row>
    <row r="418" spans="4:4" x14ac:dyDescent="0.25">
      <c r="D418" s="57"/>
    </row>
    <row r="419" spans="4:4" x14ac:dyDescent="0.25">
      <c r="D419" s="57"/>
    </row>
    <row r="420" spans="4:4" x14ac:dyDescent="0.25">
      <c r="D420" s="57"/>
    </row>
    <row r="421" spans="4:4" x14ac:dyDescent="0.25">
      <c r="D421" s="57"/>
    </row>
    <row r="422" spans="4:4" x14ac:dyDescent="0.25">
      <c r="D422" s="57"/>
    </row>
    <row r="423" spans="4:4" x14ac:dyDescent="0.25">
      <c r="D423" s="57"/>
    </row>
    <row r="424" spans="4:4" x14ac:dyDescent="0.25">
      <c r="D424" s="57"/>
    </row>
    <row r="425" spans="4:4" x14ac:dyDescent="0.25">
      <c r="D425" s="57"/>
    </row>
    <row r="426" spans="4:4" x14ac:dyDescent="0.25">
      <c r="D426" s="57"/>
    </row>
    <row r="427" spans="4:4" x14ac:dyDescent="0.25">
      <c r="D427" s="57"/>
    </row>
    <row r="428" spans="4:4" x14ac:dyDescent="0.25">
      <c r="D428" s="57"/>
    </row>
    <row r="429" spans="4:4" x14ac:dyDescent="0.25">
      <c r="D429" s="57"/>
    </row>
    <row r="430" spans="4:4" x14ac:dyDescent="0.25">
      <c r="D430" s="57"/>
    </row>
    <row r="431" spans="4:4" x14ac:dyDescent="0.25">
      <c r="D431" s="57"/>
    </row>
    <row r="432" spans="4:4" x14ac:dyDescent="0.25">
      <c r="D432" s="57"/>
    </row>
    <row r="433" spans="4:4" x14ac:dyDescent="0.25">
      <c r="D433" s="57"/>
    </row>
    <row r="434" spans="4:4" x14ac:dyDescent="0.25">
      <c r="D434" s="57"/>
    </row>
    <row r="435" spans="4:4" x14ac:dyDescent="0.25">
      <c r="D435" s="57"/>
    </row>
    <row r="436" spans="4:4" x14ac:dyDescent="0.25">
      <c r="D436" s="57"/>
    </row>
    <row r="437" spans="4:4" x14ac:dyDescent="0.25">
      <c r="D437" s="57"/>
    </row>
    <row r="438" spans="4:4" x14ac:dyDescent="0.25">
      <c r="D438" s="57"/>
    </row>
    <row r="439" spans="4:4" x14ac:dyDescent="0.25">
      <c r="D439" s="57"/>
    </row>
    <row r="440" spans="4:4" x14ac:dyDescent="0.25">
      <c r="D440" s="57"/>
    </row>
    <row r="441" spans="4:4" x14ac:dyDescent="0.25">
      <c r="D441" s="57"/>
    </row>
    <row r="442" spans="4:4" x14ac:dyDescent="0.25">
      <c r="D442" s="57"/>
    </row>
    <row r="443" spans="4:4" x14ac:dyDescent="0.25">
      <c r="D443" s="57"/>
    </row>
    <row r="444" spans="4:4" x14ac:dyDescent="0.25">
      <c r="D444" s="57"/>
    </row>
    <row r="445" spans="4:4" x14ac:dyDescent="0.25">
      <c r="D445" s="57"/>
    </row>
    <row r="446" spans="4:4" x14ac:dyDescent="0.25">
      <c r="D446" s="57"/>
    </row>
    <row r="447" spans="4:4" x14ac:dyDescent="0.25">
      <c r="D447" s="57"/>
    </row>
    <row r="448" spans="4:4" x14ac:dyDescent="0.25">
      <c r="D448" s="57"/>
    </row>
    <row r="449" spans="4:4" x14ac:dyDescent="0.25">
      <c r="D449" s="57"/>
    </row>
    <row r="450" spans="4:4" x14ac:dyDescent="0.25">
      <c r="D450" s="57"/>
    </row>
    <row r="451" spans="4:4" x14ac:dyDescent="0.25">
      <c r="D451" s="57"/>
    </row>
    <row r="452" spans="4:4" x14ac:dyDescent="0.25">
      <c r="D452" s="57"/>
    </row>
    <row r="453" spans="4:4" x14ac:dyDescent="0.25">
      <c r="D453" s="57"/>
    </row>
    <row r="454" spans="4:4" x14ac:dyDescent="0.25">
      <c r="D454" s="57"/>
    </row>
    <row r="455" spans="4:4" x14ac:dyDescent="0.25">
      <c r="D455" s="57"/>
    </row>
    <row r="456" spans="4:4" x14ac:dyDescent="0.25">
      <c r="D456" s="57"/>
    </row>
    <row r="457" spans="4:4" x14ac:dyDescent="0.25">
      <c r="D457" s="57"/>
    </row>
    <row r="458" spans="4:4" x14ac:dyDescent="0.25">
      <c r="D458" s="57"/>
    </row>
    <row r="459" spans="4:4" x14ac:dyDescent="0.25">
      <c r="D459" s="57"/>
    </row>
    <row r="460" spans="4:4" x14ac:dyDescent="0.25">
      <c r="D460" s="57"/>
    </row>
    <row r="461" spans="4:4" x14ac:dyDescent="0.25">
      <c r="D461" s="57"/>
    </row>
    <row r="462" spans="4:4" x14ac:dyDescent="0.25">
      <c r="D462" s="57"/>
    </row>
    <row r="463" spans="4:4" x14ac:dyDescent="0.25">
      <c r="D463" s="57"/>
    </row>
    <row r="464" spans="4:4" x14ac:dyDescent="0.25">
      <c r="D464" s="57"/>
    </row>
    <row r="465" spans="4:4" x14ac:dyDescent="0.25">
      <c r="D465" s="57"/>
    </row>
    <row r="466" spans="4:4" x14ac:dyDescent="0.25">
      <c r="D466" s="57"/>
    </row>
    <row r="467" spans="4:4" x14ac:dyDescent="0.25">
      <c r="D467" s="57"/>
    </row>
    <row r="468" spans="4:4" x14ac:dyDescent="0.25">
      <c r="D468" s="57"/>
    </row>
    <row r="469" spans="4:4" x14ac:dyDescent="0.25">
      <c r="D469" s="57"/>
    </row>
    <row r="470" spans="4:4" x14ac:dyDescent="0.25">
      <c r="D470" s="57"/>
    </row>
    <row r="471" spans="4:4" x14ac:dyDescent="0.25">
      <c r="D471" s="57"/>
    </row>
    <row r="472" spans="4:4" x14ac:dyDescent="0.25">
      <c r="D472" s="57"/>
    </row>
    <row r="473" spans="4:4" x14ac:dyDescent="0.25">
      <c r="D473" s="57"/>
    </row>
    <row r="474" spans="4:4" x14ac:dyDescent="0.25">
      <c r="D474" s="57"/>
    </row>
    <row r="475" spans="4:4" x14ac:dyDescent="0.25">
      <c r="D475" s="57"/>
    </row>
    <row r="476" spans="4:4" x14ac:dyDescent="0.25">
      <c r="D476" s="57"/>
    </row>
    <row r="477" spans="4:4" x14ac:dyDescent="0.25">
      <c r="D477" s="57"/>
    </row>
    <row r="478" spans="4:4" x14ac:dyDescent="0.25">
      <c r="D478" s="57"/>
    </row>
    <row r="479" spans="4:4" x14ac:dyDescent="0.25">
      <c r="D479" s="57"/>
    </row>
    <row r="480" spans="4:4" x14ac:dyDescent="0.25">
      <c r="D480" s="57"/>
    </row>
    <row r="481" spans="4:4" x14ac:dyDescent="0.25">
      <c r="D481" s="57"/>
    </row>
    <row r="482" spans="4:4" x14ac:dyDescent="0.25">
      <c r="D482" s="57"/>
    </row>
    <row r="483" spans="4:4" x14ac:dyDescent="0.25">
      <c r="D483" s="57"/>
    </row>
    <row r="484" spans="4:4" x14ac:dyDescent="0.25">
      <c r="D484" s="57"/>
    </row>
    <row r="485" spans="4:4" x14ac:dyDescent="0.25">
      <c r="D485" s="57"/>
    </row>
    <row r="486" spans="4:4" x14ac:dyDescent="0.25">
      <c r="D486" s="57"/>
    </row>
    <row r="487" spans="4:4" x14ac:dyDescent="0.25">
      <c r="D487" s="57"/>
    </row>
    <row r="488" spans="4:4" x14ac:dyDescent="0.25">
      <c r="D488" s="57"/>
    </row>
    <row r="489" spans="4:4" x14ac:dyDescent="0.25">
      <c r="D489" s="57"/>
    </row>
    <row r="490" spans="4:4" x14ac:dyDescent="0.25">
      <c r="D490" s="57"/>
    </row>
    <row r="491" spans="4:4" x14ac:dyDescent="0.25">
      <c r="D491" s="57"/>
    </row>
    <row r="492" spans="4:4" x14ac:dyDescent="0.25">
      <c r="D492" s="57"/>
    </row>
    <row r="493" spans="4:4" x14ac:dyDescent="0.25">
      <c r="D493" s="57"/>
    </row>
    <row r="494" spans="4:4" x14ac:dyDescent="0.25">
      <c r="D494" s="57"/>
    </row>
    <row r="495" spans="4:4" x14ac:dyDescent="0.25">
      <c r="D495" s="57"/>
    </row>
    <row r="496" spans="4:4" x14ac:dyDescent="0.25">
      <c r="D496" s="57"/>
    </row>
    <row r="497" spans="4:4" x14ac:dyDescent="0.25">
      <c r="D497" s="57"/>
    </row>
    <row r="498" spans="4:4" x14ac:dyDescent="0.25">
      <c r="D498" s="57"/>
    </row>
    <row r="499" spans="4:4" x14ac:dyDescent="0.25">
      <c r="D499" s="57"/>
    </row>
    <row r="500" spans="4:4" x14ac:dyDescent="0.25">
      <c r="D500" s="57"/>
    </row>
    <row r="501" spans="4:4" x14ac:dyDescent="0.25">
      <c r="D501" s="57"/>
    </row>
    <row r="502" spans="4:4" x14ac:dyDescent="0.25">
      <c r="D502" s="57"/>
    </row>
    <row r="503" spans="4:4" x14ac:dyDescent="0.25">
      <c r="D503" s="57"/>
    </row>
    <row r="504" spans="4:4" x14ac:dyDescent="0.25">
      <c r="D504" s="57"/>
    </row>
    <row r="505" spans="4:4" x14ac:dyDescent="0.25">
      <c r="D505" s="57"/>
    </row>
    <row r="506" spans="4:4" x14ac:dyDescent="0.25">
      <c r="D506" s="57"/>
    </row>
    <row r="507" spans="4:4" x14ac:dyDescent="0.25">
      <c r="D507" s="57"/>
    </row>
    <row r="508" spans="4:4" x14ac:dyDescent="0.25">
      <c r="D508" s="57"/>
    </row>
    <row r="509" spans="4:4" x14ac:dyDescent="0.25">
      <c r="D509" s="57"/>
    </row>
    <row r="510" spans="4:4" x14ac:dyDescent="0.25">
      <c r="D510" s="57"/>
    </row>
    <row r="511" spans="4:4" x14ac:dyDescent="0.25">
      <c r="D511" s="57"/>
    </row>
    <row r="512" spans="4:4" x14ac:dyDescent="0.25">
      <c r="D512" s="57"/>
    </row>
    <row r="513" spans="4:4" x14ac:dyDescent="0.25">
      <c r="D513" s="57"/>
    </row>
    <row r="514" spans="4:4" x14ac:dyDescent="0.25">
      <c r="D514" s="57"/>
    </row>
    <row r="515" spans="4:4" x14ac:dyDescent="0.25">
      <c r="D515" s="57"/>
    </row>
    <row r="516" spans="4:4" x14ac:dyDescent="0.25">
      <c r="D516" s="57"/>
    </row>
    <row r="517" spans="4:4" x14ac:dyDescent="0.25">
      <c r="D517" s="57"/>
    </row>
    <row r="518" spans="4:4" x14ac:dyDescent="0.25">
      <c r="D518" s="57"/>
    </row>
    <row r="519" spans="4:4" x14ac:dyDescent="0.25">
      <c r="D519" s="57"/>
    </row>
    <row r="520" spans="4:4" x14ac:dyDescent="0.25">
      <c r="D520" s="57"/>
    </row>
    <row r="521" spans="4:4" x14ac:dyDescent="0.25">
      <c r="D521" s="57"/>
    </row>
    <row r="522" spans="4:4" x14ac:dyDescent="0.25">
      <c r="D522" s="57"/>
    </row>
    <row r="523" spans="4:4" x14ac:dyDescent="0.25">
      <c r="D523" s="57"/>
    </row>
    <row r="524" spans="4:4" x14ac:dyDescent="0.25">
      <c r="D524" s="57"/>
    </row>
    <row r="525" spans="4:4" x14ac:dyDescent="0.25">
      <c r="D525" s="57"/>
    </row>
    <row r="526" spans="4:4" x14ac:dyDescent="0.25">
      <c r="D526" s="57"/>
    </row>
    <row r="527" spans="4:4" x14ac:dyDescent="0.25">
      <c r="D527" s="57"/>
    </row>
    <row r="528" spans="4:4" x14ac:dyDescent="0.25">
      <c r="D528" s="57"/>
    </row>
    <row r="529" spans="4:4" x14ac:dyDescent="0.25">
      <c r="D529" s="57"/>
    </row>
    <row r="530" spans="4:4" x14ac:dyDescent="0.25">
      <c r="D530" s="57"/>
    </row>
    <row r="531" spans="4:4" x14ac:dyDescent="0.25">
      <c r="D531" s="57"/>
    </row>
    <row r="532" spans="4:4" x14ac:dyDescent="0.25">
      <c r="D532" s="57"/>
    </row>
    <row r="533" spans="4:4" x14ac:dyDescent="0.25">
      <c r="D533" s="57"/>
    </row>
    <row r="534" spans="4:4" x14ac:dyDescent="0.25">
      <c r="D534" s="57"/>
    </row>
    <row r="535" spans="4:4" x14ac:dyDescent="0.25">
      <c r="D535" s="57"/>
    </row>
    <row r="536" spans="4:4" x14ac:dyDescent="0.25">
      <c r="D536" s="57"/>
    </row>
    <row r="537" spans="4:4" x14ac:dyDescent="0.25">
      <c r="D537" s="57"/>
    </row>
    <row r="538" spans="4:4" x14ac:dyDescent="0.25">
      <c r="D538" s="57"/>
    </row>
    <row r="539" spans="4:4" x14ac:dyDescent="0.25">
      <c r="D539" s="57"/>
    </row>
    <row r="540" spans="4:4" x14ac:dyDescent="0.25">
      <c r="D540" s="57"/>
    </row>
    <row r="541" spans="4:4" x14ac:dyDescent="0.25">
      <c r="D541" s="57"/>
    </row>
    <row r="542" spans="4:4" x14ac:dyDescent="0.25">
      <c r="D542" s="57"/>
    </row>
    <row r="543" spans="4:4" x14ac:dyDescent="0.25">
      <c r="D543" s="57"/>
    </row>
    <row r="544" spans="4:4" x14ac:dyDescent="0.25">
      <c r="D544" s="57"/>
    </row>
    <row r="545" spans="4:4" x14ac:dyDescent="0.25">
      <c r="D545" s="57"/>
    </row>
    <row r="546" spans="4:4" x14ac:dyDescent="0.25">
      <c r="D546" s="57"/>
    </row>
    <row r="547" spans="4:4" x14ac:dyDescent="0.25">
      <c r="D547" s="57"/>
    </row>
    <row r="548" spans="4:4" x14ac:dyDescent="0.25">
      <c r="D548" s="57"/>
    </row>
    <row r="549" spans="4:4" x14ac:dyDescent="0.25">
      <c r="D549" s="57"/>
    </row>
    <row r="550" spans="4:4" x14ac:dyDescent="0.25">
      <c r="D550" s="57"/>
    </row>
    <row r="551" spans="4:4" x14ac:dyDescent="0.25">
      <c r="D551" s="57"/>
    </row>
    <row r="552" spans="4:4" x14ac:dyDescent="0.25">
      <c r="D552" s="57"/>
    </row>
    <row r="553" spans="4:4" x14ac:dyDescent="0.25">
      <c r="D553" s="57"/>
    </row>
    <row r="554" spans="4:4" x14ac:dyDescent="0.25">
      <c r="D554" s="57"/>
    </row>
    <row r="555" spans="4:4" x14ac:dyDescent="0.25">
      <c r="D555" s="57"/>
    </row>
    <row r="556" spans="4:4" x14ac:dyDescent="0.25">
      <c r="D556" s="57"/>
    </row>
    <row r="557" spans="4:4" x14ac:dyDescent="0.25">
      <c r="D557" s="57"/>
    </row>
    <row r="558" spans="4:4" x14ac:dyDescent="0.25">
      <c r="D558" s="57"/>
    </row>
    <row r="559" spans="4:4" x14ac:dyDescent="0.25">
      <c r="D559" s="57"/>
    </row>
    <row r="560" spans="4:4" x14ac:dyDescent="0.25">
      <c r="D560" s="57"/>
    </row>
    <row r="561" spans="4:4" x14ac:dyDescent="0.25">
      <c r="D561" s="57"/>
    </row>
    <row r="562" spans="4:4" x14ac:dyDescent="0.25">
      <c r="D562" s="57"/>
    </row>
    <row r="563" spans="4:4" x14ac:dyDescent="0.25">
      <c r="D563" s="57"/>
    </row>
    <row r="564" spans="4:4" x14ac:dyDescent="0.25">
      <c r="D564" s="57"/>
    </row>
    <row r="565" spans="4:4" x14ac:dyDescent="0.25">
      <c r="D565" s="57"/>
    </row>
    <row r="566" spans="4:4" x14ac:dyDescent="0.25">
      <c r="D566" s="57"/>
    </row>
    <row r="567" spans="4:4" x14ac:dyDescent="0.25">
      <c r="D567" s="57"/>
    </row>
    <row r="568" spans="4:4" x14ac:dyDescent="0.25">
      <c r="D568" s="57"/>
    </row>
    <row r="569" spans="4:4" x14ac:dyDescent="0.25">
      <c r="D569" s="57"/>
    </row>
    <row r="570" spans="4:4" x14ac:dyDescent="0.25">
      <c r="D570" s="57"/>
    </row>
    <row r="571" spans="4:4" x14ac:dyDescent="0.25">
      <c r="D571" s="57"/>
    </row>
    <row r="572" spans="4:4" x14ac:dyDescent="0.25">
      <c r="D572" s="57"/>
    </row>
    <row r="573" spans="4:4" x14ac:dyDescent="0.25">
      <c r="D573" s="57"/>
    </row>
    <row r="574" spans="4:4" x14ac:dyDescent="0.25">
      <c r="D574" s="57"/>
    </row>
    <row r="575" spans="4:4" x14ac:dyDescent="0.25">
      <c r="D575" s="57"/>
    </row>
    <row r="576" spans="4:4" x14ac:dyDescent="0.25">
      <c r="D576" s="57"/>
    </row>
    <row r="577" spans="4:4" x14ac:dyDescent="0.25">
      <c r="D577" s="57"/>
    </row>
    <row r="578" spans="4:4" x14ac:dyDescent="0.25">
      <c r="D578" s="57"/>
    </row>
    <row r="579" spans="4:4" x14ac:dyDescent="0.25">
      <c r="D579" s="57"/>
    </row>
    <row r="580" spans="4:4" x14ac:dyDescent="0.25">
      <c r="D580" s="57"/>
    </row>
    <row r="581" spans="4:4" x14ac:dyDescent="0.25">
      <c r="D581" s="57"/>
    </row>
    <row r="582" spans="4:4" x14ac:dyDescent="0.25">
      <c r="D582" s="57"/>
    </row>
    <row r="583" spans="4:4" x14ac:dyDescent="0.25">
      <c r="D583" s="57"/>
    </row>
    <row r="584" spans="4:4" x14ac:dyDescent="0.25">
      <c r="D584" s="57"/>
    </row>
    <row r="585" spans="4:4" x14ac:dyDescent="0.25">
      <c r="D585" s="57"/>
    </row>
    <row r="586" spans="4:4" x14ac:dyDescent="0.25">
      <c r="D586" s="57"/>
    </row>
    <row r="587" spans="4:4" x14ac:dyDescent="0.25">
      <c r="D587" s="57"/>
    </row>
    <row r="588" spans="4:4" x14ac:dyDescent="0.25">
      <c r="D588" s="57"/>
    </row>
    <row r="589" spans="4:4" x14ac:dyDescent="0.25">
      <c r="D589" s="57"/>
    </row>
    <row r="590" spans="4:4" x14ac:dyDescent="0.25">
      <c r="D590" s="57"/>
    </row>
    <row r="591" spans="4:4" x14ac:dyDescent="0.25">
      <c r="D591" s="57"/>
    </row>
    <row r="592" spans="4:4" x14ac:dyDescent="0.25">
      <c r="D592" s="57"/>
    </row>
    <row r="593" spans="4:4" x14ac:dyDescent="0.25">
      <c r="D593" s="57"/>
    </row>
    <row r="594" spans="4:4" x14ac:dyDescent="0.25">
      <c r="D594" s="57"/>
    </row>
    <row r="595" spans="4:4" x14ac:dyDescent="0.25">
      <c r="D595" s="57"/>
    </row>
    <row r="596" spans="4:4" x14ac:dyDescent="0.25">
      <c r="D596" s="57"/>
    </row>
    <row r="597" spans="4:4" x14ac:dyDescent="0.25">
      <c r="D597" s="57"/>
    </row>
    <row r="598" spans="4:4" x14ac:dyDescent="0.25">
      <c r="D598" s="57"/>
    </row>
    <row r="599" spans="4:4" x14ac:dyDescent="0.25">
      <c r="D599" s="57"/>
    </row>
    <row r="600" spans="4:4" x14ac:dyDescent="0.25">
      <c r="D600" s="57"/>
    </row>
    <row r="601" spans="4:4" x14ac:dyDescent="0.25">
      <c r="D601" s="57"/>
    </row>
    <row r="602" spans="4:4" x14ac:dyDescent="0.25">
      <c r="D602" s="57"/>
    </row>
    <row r="603" spans="4:4" x14ac:dyDescent="0.25">
      <c r="D603" s="57"/>
    </row>
    <row r="604" spans="4:4" x14ac:dyDescent="0.25">
      <c r="D604" s="57"/>
    </row>
    <row r="605" spans="4:4" x14ac:dyDescent="0.25">
      <c r="D605" s="57"/>
    </row>
    <row r="606" spans="4:4" x14ac:dyDescent="0.25">
      <c r="D606" s="57"/>
    </row>
    <row r="607" spans="4:4" x14ac:dyDescent="0.25">
      <c r="D607" s="57"/>
    </row>
    <row r="608" spans="4:4" x14ac:dyDescent="0.25">
      <c r="D608" s="57"/>
    </row>
    <row r="609" spans="4:4" x14ac:dyDescent="0.25">
      <c r="D609" s="57"/>
    </row>
    <row r="610" spans="4:4" x14ac:dyDescent="0.25">
      <c r="D610" s="57"/>
    </row>
    <row r="611" spans="4:4" x14ac:dyDescent="0.25">
      <c r="D611" s="57"/>
    </row>
    <row r="612" spans="4:4" x14ac:dyDescent="0.25">
      <c r="D612" s="57"/>
    </row>
    <row r="613" spans="4:4" x14ac:dyDescent="0.25">
      <c r="D613" s="57"/>
    </row>
    <row r="614" spans="4:4" x14ac:dyDescent="0.25">
      <c r="D614" s="57"/>
    </row>
    <row r="615" spans="4:4" x14ac:dyDescent="0.25">
      <c r="D615" s="57"/>
    </row>
    <row r="616" spans="4:4" x14ac:dyDescent="0.25">
      <c r="D616" s="57"/>
    </row>
    <row r="617" spans="4:4" x14ac:dyDescent="0.25">
      <c r="D617" s="57"/>
    </row>
    <row r="618" spans="4:4" x14ac:dyDescent="0.25">
      <c r="D618" s="57"/>
    </row>
    <row r="619" spans="4:4" x14ac:dyDescent="0.25">
      <c r="D619" s="57"/>
    </row>
    <row r="620" spans="4:4" x14ac:dyDescent="0.25">
      <c r="D620" s="57"/>
    </row>
    <row r="621" spans="4:4" x14ac:dyDescent="0.25">
      <c r="D621" s="57"/>
    </row>
    <row r="622" spans="4:4" x14ac:dyDescent="0.25">
      <c r="D622" s="57"/>
    </row>
    <row r="623" spans="4:4" x14ac:dyDescent="0.25">
      <c r="D623" s="57"/>
    </row>
    <row r="624" spans="4:4" x14ac:dyDescent="0.25">
      <c r="D624" s="57"/>
    </row>
    <row r="625" spans="4:4" x14ac:dyDescent="0.25">
      <c r="D625" s="57"/>
    </row>
    <row r="626" spans="4:4" x14ac:dyDescent="0.25">
      <c r="D626" s="57"/>
    </row>
    <row r="627" spans="4:4" x14ac:dyDescent="0.25">
      <c r="D627" s="57"/>
    </row>
    <row r="628" spans="4:4" x14ac:dyDescent="0.25">
      <c r="D628" s="57"/>
    </row>
    <row r="629" spans="4:4" x14ac:dyDescent="0.25">
      <c r="D629" s="57"/>
    </row>
    <row r="630" spans="4:4" x14ac:dyDescent="0.25">
      <c r="D630" s="57"/>
    </row>
    <row r="631" spans="4:4" x14ac:dyDescent="0.25">
      <c r="D631" s="57"/>
    </row>
    <row r="632" spans="4:4" x14ac:dyDescent="0.25">
      <c r="D632" s="57"/>
    </row>
    <row r="633" spans="4:4" x14ac:dyDescent="0.25">
      <c r="D633" s="57"/>
    </row>
    <row r="634" spans="4:4" x14ac:dyDescent="0.25">
      <c r="D634" s="57"/>
    </row>
    <row r="635" spans="4:4" x14ac:dyDescent="0.25">
      <c r="D635" s="57"/>
    </row>
    <row r="636" spans="4:4" x14ac:dyDescent="0.25">
      <c r="D636" s="57"/>
    </row>
    <row r="637" spans="4:4" x14ac:dyDescent="0.25">
      <c r="D637" s="57"/>
    </row>
    <row r="638" spans="4:4" x14ac:dyDescent="0.25">
      <c r="D638" s="57"/>
    </row>
    <row r="639" spans="4:4" x14ac:dyDescent="0.25">
      <c r="D639" s="57"/>
    </row>
    <row r="640" spans="4:4" x14ac:dyDescent="0.25">
      <c r="D640" s="57"/>
    </row>
    <row r="641" spans="4:4" x14ac:dyDescent="0.25">
      <c r="D641" s="57"/>
    </row>
    <row r="642" spans="4:4" x14ac:dyDescent="0.25">
      <c r="D642" s="57"/>
    </row>
    <row r="643" spans="4:4" x14ac:dyDescent="0.25">
      <c r="D643" s="57"/>
    </row>
    <row r="644" spans="4:4" x14ac:dyDescent="0.25">
      <c r="D644" s="57"/>
    </row>
    <row r="645" spans="4:4" x14ac:dyDescent="0.25">
      <c r="D645" s="57"/>
    </row>
    <row r="646" spans="4:4" x14ac:dyDescent="0.25">
      <c r="D646" s="57"/>
    </row>
    <row r="647" spans="4:4" x14ac:dyDescent="0.25">
      <c r="D647" s="57"/>
    </row>
    <row r="648" spans="4:4" x14ac:dyDescent="0.25">
      <c r="D648" s="57"/>
    </row>
    <row r="649" spans="4:4" x14ac:dyDescent="0.25">
      <c r="D649" s="57"/>
    </row>
    <row r="650" spans="4:4" x14ac:dyDescent="0.25">
      <c r="D650" s="57"/>
    </row>
    <row r="651" spans="4:4" x14ac:dyDescent="0.25">
      <c r="D651" s="57"/>
    </row>
    <row r="652" spans="4:4" x14ac:dyDescent="0.25">
      <c r="D652" s="57"/>
    </row>
    <row r="653" spans="4:4" x14ac:dyDescent="0.25">
      <c r="D653" s="57"/>
    </row>
    <row r="654" spans="4:4" x14ac:dyDescent="0.25">
      <c r="D654" s="57"/>
    </row>
    <row r="655" spans="4:4" x14ac:dyDescent="0.25">
      <c r="D655" s="57"/>
    </row>
    <row r="656" spans="4:4" x14ac:dyDescent="0.25">
      <c r="D656" s="57"/>
    </row>
    <row r="657" spans="4:4" x14ac:dyDescent="0.25">
      <c r="D657" s="57"/>
    </row>
    <row r="658" spans="4:4" x14ac:dyDescent="0.25">
      <c r="D658" s="57"/>
    </row>
    <row r="659" spans="4:4" x14ac:dyDescent="0.25">
      <c r="D659" s="57"/>
    </row>
    <row r="660" spans="4:4" x14ac:dyDescent="0.25">
      <c r="D660" s="57"/>
    </row>
    <row r="661" spans="4:4" x14ac:dyDescent="0.25">
      <c r="D661" s="57"/>
    </row>
    <row r="662" spans="4:4" x14ac:dyDescent="0.25">
      <c r="D662" s="57"/>
    </row>
    <row r="663" spans="4:4" x14ac:dyDescent="0.25">
      <c r="D663" s="57"/>
    </row>
    <row r="664" spans="4:4" x14ac:dyDescent="0.25">
      <c r="D664" s="57"/>
    </row>
    <row r="665" spans="4:4" x14ac:dyDescent="0.25">
      <c r="D665" s="57"/>
    </row>
    <row r="666" spans="4:4" x14ac:dyDescent="0.25">
      <c r="D666" s="57"/>
    </row>
    <row r="667" spans="4:4" x14ac:dyDescent="0.25">
      <c r="D667" s="57"/>
    </row>
    <row r="668" spans="4:4" x14ac:dyDescent="0.25">
      <c r="D668" s="57"/>
    </row>
    <row r="669" spans="4:4" x14ac:dyDescent="0.25">
      <c r="D669" s="57"/>
    </row>
    <row r="670" spans="4:4" x14ac:dyDescent="0.25">
      <c r="D670" s="57"/>
    </row>
    <row r="671" spans="4:4" x14ac:dyDescent="0.25">
      <c r="D671" s="57"/>
    </row>
    <row r="672" spans="4:4" x14ac:dyDescent="0.25">
      <c r="D672" s="57"/>
    </row>
    <row r="673" spans="4:4" x14ac:dyDescent="0.25">
      <c r="D673" s="57"/>
    </row>
    <row r="674" spans="4:4" x14ac:dyDescent="0.25">
      <c r="D674" s="57"/>
    </row>
    <row r="675" spans="4:4" x14ac:dyDescent="0.25">
      <c r="D675" s="57"/>
    </row>
    <row r="676" spans="4:4" x14ac:dyDescent="0.25">
      <c r="D676" s="57"/>
    </row>
    <row r="677" spans="4:4" x14ac:dyDescent="0.25">
      <c r="D677" s="57"/>
    </row>
    <row r="678" spans="4:4" x14ac:dyDescent="0.25">
      <c r="D678" s="57"/>
    </row>
    <row r="679" spans="4:4" x14ac:dyDescent="0.25">
      <c r="D679" s="57"/>
    </row>
    <row r="680" spans="4:4" x14ac:dyDescent="0.25">
      <c r="D680" s="57"/>
    </row>
    <row r="681" spans="4:4" x14ac:dyDescent="0.25">
      <c r="D681" s="57"/>
    </row>
    <row r="682" spans="4:4" x14ac:dyDescent="0.25">
      <c r="D682" s="57"/>
    </row>
    <row r="683" spans="4:4" x14ac:dyDescent="0.25">
      <c r="D683" s="57"/>
    </row>
    <row r="684" spans="4:4" x14ac:dyDescent="0.25">
      <c r="D684" s="57"/>
    </row>
    <row r="685" spans="4:4" x14ac:dyDescent="0.25">
      <c r="D685" s="57"/>
    </row>
    <row r="686" spans="4:4" x14ac:dyDescent="0.25">
      <c r="D686" s="57"/>
    </row>
    <row r="687" spans="4:4" x14ac:dyDescent="0.25">
      <c r="D687" s="57"/>
    </row>
    <row r="688" spans="4:4" x14ac:dyDescent="0.25">
      <c r="D688" s="57"/>
    </row>
    <row r="689" spans="4:4" x14ac:dyDescent="0.25">
      <c r="D689" s="57"/>
    </row>
    <row r="690" spans="4:4" x14ac:dyDescent="0.25">
      <c r="D690" s="57"/>
    </row>
    <row r="691" spans="4:4" x14ac:dyDescent="0.25">
      <c r="D691" s="57"/>
    </row>
    <row r="692" spans="4:4" x14ac:dyDescent="0.25">
      <c r="D692" s="57"/>
    </row>
    <row r="693" spans="4:4" x14ac:dyDescent="0.25">
      <c r="D693" s="57"/>
    </row>
    <row r="694" spans="4:4" x14ac:dyDescent="0.25">
      <c r="D694" s="57"/>
    </row>
    <row r="695" spans="4:4" x14ac:dyDescent="0.25">
      <c r="D695" s="57"/>
    </row>
    <row r="696" spans="4:4" x14ac:dyDescent="0.25">
      <c r="D696" s="57"/>
    </row>
    <row r="697" spans="4:4" x14ac:dyDescent="0.25">
      <c r="D697" s="57"/>
    </row>
    <row r="698" spans="4:4" x14ac:dyDescent="0.25">
      <c r="D698" s="57"/>
    </row>
    <row r="699" spans="4:4" x14ac:dyDescent="0.25">
      <c r="D699" s="57"/>
    </row>
    <row r="700" spans="4:4" x14ac:dyDescent="0.25">
      <c r="D700" s="57"/>
    </row>
    <row r="701" spans="4:4" x14ac:dyDescent="0.25">
      <c r="D701" s="57"/>
    </row>
    <row r="702" spans="4:4" x14ac:dyDescent="0.25">
      <c r="D702" s="57"/>
    </row>
    <row r="703" spans="4:4" x14ac:dyDescent="0.25">
      <c r="D703" s="57"/>
    </row>
    <row r="704" spans="4:4" x14ac:dyDescent="0.25">
      <c r="D704" s="57"/>
    </row>
    <row r="705" spans="4:4" x14ac:dyDescent="0.25">
      <c r="D705" s="57"/>
    </row>
    <row r="706" spans="4:4" x14ac:dyDescent="0.25">
      <c r="D706" s="57"/>
    </row>
    <row r="707" spans="4:4" x14ac:dyDescent="0.25">
      <c r="D707" s="57"/>
    </row>
    <row r="708" spans="4:4" x14ac:dyDescent="0.25">
      <c r="D708" s="57"/>
    </row>
    <row r="709" spans="4:4" x14ac:dyDescent="0.25">
      <c r="D709" s="57"/>
    </row>
    <row r="710" spans="4:4" x14ac:dyDescent="0.25">
      <c r="D710" s="57"/>
    </row>
    <row r="711" spans="4:4" x14ac:dyDescent="0.25">
      <c r="D711" s="57"/>
    </row>
    <row r="712" spans="4:4" x14ac:dyDescent="0.25">
      <c r="D712" s="57"/>
    </row>
    <row r="713" spans="4:4" x14ac:dyDescent="0.25">
      <c r="D713" s="57"/>
    </row>
    <row r="714" spans="4:4" x14ac:dyDescent="0.25">
      <c r="D714" s="57"/>
    </row>
    <row r="715" spans="4:4" x14ac:dyDescent="0.25">
      <c r="D715" s="57"/>
    </row>
    <row r="716" spans="4:4" x14ac:dyDescent="0.25">
      <c r="D716" s="57"/>
    </row>
    <row r="717" spans="4:4" x14ac:dyDescent="0.25">
      <c r="D717" s="57"/>
    </row>
    <row r="718" spans="4:4" x14ac:dyDescent="0.25">
      <c r="D718" s="57"/>
    </row>
    <row r="719" spans="4:4" x14ac:dyDescent="0.25">
      <c r="D719" s="57"/>
    </row>
    <row r="720" spans="4:4" x14ac:dyDescent="0.25">
      <c r="D720" s="57"/>
    </row>
    <row r="721" spans="4:4" x14ac:dyDescent="0.25">
      <c r="D721" s="57"/>
    </row>
    <row r="722" spans="4:4" x14ac:dyDescent="0.25">
      <c r="D722" s="57"/>
    </row>
    <row r="723" spans="4:4" x14ac:dyDescent="0.25">
      <c r="D723" s="57"/>
    </row>
    <row r="724" spans="4:4" x14ac:dyDescent="0.25">
      <c r="D724" s="57"/>
    </row>
    <row r="725" spans="4:4" x14ac:dyDescent="0.25">
      <c r="D725" s="57"/>
    </row>
    <row r="726" spans="4:4" x14ac:dyDescent="0.25">
      <c r="D726" s="57"/>
    </row>
    <row r="727" spans="4:4" x14ac:dyDescent="0.25">
      <c r="D727" s="57"/>
    </row>
    <row r="728" spans="4:4" x14ac:dyDescent="0.25">
      <c r="D728" s="57"/>
    </row>
    <row r="729" spans="4:4" x14ac:dyDescent="0.25">
      <c r="D729" s="57"/>
    </row>
    <row r="730" spans="4:4" x14ac:dyDescent="0.25">
      <c r="D730" s="57"/>
    </row>
    <row r="731" spans="4:4" x14ac:dyDescent="0.25">
      <c r="D731" s="57"/>
    </row>
    <row r="732" spans="4:4" x14ac:dyDescent="0.25">
      <c r="D732" s="57"/>
    </row>
    <row r="733" spans="4:4" x14ac:dyDescent="0.25">
      <c r="D733" s="57"/>
    </row>
    <row r="734" spans="4:4" x14ac:dyDescent="0.25">
      <c r="D734" s="57"/>
    </row>
    <row r="735" spans="4:4" x14ac:dyDescent="0.25">
      <c r="D735" s="57"/>
    </row>
    <row r="736" spans="4:4" x14ac:dyDescent="0.25">
      <c r="D736" s="57"/>
    </row>
    <row r="737" spans="4:4" x14ac:dyDescent="0.25">
      <c r="D737" s="57"/>
    </row>
    <row r="738" spans="4:4" x14ac:dyDescent="0.25">
      <c r="D738" s="57"/>
    </row>
    <row r="739" spans="4:4" x14ac:dyDescent="0.25">
      <c r="D739" s="57"/>
    </row>
    <row r="740" spans="4:4" x14ac:dyDescent="0.25">
      <c r="D740" s="57"/>
    </row>
    <row r="741" spans="4:4" x14ac:dyDescent="0.25">
      <c r="D741" s="57"/>
    </row>
    <row r="742" spans="4:4" x14ac:dyDescent="0.25">
      <c r="D742" s="57"/>
    </row>
    <row r="743" spans="4:4" x14ac:dyDescent="0.25">
      <c r="D743" s="57"/>
    </row>
    <row r="744" spans="4:4" x14ac:dyDescent="0.25">
      <c r="D744" s="57"/>
    </row>
    <row r="745" spans="4:4" x14ac:dyDescent="0.25">
      <c r="D745" s="57"/>
    </row>
    <row r="746" spans="4:4" x14ac:dyDescent="0.25">
      <c r="D746" s="57"/>
    </row>
    <row r="747" spans="4:4" x14ac:dyDescent="0.25">
      <c r="D747" s="57"/>
    </row>
    <row r="748" spans="4:4" x14ac:dyDescent="0.25">
      <c r="D748" s="57"/>
    </row>
    <row r="749" spans="4:4" x14ac:dyDescent="0.25">
      <c r="D749" s="57"/>
    </row>
    <row r="750" spans="4:4" x14ac:dyDescent="0.25">
      <c r="D750" s="57"/>
    </row>
    <row r="751" spans="4:4" x14ac:dyDescent="0.25">
      <c r="D751" s="57"/>
    </row>
    <row r="752" spans="4:4" x14ac:dyDescent="0.25">
      <c r="D752" s="57"/>
    </row>
    <row r="753" spans="4:4" x14ac:dyDescent="0.25">
      <c r="D753" s="57"/>
    </row>
    <row r="754" spans="4:4" x14ac:dyDescent="0.25">
      <c r="D754" s="57"/>
    </row>
    <row r="755" spans="4:4" x14ac:dyDescent="0.25">
      <c r="D755" s="57"/>
    </row>
    <row r="756" spans="4:4" x14ac:dyDescent="0.25">
      <c r="D756" s="57"/>
    </row>
    <row r="757" spans="4:4" x14ac:dyDescent="0.25">
      <c r="D757" s="57"/>
    </row>
    <row r="758" spans="4:4" x14ac:dyDescent="0.25">
      <c r="D758" s="57"/>
    </row>
    <row r="759" spans="4:4" x14ac:dyDescent="0.25">
      <c r="D759" s="57"/>
    </row>
    <row r="760" spans="4:4" x14ac:dyDescent="0.25">
      <c r="D760" s="57"/>
    </row>
    <row r="761" spans="4:4" x14ac:dyDescent="0.25">
      <c r="D761" s="57"/>
    </row>
    <row r="762" spans="4:4" x14ac:dyDescent="0.25">
      <c r="D762" s="57"/>
    </row>
    <row r="763" spans="4:4" x14ac:dyDescent="0.25">
      <c r="D763" s="57"/>
    </row>
    <row r="764" spans="4:4" x14ac:dyDescent="0.25">
      <c r="D764" s="57"/>
    </row>
    <row r="765" spans="4:4" x14ac:dyDescent="0.25">
      <c r="D765" s="57"/>
    </row>
    <row r="766" spans="4:4" x14ac:dyDescent="0.25">
      <c r="D766" s="57"/>
    </row>
    <row r="767" spans="4:4" x14ac:dyDescent="0.25">
      <c r="D767" s="57"/>
    </row>
    <row r="768" spans="4:4" x14ac:dyDescent="0.25">
      <c r="D768" s="57"/>
    </row>
    <row r="769" spans="4:4" x14ac:dyDescent="0.25">
      <c r="D769" s="57"/>
    </row>
    <row r="770" spans="4:4" x14ac:dyDescent="0.25">
      <c r="D770" s="57"/>
    </row>
    <row r="771" spans="4:4" x14ac:dyDescent="0.25">
      <c r="D771" s="57"/>
    </row>
    <row r="772" spans="4:4" x14ac:dyDescent="0.25">
      <c r="D772" s="57"/>
    </row>
    <row r="773" spans="4:4" x14ac:dyDescent="0.25">
      <c r="D773" s="57"/>
    </row>
    <row r="774" spans="4:4" x14ac:dyDescent="0.25">
      <c r="D774" s="57"/>
    </row>
    <row r="775" spans="4:4" x14ac:dyDescent="0.25">
      <c r="D775" s="57"/>
    </row>
    <row r="776" spans="4:4" x14ac:dyDescent="0.25">
      <c r="D776" s="57"/>
    </row>
    <row r="777" spans="4:4" x14ac:dyDescent="0.25">
      <c r="D777" s="57"/>
    </row>
    <row r="778" spans="4:4" x14ac:dyDescent="0.25">
      <c r="D778" s="57"/>
    </row>
    <row r="779" spans="4:4" x14ac:dyDescent="0.25">
      <c r="D779" s="57"/>
    </row>
    <row r="780" spans="4:4" x14ac:dyDescent="0.25">
      <c r="D780" s="57"/>
    </row>
    <row r="781" spans="4:4" x14ac:dyDescent="0.25">
      <c r="D781" s="57"/>
    </row>
    <row r="782" spans="4:4" x14ac:dyDescent="0.25">
      <c r="D782" s="57"/>
    </row>
    <row r="783" spans="4:4" x14ac:dyDescent="0.25">
      <c r="D783" s="57"/>
    </row>
    <row r="784" spans="4:4" x14ac:dyDescent="0.25">
      <c r="D784" s="57"/>
    </row>
    <row r="785" spans="4:4" x14ac:dyDescent="0.25">
      <c r="D785" s="57"/>
    </row>
    <row r="786" spans="4:4" x14ac:dyDescent="0.25">
      <c r="D786" s="57"/>
    </row>
    <row r="787" spans="4:4" x14ac:dyDescent="0.25">
      <c r="D787" s="57"/>
    </row>
    <row r="788" spans="4:4" x14ac:dyDescent="0.25">
      <c r="D788" s="57"/>
    </row>
    <row r="789" spans="4:4" x14ac:dyDescent="0.25">
      <c r="D789" s="57"/>
    </row>
    <row r="790" spans="4:4" x14ac:dyDescent="0.25">
      <c r="D790" s="57"/>
    </row>
    <row r="791" spans="4:4" x14ac:dyDescent="0.25">
      <c r="D791" s="57"/>
    </row>
    <row r="792" spans="4:4" x14ac:dyDescent="0.25">
      <c r="D792" s="57"/>
    </row>
    <row r="793" spans="4:4" x14ac:dyDescent="0.25">
      <c r="D793" s="57"/>
    </row>
    <row r="794" spans="4:4" x14ac:dyDescent="0.25">
      <c r="D794" s="57"/>
    </row>
    <row r="795" spans="4:4" x14ac:dyDescent="0.25">
      <c r="D795" s="57"/>
    </row>
    <row r="796" spans="4:4" x14ac:dyDescent="0.25">
      <c r="D796" s="57"/>
    </row>
    <row r="797" spans="4:4" x14ac:dyDescent="0.25">
      <c r="D797" s="57"/>
    </row>
    <row r="798" spans="4:4" x14ac:dyDescent="0.25">
      <c r="D798" s="57"/>
    </row>
    <row r="799" spans="4:4" x14ac:dyDescent="0.25">
      <c r="D799" s="57"/>
    </row>
    <row r="800" spans="4:4" x14ac:dyDescent="0.25">
      <c r="D800" s="57"/>
    </row>
    <row r="801" spans="4:4" x14ac:dyDescent="0.25">
      <c r="D801" s="57"/>
    </row>
    <row r="802" spans="4:4" x14ac:dyDescent="0.25">
      <c r="D802" s="57"/>
    </row>
    <row r="803" spans="4:4" x14ac:dyDescent="0.25">
      <c r="D803" s="57"/>
    </row>
    <row r="804" spans="4:4" x14ac:dyDescent="0.25">
      <c r="D804" s="57"/>
    </row>
    <row r="805" spans="4:4" x14ac:dyDescent="0.25">
      <c r="D805" s="57"/>
    </row>
    <row r="806" spans="4:4" x14ac:dyDescent="0.25">
      <c r="D806" s="57"/>
    </row>
    <row r="807" spans="4:4" x14ac:dyDescent="0.25">
      <c r="D807" s="57"/>
    </row>
    <row r="808" spans="4:4" x14ac:dyDescent="0.25">
      <c r="D808" s="57"/>
    </row>
    <row r="809" spans="4:4" x14ac:dyDescent="0.25">
      <c r="D809" s="57"/>
    </row>
    <row r="810" spans="4:4" x14ac:dyDescent="0.25">
      <c r="D810" s="57"/>
    </row>
    <row r="811" spans="4:4" x14ac:dyDescent="0.25">
      <c r="D811" s="57"/>
    </row>
    <row r="812" spans="4:4" x14ac:dyDescent="0.25">
      <c r="D812" s="57"/>
    </row>
    <row r="813" spans="4:4" x14ac:dyDescent="0.25">
      <c r="D813" s="57"/>
    </row>
    <row r="814" spans="4:4" x14ac:dyDescent="0.25">
      <c r="D814" s="57"/>
    </row>
    <row r="815" spans="4:4" x14ac:dyDescent="0.25">
      <c r="D815" s="57"/>
    </row>
    <row r="816" spans="4:4" x14ac:dyDescent="0.25">
      <c r="D816" s="57"/>
    </row>
    <row r="817" spans="4:4" x14ac:dyDescent="0.25">
      <c r="D817" s="57"/>
    </row>
    <row r="818" spans="4:4" x14ac:dyDescent="0.25">
      <c r="D818" s="57"/>
    </row>
    <row r="819" spans="4:4" x14ac:dyDescent="0.25">
      <c r="D819" s="57"/>
    </row>
    <row r="820" spans="4:4" x14ac:dyDescent="0.25">
      <c r="D820" s="57"/>
    </row>
    <row r="821" spans="4:4" x14ac:dyDescent="0.25">
      <c r="D821" s="57"/>
    </row>
    <row r="822" spans="4:4" x14ac:dyDescent="0.25">
      <c r="D822" s="57"/>
    </row>
    <row r="823" spans="4:4" x14ac:dyDescent="0.25">
      <c r="D823" s="57"/>
    </row>
    <row r="824" spans="4:4" x14ac:dyDescent="0.25">
      <c r="D824" s="57"/>
    </row>
    <row r="825" spans="4:4" x14ac:dyDescent="0.25">
      <c r="D825" s="57"/>
    </row>
    <row r="826" spans="4:4" x14ac:dyDescent="0.25">
      <c r="D826" s="57"/>
    </row>
    <row r="827" spans="4:4" x14ac:dyDescent="0.25">
      <c r="D827" s="57"/>
    </row>
    <row r="828" spans="4:4" x14ac:dyDescent="0.25">
      <c r="D828" s="57"/>
    </row>
    <row r="829" spans="4:4" x14ac:dyDescent="0.25">
      <c r="D829" s="57"/>
    </row>
    <row r="830" spans="4:4" x14ac:dyDescent="0.25">
      <c r="D830" s="57"/>
    </row>
    <row r="831" spans="4:4" x14ac:dyDescent="0.25">
      <c r="D831" s="57"/>
    </row>
    <row r="832" spans="4:4" x14ac:dyDescent="0.25">
      <c r="D832" s="57"/>
    </row>
    <row r="833" spans="4:4" x14ac:dyDescent="0.25">
      <c r="D833" s="57"/>
    </row>
    <row r="834" spans="4:4" x14ac:dyDescent="0.25">
      <c r="D834" s="57"/>
    </row>
    <row r="835" spans="4:4" x14ac:dyDescent="0.25">
      <c r="D835" s="57"/>
    </row>
    <row r="836" spans="4:4" x14ac:dyDescent="0.25">
      <c r="D836" s="57"/>
    </row>
    <row r="837" spans="4:4" x14ac:dyDescent="0.25">
      <c r="D837" s="57"/>
    </row>
    <row r="838" spans="4:4" x14ac:dyDescent="0.25">
      <c r="D838" s="57"/>
    </row>
    <row r="839" spans="4:4" x14ac:dyDescent="0.25">
      <c r="D839" s="57"/>
    </row>
    <row r="840" spans="4:4" x14ac:dyDescent="0.25">
      <c r="D840" s="57"/>
    </row>
    <row r="841" spans="4:4" x14ac:dyDescent="0.25">
      <c r="D841" s="57"/>
    </row>
    <row r="842" spans="4:4" x14ac:dyDescent="0.25">
      <c r="D842" s="57"/>
    </row>
    <row r="843" spans="4:4" x14ac:dyDescent="0.25">
      <c r="D843" s="57"/>
    </row>
    <row r="844" spans="4:4" x14ac:dyDescent="0.25">
      <c r="D844" s="57"/>
    </row>
    <row r="845" spans="4:4" x14ac:dyDescent="0.25">
      <c r="D845" s="57"/>
    </row>
    <row r="846" spans="4:4" x14ac:dyDescent="0.25">
      <c r="D846" s="57"/>
    </row>
    <row r="847" spans="4:4" x14ac:dyDescent="0.25">
      <c r="D847" s="57"/>
    </row>
    <row r="848" spans="4:4" x14ac:dyDescent="0.25">
      <c r="D848" s="57"/>
    </row>
    <row r="849" spans="4:4" x14ac:dyDescent="0.25">
      <c r="D849" s="57"/>
    </row>
    <row r="850" spans="4:4" x14ac:dyDescent="0.25">
      <c r="D850" s="57"/>
    </row>
    <row r="851" spans="4:4" x14ac:dyDescent="0.25">
      <c r="D851" s="57"/>
    </row>
    <row r="852" spans="4:4" x14ac:dyDescent="0.25">
      <c r="D852" s="57"/>
    </row>
    <row r="853" spans="4:4" x14ac:dyDescent="0.25">
      <c r="D853" s="57"/>
    </row>
    <row r="854" spans="4:4" x14ac:dyDescent="0.25">
      <c r="D854" s="57"/>
    </row>
    <row r="855" spans="4:4" x14ac:dyDescent="0.25">
      <c r="D855" s="57"/>
    </row>
    <row r="856" spans="4:4" x14ac:dyDescent="0.25">
      <c r="D856" s="57"/>
    </row>
    <row r="857" spans="4:4" x14ac:dyDescent="0.25">
      <c r="D857" s="57"/>
    </row>
    <row r="858" spans="4:4" x14ac:dyDescent="0.25">
      <c r="D858" s="57"/>
    </row>
    <row r="859" spans="4:4" x14ac:dyDescent="0.25">
      <c r="D859" s="57"/>
    </row>
    <row r="860" spans="4:4" x14ac:dyDescent="0.25">
      <c r="D860" s="57"/>
    </row>
    <row r="861" spans="4:4" x14ac:dyDescent="0.25">
      <c r="D861" s="57"/>
    </row>
    <row r="862" spans="4:4" x14ac:dyDescent="0.25">
      <c r="D862" s="57"/>
    </row>
    <row r="863" spans="4:4" x14ac:dyDescent="0.25">
      <c r="D863" s="57"/>
    </row>
    <row r="864" spans="4:4" x14ac:dyDescent="0.25">
      <c r="D864" s="57"/>
    </row>
    <row r="865" spans="4:4" x14ac:dyDescent="0.25">
      <c r="D865" s="57"/>
    </row>
    <row r="866" spans="4:4" x14ac:dyDescent="0.25">
      <c r="D866" s="57"/>
    </row>
    <row r="867" spans="4:4" x14ac:dyDescent="0.25">
      <c r="D867" s="57"/>
    </row>
    <row r="868" spans="4:4" x14ac:dyDescent="0.25">
      <c r="D868" s="57"/>
    </row>
    <row r="869" spans="4:4" x14ac:dyDescent="0.25">
      <c r="D869" s="57"/>
    </row>
    <row r="870" spans="4:4" x14ac:dyDescent="0.25">
      <c r="D870" s="57"/>
    </row>
    <row r="871" spans="4:4" x14ac:dyDescent="0.25">
      <c r="D871" s="57"/>
    </row>
    <row r="872" spans="4:4" x14ac:dyDescent="0.25">
      <c r="D872" s="57"/>
    </row>
    <row r="873" spans="4:4" x14ac:dyDescent="0.25">
      <c r="D873" s="57"/>
    </row>
    <row r="874" spans="4:4" x14ac:dyDescent="0.25">
      <c r="D874" s="57"/>
    </row>
    <row r="875" spans="4:4" x14ac:dyDescent="0.25">
      <c r="D875" s="57"/>
    </row>
    <row r="876" spans="4:4" x14ac:dyDescent="0.25">
      <c r="D876" s="57"/>
    </row>
    <row r="877" spans="4:4" x14ac:dyDescent="0.25">
      <c r="D877" s="57"/>
    </row>
    <row r="878" spans="4:4" x14ac:dyDescent="0.25">
      <c r="D878" s="57"/>
    </row>
    <row r="879" spans="4:4" x14ac:dyDescent="0.25">
      <c r="D879" s="57"/>
    </row>
    <row r="880" spans="4:4" x14ac:dyDescent="0.25">
      <c r="D880" s="57"/>
    </row>
    <row r="881" spans="4:4" x14ac:dyDescent="0.25">
      <c r="D881" s="57"/>
    </row>
    <row r="882" spans="4:4" x14ac:dyDescent="0.25">
      <c r="D882" s="57"/>
    </row>
    <row r="883" spans="4:4" x14ac:dyDescent="0.25">
      <c r="D883" s="57"/>
    </row>
    <row r="884" spans="4:4" x14ac:dyDescent="0.25">
      <c r="D884" s="57"/>
    </row>
    <row r="885" spans="4:4" x14ac:dyDescent="0.25">
      <c r="D885" s="57"/>
    </row>
    <row r="886" spans="4:4" x14ac:dyDescent="0.25">
      <c r="D886" s="57"/>
    </row>
    <row r="887" spans="4:4" x14ac:dyDescent="0.25">
      <c r="D887" s="57"/>
    </row>
    <row r="888" spans="4:4" x14ac:dyDescent="0.25">
      <c r="D888" s="57"/>
    </row>
    <row r="889" spans="4:4" x14ac:dyDescent="0.25">
      <c r="D889" s="57"/>
    </row>
    <row r="890" spans="4:4" x14ac:dyDescent="0.25">
      <c r="D890" s="57"/>
    </row>
    <row r="891" spans="4:4" x14ac:dyDescent="0.25">
      <c r="D891" s="57"/>
    </row>
    <row r="892" spans="4:4" x14ac:dyDescent="0.25">
      <c r="D892" s="57"/>
    </row>
    <row r="893" spans="4:4" x14ac:dyDescent="0.25">
      <c r="D893" s="57"/>
    </row>
    <row r="894" spans="4:4" x14ac:dyDescent="0.25">
      <c r="D894" s="57"/>
    </row>
    <row r="895" spans="4:4" x14ac:dyDescent="0.25">
      <c r="D895" s="57"/>
    </row>
    <row r="896" spans="4:4" x14ac:dyDescent="0.25">
      <c r="D896" s="57"/>
    </row>
    <row r="897" spans="4:4" x14ac:dyDescent="0.25">
      <c r="D897" s="57"/>
    </row>
    <row r="898" spans="4:4" x14ac:dyDescent="0.25">
      <c r="D898" s="57"/>
    </row>
    <row r="899" spans="4:4" x14ac:dyDescent="0.25">
      <c r="D899" s="57"/>
    </row>
    <row r="900" spans="4:4" x14ac:dyDescent="0.25">
      <c r="D900" s="57"/>
    </row>
    <row r="901" spans="4:4" x14ac:dyDescent="0.25">
      <c r="D901" s="57"/>
    </row>
    <row r="902" spans="4:4" x14ac:dyDescent="0.25">
      <c r="D902" s="57"/>
    </row>
    <row r="903" spans="4:4" x14ac:dyDescent="0.25">
      <c r="D903" s="57"/>
    </row>
    <row r="904" spans="4:4" x14ac:dyDescent="0.25">
      <c r="D904" s="57"/>
    </row>
    <row r="905" spans="4:4" x14ac:dyDescent="0.25">
      <c r="D905" s="57"/>
    </row>
    <row r="906" spans="4:4" x14ac:dyDescent="0.25">
      <c r="D906" s="57"/>
    </row>
    <row r="907" spans="4:4" x14ac:dyDescent="0.25">
      <c r="D907" s="57"/>
    </row>
    <row r="908" spans="4:4" x14ac:dyDescent="0.25">
      <c r="D908" s="57"/>
    </row>
    <row r="909" spans="4:4" x14ac:dyDescent="0.25">
      <c r="D909" s="57"/>
    </row>
    <row r="910" spans="4:4" x14ac:dyDescent="0.25">
      <c r="D910" s="57"/>
    </row>
    <row r="911" spans="4:4" x14ac:dyDescent="0.25">
      <c r="D911" s="57"/>
    </row>
    <row r="912" spans="4:4" x14ac:dyDescent="0.25">
      <c r="D912" s="57"/>
    </row>
    <row r="913" spans="4:4" x14ac:dyDescent="0.25">
      <c r="D913" s="57"/>
    </row>
    <row r="914" spans="4:4" x14ac:dyDescent="0.25">
      <c r="D914" s="57"/>
    </row>
    <row r="915" spans="4:4" x14ac:dyDescent="0.25">
      <c r="D915" s="57"/>
    </row>
    <row r="916" spans="4:4" x14ac:dyDescent="0.25">
      <c r="D916" s="57"/>
    </row>
    <row r="917" spans="4:4" x14ac:dyDescent="0.25">
      <c r="D917" s="57"/>
    </row>
    <row r="918" spans="4:4" x14ac:dyDescent="0.25">
      <c r="D918" s="57"/>
    </row>
    <row r="919" spans="4:4" x14ac:dyDescent="0.25">
      <c r="D919" s="57"/>
    </row>
    <row r="920" spans="4:4" x14ac:dyDescent="0.25">
      <c r="D920" s="57"/>
    </row>
    <row r="921" spans="4:4" x14ac:dyDescent="0.25">
      <c r="D921" s="57"/>
    </row>
    <row r="922" spans="4:4" x14ac:dyDescent="0.25">
      <c r="D922" s="57"/>
    </row>
    <row r="923" spans="4:4" x14ac:dyDescent="0.25">
      <c r="D923" s="57"/>
    </row>
    <row r="924" spans="4:4" x14ac:dyDescent="0.25">
      <c r="D924" s="57"/>
    </row>
    <row r="925" spans="4:4" x14ac:dyDescent="0.25">
      <c r="D925" s="57"/>
    </row>
    <row r="926" spans="4:4" x14ac:dyDescent="0.25">
      <c r="D926" s="57"/>
    </row>
    <row r="927" spans="4:4" x14ac:dyDescent="0.25">
      <c r="D927" s="57"/>
    </row>
    <row r="928" spans="4:4" x14ac:dyDescent="0.25">
      <c r="D928" s="57"/>
    </row>
    <row r="929" spans="4:4" x14ac:dyDescent="0.25">
      <c r="D929" s="57"/>
    </row>
    <row r="930" spans="4:4" x14ac:dyDescent="0.25">
      <c r="D930" s="57"/>
    </row>
    <row r="931" spans="4:4" x14ac:dyDescent="0.25">
      <c r="D931" s="57"/>
    </row>
    <row r="932" spans="4:4" x14ac:dyDescent="0.25">
      <c r="D932" s="57"/>
    </row>
    <row r="933" spans="4:4" x14ac:dyDescent="0.25">
      <c r="D933" s="57"/>
    </row>
    <row r="934" spans="4:4" x14ac:dyDescent="0.25">
      <c r="D934" s="57"/>
    </row>
    <row r="935" spans="4:4" x14ac:dyDescent="0.25">
      <c r="D935" s="57"/>
    </row>
    <row r="936" spans="4:4" x14ac:dyDescent="0.25">
      <c r="D936" s="57"/>
    </row>
    <row r="937" spans="4:4" x14ac:dyDescent="0.25">
      <c r="D937" s="57"/>
    </row>
    <row r="938" spans="4:4" x14ac:dyDescent="0.25">
      <c r="D938" s="57"/>
    </row>
    <row r="939" spans="4:4" x14ac:dyDescent="0.25">
      <c r="D939" s="57"/>
    </row>
    <row r="940" spans="4:4" x14ac:dyDescent="0.25">
      <c r="D940" s="57"/>
    </row>
    <row r="941" spans="4:4" x14ac:dyDescent="0.25">
      <c r="D941" s="57"/>
    </row>
    <row r="942" spans="4:4" x14ac:dyDescent="0.25">
      <c r="D942" s="57"/>
    </row>
    <row r="943" spans="4:4" x14ac:dyDescent="0.25">
      <c r="D943" s="57"/>
    </row>
    <row r="944" spans="4:4" x14ac:dyDescent="0.25">
      <c r="D944" s="57"/>
    </row>
    <row r="945" spans="4:4" x14ac:dyDescent="0.25">
      <c r="D945" s="57"/>
    </row>
    <row r="946" spans="4:4" x14ac:dyDescent="0.25">
      <c r="D946" s="57"/>
    </row>
    <row r="947" spans="4:4" x14ac:dyDescent="0.25">
      <c r="D947" s="57"/>
    </row>
    <row r="948" spans="4:4" x14ac:dyDescent="0.25">
      <c r="D948" s="57"/>
    </row>
    <row r="949" spans="4:4" x14ac:dyDescent="0.25">
      <c r="D949" s="57"/>
    </row>
    <row r="950" spans="4:4" x14ac:dyDescent="0.25">
      <c r="D950" s="57"/>
    </row>
    <row r="951" spans="4:4" x14ac:dyDescent="0.25">
      <c r="D951" s="57"/>
    </row>
    <row r="952" spans="4:4" x14ac:dyDescent="0.25">
      <c r="D952" s="57"/>
    </row>
    <row r="953" spans="4:4" x14ac:dyDescent="0.25">
      <c r="D953" s="57"/>
    </row>
    <row r="954" spans="4:4" x14ac:dyDescent="0.25">
      <c r="D954" s="57"/>
    </row>
    <row r="955" spans="4:4" x14ac:dyDescent="0.25">
      <c r="D955" s="57"/>
    </row>
    <row r="956" spans="4:4" x14ac:dyDescent="0.25">
      <c r="D956" s="57"/>
    </row>
    <row r="957" spans="4:4" x14ac:dyDescent="0.25">
      <c r="D957" s="57"/>
    </row>
    <row r="958" spans="4:4" x14ac:dyDescent="0.25">
      <c r="D958" s="57"/>
    </row>
    <row r="959" spans="4:4" x14ac:dyDescent="0.25">
      <c r="D959" s="57"/>
    </row>
    <row r="960" spans="4:4" x14ac:dyDescent="0.25">
      <c r="D960" s="57"/>
    </row>
    <row r="961" spans="4:4" x14ac:dyDescent="0.25">
      <c r="D961" s="57"/>
    </row>
    <row r="962" spans="4:4" x14ac:dyDescent="0.25">
      <c r="D962" s="57"/>
    </row>
    <row r="963" spans="4:4" x14ac:dyDescent="0.25">
      <c r="D963" s="57"/>
    </row>
    <row r="964" spans="4:4" x14ac:dyDescent="0.25">
      <c r="D964" s="57"/>
    </row>
    <row r="965" spans="4:4" x14ac:dyDescent="0.25">
      <c r="D965" s="57"/>
    </row>
    <row r="966" spans="4:4" x14ac:dyDescent="0.25">
      <c r="D966" s="57"/>
    </row>
    <row r="967" spans="4:4" x14ac:dyDescent="0.25">
      <c r="D967" s="57"/>
    </row>
    <row r="968" spans="4:4" x14ac:dyDescent="0.25">
      <c r="D968" s="57"/>
    </row>
    <row r="969" spans="4:4" x14ac:dyDescent="0.25">
      <c r="D969" s="57"/>
    </row>
    <row r="970" spans="4:4" x14ac:dyDescent="0.25">
      <c r="D970" s="57"/>
    </row>
    <row r="971" spans="4:4" x14ac:dyDescent="0.25">
      <c r="D971" s="57"/>
    </row>
    <row r="972" spans="4:4" x14ac:dyDescent="0.25">
      <c r="D972" s="57"/>
    </row>
    <row r="973" spans="4:4" x14ac:dyDescent="0.25">
      <c r="D973" s="57"/>
    </row>
    <row r="974" spans="4:4" x14ac:dyDescent="0.25">
      <c r="D974" s="57"/>
    </row>
    <row r="975" spans="4:4" x14ac:dyDescent="0.25">
      <c r="D975" s="57"/>
    </row>
    <row r="976" spans="4:4" x14ac:dyDescent="0.25">
      <c r="D976" s="57"/>
    </row>
    <row r="977" spans="4:4" x14ac:dyDescent="0.25">
      <c r="D977" s="57"/>
    </row>
    <row r="978" spans="4:4" x14ac:dyDescent="0.25">
      <c r="D978" s="57"/>
    </row>
    <row r="979" spans="4:4" x14ac:dyDescent="0.25">
      <c r="D979" s="57"/>
    </row>
    <row r="980" spans="4:4" x14ac:dyDescent="0.25">
      <c r="D980" s="57"/>
    </row>
    <row r="981" spans="4:4" x14ac:dyDescent="0.25">
      <c r="D981" s="57"/>
    </row>
    <row r="982" spans="4:4" x14ac:dyDescent="0.25">
      <c r="D982" s="57"/>
    </row>
    <row r="983" spans="4:4" x14ac:dyDescent="0.25">
      <c r="D983" s="57"/>
    </row>
    <row r="984" spans="4:4" x14ac:dyDescent="0.25">
      <c r="D984" s="57"/>
    </row>
    <row r="985" spans="4:4" x14ac:dyDescent="0.25">
      <c r="D985" s="57"/>
    </row>
    <row r="986" spans="4:4" x14ac:dyDescent="0.25">
      <c r="D986" s="57"/>
    </row>
    <row r="987" spans="4:4" x14ac:dyDescent="0.25">
      <c r="D987" s="57"/>
    </row>
    <row r="988" spans="4:4" x14ac:dyDescent="0.25">
      <c r="D988" s="57"/>
    </row>
    <row r="989" spans="4:4" x14ac:dyDescent="0.25">
      <c r="D989" s="57"/>
    </row>
    <row r="990" spans="4:4" x14ac:dyDescent="0.25">
      <c r="D990" s="57"/>
    </row>
    <row r="991" spans="4:4" x14ac:dyDescent="0.25">
      <c r="D991" s="57"/>
    </row>
    <row r="992" spans="4:4" x14ac:dyDescent="0.25">
      <c r="D992" s="57"/>
    </row>
    <row r="993" spans="4:4" x14ac:dyDescent="0.25">
      <c r="D993" s="57"/>
    </row>
    <row r="994" spans="4:4" x14ac:dyDescent="0.25">
      <c r="D994" s="57"/>
    </row>
    <row r="995" spans="4:4" x14ac:dyDescent="0.25">
      <c r="D995" s="57"/>
    </row>
    <row r="996" spans="4:4" x14ac:dyDescent="0.25">
      <c r="D996" s="57"/>
    </row>
    <row r="997" spans="4:4" x14ac:dyDescent="0.25">
      <c r="D997" s="57"/>
    </row>
    <row r="998" spans="4:4" x14ac:dyDescent="0.25">
      <c r="D998" s="57"/>
    </row>
    <row r="999" spans="4:4" x14ac:dyDescent="0.25">
      <c r="D999" s="57"/>
    </row>
    <row r="1000" spans="4:4" x14ac:dyDescent="0.25">
      <c r="D1000" s="57"/>
    </row>
    <row r="1001" spans="4:4" x14ac:dyDescent="0.25">
      <c r="D1001" s="57"/>
    </row>
    <row r="1002" spans="4:4" x14ac:dyDescent="0.25">
      <c r="D1002" s="57"/>
    </row>
    <row r="1003" spans="4:4" x14ac:dyDescent="0.25">
      <c r="D1003" s="57"/>
    </row>
    <row r="1004" spans="4:4" x14ac:dyDescent="0.25">
      <c r="D1004" s="57"/>
    </row>
    <row r="1005" spans="4:4" x14ac:dyDescent="0.25">
      <c r="D1005" s="57"/>
    </row>
    <row r="1006" spans="4:4" x14ac:dyDescent="0.25">
      <c r="D1006" s="57"/>
    </row>
    <row r="1007" spans="4:4" x14ac:dyDescent="0.25">
      <c r="D1007" s="57"/>
    </row>
    <row r="1008" spans="4:4" x14ac:dyDescent="0.25">
      <c r="D1008" s="57"/>
    </row>
    <row r="1009" spans="4:4" x14ac:dyDescent="0.25">
      <c r="D1009" s="57"/>
    </row>
    <row r="1010" spans="4:4" x14ac:dyDescent="0.25">
      <c r="D1010" s="57"/>
    </row>
    <row r="1011" spans="4:4" x14ac:dyDescent="0.25">
      <c r="D1011" s="57"/>
    </row>
    <row r="1012" spans="4:4" x14ac:dyDescent="0.25">
      <c r="D1012" s="57"/>
    </row>
    <row r="1013" spans="4:4" x14ac:dyDescent="0.25">
      <c r="D1013" s="57"/>
    </row>
    <row r="1014" spans="4:4" x14ac:dyDescent="0.25">
      <c r="D1014" s="57"/>
    </row>
    <row r="1015" spans="4:4" x14ac:dyDescent="0.25">
      <c r="D1015" s="57"/>
    </row>
    <row r="1016" spans="4:4" x14ac:dyDescent="0.25">
      <c r="D1016" s="57"/>
    </row>
    <row r="1017" spans="4:4" x14ac:dyDescent="0.25">
      <c r="D1017" s="57"/>
    </row>
    <row r="1018" spans="4:4" x14ac:dyDescent="0.25">
      <c r="D1018" s="57"/>
    </row>
    <row r="1019" spans="4:4" x14ac:dyDescent="0.25">
      <c r="D1019" s="57"/>
    </row>
    <row r="1020" spans="4:4" x14ac:dyDescent="0.25">
      <c r="D1020" s="57"/>
    </row>
    <row r="1021" spans="4:4" x14ac:dyDescent="0.25">
      <c r="D1021" s="57"/>
    </row>
    <row r="1022" spans="4:4" x14ac:dyDescent="0.25">
      <c r="D1022" s="57"/>
    </row>
    <row r="1023" spans="4:4" x14ac:dyDescent="0.25">
      <c r="D1023" s="57"/>
    </row>
    <row r="1024" spans="4:4" x14ac:dyDescent="0.25">
      <c r="D1024" s="57"/>
    </row>
    <row r="1025" spans="4:4" x14ac:dyDescent="0.25">
      <c r="D1025" s="57"/>
    </row>
    <row r="1026" spans="4:4" x14ac:dyDescent="0.25">
      <c r="D1026" s="57"/>
    </row>
    <row r="1027" spans="4:4" x14ac:dyDescent="0.25">
      <c r="D1027" s="57"/>
    </row>
    <row r="1028" spans="4:4" x14ac:dyDescent="0.25">
      <c r="D1028" s="57"/>
    </row>
    <row r="1029" spans="4:4" x14ac:dyDescent="0.25">
      <c r="D1029" s="57"/>
    </row>
    <row r="1030" spans="4:4" x14ac:dyDescent="0.25">
      <c r="D1030" s="57"/>
    </row>
    <row r="1031" spans="4:4" x14ac:dyDescent="0.25">
      <c r="D1031" s="57"/>
    </row>
    <row r="1032" spans="4:4" x14ac:dyDescent="0.25">
      <c r="D1032" s="57"/>
    </row>
    <row r="1033" spans="4:4" x14ac:dyDescent="0.25">
      <c r="D1033" s="57"/>
    </row>
    <row r="1034" spans="4:4" x14ac:dyDescent="0.25">
      <c r="D1034" s="57"/>
    </row>
    <row r="1035" spans="4:4" x14ac:dyDescent="0.25">
      <c r="D1035" s="57"/>
    </row>
    <row r="1036" spans="4:4" x14ac:dyDescent="0.25">
      <c r="D1036" s="57"/>
    </row>
    <row r="1037" spans="4:4" x14ac:dyDescent="0.25">
      <c r="D1037" s="57"/>
    </row>
    <row r="1038" spans="4:4" x14ac:dyDescent="0.25">
      <c r="D1038" s="57"/>
    </row>
    <row r="1039" spans="4:4" x14ac:dyDescent="0.25">
      <c r="D1039" s="57"/>
    </row>
    <row r="1040" spans="4:4" x14ac:dyDescent="0.25">
      <c r="D1040" s="57"/>
    </row>
    <row r="1041" spans="4:4" x14ac:dyDescent="0.25">
      <c r="D1041" s="57"/>
    </row>
    <row r="1042" spans="4:4" x14ac:dyDescent="0.25">
      <c r="D1042" s="57"/>
    </row>
    <row r="1043" spans="4:4" x14ac:dyDescent="0.25">
      <c r="D1043" s="57"/>
    </row>
    <row r="1044" spans="4:4" x14ac:dyDescent="0.25">
      <c r="D1044" s="57"/>
    </row>
    <row r="1045" spans="4:4" x14ac:dyDescent="0.25">
      <c r="D1045" s="57"/>
    </row>
    <row r="1046" spans="4:4" x14ac:dyDescent="0.25">
      <c r="D1046" s="57"/>
    </row>
    <row r="1047" spans="4:4" x14ac:dyDescent="0.25">
      <c r="D1047" s="57"/>
    </row>
    <row r="1048" spans="4:4" x14ac:dyDescent="0.25">
      <c r="D1048" s="57"/>
    </row>
    <row r="1049" spans="4:4" x14ac:dyDescent="0.25">
      <c r="D1049" s="57"/>
    </row>
    <row r="1050" spans="4:4" x14ac:dyDescent="0.25">
      <c r="D1050" s="57"/>
    </row>
    <row r="1051" spans="4:4" x14ac:dyDescent="0.25">
      <c r="D1051" s="57"/>
    </row>
    <row r="1052" spans="4:4" x14ac:dyDescent="0.25">
      <c r="D1052" s="57"/>
    </row>
    <row r="1053" spans="4:4" x14ac:dyDescent="0.25">
      <c r="D1053" s="57"/>
    </row>
    <row r="1054" spans="4:4" x14ac:dyDescent="0.25">
      <c r="D1054" s="57"/>
    </row>
    <row r="1055" spans="4:4" x14ac:dyDescent="0.25">
      <c r="D1055" s="57"/>
    </row>
    <row r="1056" spans="4:4" x14ac:dyDescent="0.25">
      <c r="D1056" s="57"/>
    </row>
    <row r="1057" spans="4:4" x14ac:dyDescent="0.25">
      <c r="D1057" s="57"/>
    </row>
    <row r="1058" spans="4:4" x14ac:dyDescent="0.25">
      <c r="D1058" s="57"/>
    </row>
    <row r="1059" spans="4:4" x14ac:dyDescent="0.25">
      <c r="D1059" s="57"/>
    </row>
    <row r="1060" spans="4:4" x14ac:dyDescent="0.25">
      <c r="D1060" s="57"/>
    </row>
    <row r="1061" spans="4:4" x14ac:dyDescent="0.25">
      <c r="D1061" s="57"/>
    </row>
    <row r="1062" spans="4:4" x14ac:dyDescent="0.25">
      <c r="D1062" s="57"/>
    </row>
    <row r="1063" spans="4:4" x14ac:dyDescent="0.25">
      <c r="D1063" s="57"/>
    </row>
    <row r="1064" spans="4:4" x14ac:dyDescent="0.25">
      <c r="D1064" s="57"/>
    </row>
    <row r="1065" spans="4:4" x14ac:dyDescent="0.25">
      <c r="D1065" s="57"/>
    </row>
    <row r="1066" spans="4:4" x14ac:dyDescent="0.25">
      <c r="D1066" s="57"/>
    </row>
    <row r="1067" spans="4:4" x14ac:dyDescent="0.25">
      <c r="D1067" s="57"/>
    </row>
    <row r="1068" spans="4:4" x14ac:dyDescent="0.25">
      <c r="D1068" s="57"/>
    </row>
    <row r="1069" spans="4:4" x14ac:dyDescent="0.25">
      <c r="D1069" s="57"/>
    </row>
    <row r="1070" spans="4:4" x14ac:dyDescent="0.25">
      <c r="D1070" s="57"/>
    </row>
    <row r="1071" spans="4:4" x14ac:dyDescent="0.25">
      <c r="D1071" s="57"/>
    </row>
    <row r="1072" spans="4:4" x14ac:dyDescent="0.25">
      <c r="D1072" s="57"/>
    </row>
    <row r="1073" spans="4:4" x14ac:dyDescent="0.25">
      <c r="D1073" s="57"/>
    </row>
    <row r="1074" spans="4:4" x14ac:dyDescent="0.25">
      <c r="D1074" s="57"/>
    </row>
    <row r="1075" spans="4:4" x14ac:dyDescent="0.25">
      <c r="D1075" s="57"/>
    </row>
    <row r="1076" spans="4:4" x14ac:dyDescent="0.25">
      <c r="D1076" s="57"/>
    </row>
    <row r="1077" spans="4:4" x14ac:dyDescent="0.25">
      <c r="D1077" s="57"/>
    </row>
    <row r="1078" spans="4:4" x14ac:dyDescent="0.25">
      <c r="D1078" s="57"/>
    </row>
    <row r="1079" spans="4:4" x14ac:dyDescent="0.25">
      <c r="D1079" s="57"/>
    </row>
    <row r="1080" spans="4:4" x14ac:dyDescent="0.25">
      <c r="D1080" s="57"/>
    </row>
    <row r="1081" spans="4:4" x14ac:dyDescent="0.25">
      <c r="D1081" s="57"/>
    </row>
    <row r="1082" spans="4:4" x14ac:dyDescent="0.25">
      <c r="D1082" s="57"/>
    </row>
    <row r="1083" spans="4:4" x14ac:dyDescent="0.25">
      <c r="D1083" s="57"/>
    </row>
    <row r="1084" spans="4:4" x14ac:dyDescent="0.25">
      <c r="D1084" s="57"/>
    </row>
    <row r="1085" spans="4:4" x14ac:dyDescent="0.25">
      <c r="D1085" s="57"/>
    </row>
    <row r="1086" spans="4:4" x14ac:dyDescent="0.25">
      <c r="D1086" s="57"/>
    </row>
    <row r="1087" spans="4:4" x14ac:dyDescent="0.25">
      <c r="D1087" s="57"/>
    </row>
    <row r="1088" spans="4:4" x14ac:dyDescent="0.25">
      <c r="D1088" s="57"/>
    </row>
    <row r="1089" spans="4:4" x14ac:dyDescent="0.25">
      <c r="D1089" s="57"/>
    </row>
    <row r="1090" spans="4:4" x14ac:dyDescent="0.25">
      <c r="D1090" s="57"/>
    </row>
    <row r="1091" spans="4:4" x14ac:dyDescent="0.25">
      <c r="D1091" s="57"/>
    </row>
    <row r="1092" spans="4:4" x14ac:dyDescent="0.25">
      <c r="D1092" s="57"/>
    </row>
    <row r="1093" spans="4:4" x14ac:dyDescent="0.25">
      <c r="D1093" s="57"/>
    </row>
    <row r="1094" spans="4:4" x14ac:dyDescent="0.25">
      <c r="D1094" s="57"/>
    </row>
    <row r="1095" spans="4:4" x14ac:dyDescent="0.25">
      <c r="D1095" s="57"/>
    </row>
    <row r="1096" spans="4:4" x14ac:dyDescent="0.25">
      <c r="D1096" s="57"/>
    </row>
    <row r="1097" spans="4:4" x14ac:dyDescent="0.25">
      <c r="D1097" s="57"/>
    </row>
    <row r="1098" spans="4:4" x14ac:dyDescent="0.25">
      <c r="D1098" s="57"/>
    </row>
    <row r="1099" spans="4:4" x14ac:dyDescent="0.25">
      <c r="D1099" s="57"/>
    </row>
    <row r="1100" spans="4:4" x14ac:dyDescent="0.25">
      <c r="D1100" s="57"/>
    </row>
    <row r="1101" spans="4:4" x14ac:dyDescent="0.25">
      <c r="D1101" s="57"/>
    </row>
    <row r="1102" spans="4:4" x14ac:dyDescent="0.25">
      <c r="D1102" s="57"/>
    </row>
    <row r="1103" spans="4:4" x14ac:dyDescent="0.25">
      <c r="D1103" s="57"/>
    </row>
    <row r="1104" spans="4:4" x14ac:dyDescent="0.25">
      <c r="D1104" s="57"/>
    </row>
    <row r="1105" spans="4:4" x14ac:dyDescent="0.25">
      <c r="D1105" s="57"/>
    </row>
    <row r="1106" spans="4:4" x14ac:dyDescent="0.25">
      <c r="D1106" s="57"/>
    </row>
    <row r="1107" spans="4:4" x14ac:dyDescent="0.25">
      <c r="D1107" s="57"/>
    </row>
    <row r="1108" spans="4:4" x14ac:dyDescent="0.25">
      <c r="D1108" s="57"/>
    </row>
    <row r="1109" spans="4:4" x14ac:dyDescent="0.25">
      <c r="D1109" s="57"/>
    </row>
    <row r="1110" spans="4:4" x14ac:dyDescent="0.25">
      <c r="D1110" s="57"/>
    </row>
    <row r="1111" spans="4:4" x14ac:dyDescent="0.25">
      <c r="D1111" s="57"/>
    </row>
    <row r="1112" spans="4:4" x14ac:dyDescent="0.25">
      <c r="D1112" s="57"/>
    </row>
    <row r="1113" spans="4:4" x14ac:dyDescent="0.25">
      <c r="D1113" s="57"/>
    </row>
    <row r="1114" spans="4:4" x14ac:dyDescent="0.25">
      <c r="D1114" s="57"/>
    </row>
    <row r="1115" spans="4:4" x14ac:dyDescent="0.25">
      <c r="D1115" s="57"/>
    </row>
    <row r="1116" spans="4:4" x14ac:dyDescent="0.25">
      <c r="D1116" s="57"/>
    </row>
    <row r="1117" spans="4:4" x14ac:dyDescent="0.25">
      <c r="D1117" s="57"/>
    </row>
    <row r="1118" spans="4:4" x14ac:dyDescent="0.25">
      <c r="D1118" s="57"/>
    </row>
    <row r="1119" spans="4:4" x14ac:dyDescent="0.25">
      <c r="D1119" s="57"/>
    </row>
    <row r="1120" spans="4:4" x14ac:dyDescent="0.25">
      <c r="D1120" s="57"/>
    </row>
    <row r="1121" spans="4:4" x14ac:dyDescent="0.25">
      <c r="D1121" s="57"/>
    </row>
    <row r="1122" spans="4:4" x14ac:dyDescent="0.25">
      <c r="D1122" s="57"/>
    </row>
    <row r="1123" spans="4:4" x14ac:dyDescent="0.25">
      <c r="D1123" s="57"/>
    </row>
    <row r="1124" spans="4:4" x14ac:dyDescent="0.25">
      <c r="D1124" s="57"/>
    </row>
    <row r="1125" spans="4:4" x14ac:dyDescent="0.25">
      <c r="D1125" s="57"/>
    </row>
    <row r="1126" spans="4:4" x14ac:dyDescent="0.25">
      <c r="D1126" s="57"/>
    </row>
    <row r="1127" spans="4:4" x14ac:dyDescent="0.25">
      <c r="D1127" s="57"/>
    </row>
    <row r="1128" spans="4:4" x14ac:dyDescent="0.25">
      <c r="D1128" s="57"/>
    </row>
    <row r="1129" spans="4:4" x14ac:dyDescent="0.25">
      <c r="D1129" s="57"/>
    </row>
    <row r="1130" spans="4:4" x14ac:dyDescent="0.25">
      <c r="D1130" s="57"/>
    </row>
    <row r="1131" spans="4:4" x14ac:dyDescent="0.25">
      <c r="D1131" s="57"/>
    </row>
    <row r="1132" spans="4:4" x14ac:dyDescent="0.25">
      <c r="D1132" s="57"/>
    </row>
    <row r="1133" spans="4:4" x14ac:dyDescent="0.25">
      <c r="D1133" s="57"/>
    </row>
    <row r="1134" spans="4:4" x14ac:dyDescent="0.25">
      <c r="D1134" s="57"/>
    </row>
    <row r="1135" spans="4:4" x14ac:dyDescent="0.25">
      <c r="D1135" s="57"/>
    </row>
    <row r="1136" spans="4:4" x14ac:dyDescent="0.25">
      <c r="D1136" s="57"/>
    </row>
    <row r="1137" spans="4:4" x14ac:dyDescent="0.25">
      <c r="D1137" s="57"/>
    </row>
    <row r="1138" spans="4:4" x14ac:dyDescent="0.25">
      <c r="D1138" s="57"/>
    </row>
    <row r="1139" spans="4:4" x14ac:dyDescent="0.25">
      <c r="D1139" s="57"/>
    </row>
    <row r="1140" spans="4:4" x14ac:dyDescent="0.25">
      <c r="D1140" s="57"/>
    </row>
    <row r="1141" spans="4:4" x14ac:dyDescent="0.25">
      <c r="D1141" s="57"/>
    </row>
    <row r="1142" spans="4:4" x14ac:dyDescent="0.25">
      <c r="D1142" s="57"/>
    </row>
    <row r="1143" spans="4:4" x14ac:dyDescent="0.25">
      <c r="D1143" s="57"/>
    </row>
    <row r="1144" spans="4:4" x14ac:dyDescent="0.25">
      <c r="D1144" s="57"/>
    </row>
    <row r="1145" spans="4:4" x14ac:dyDescent="0.25">
      <c r="D1145" s="57"/>
    </row>
    <row r="1146" spans="4:4" x14ac:dyDescent="0.25">
      <c r="D1146" s="57"/>
    </row>
    <row r="1147" spans="4:4" x14ac:dyDescent="0.25">
      <c r="D1147" s="57"/>
    </row>
    <row r="1148" spans="4:4" x14ac:dyDescent="0.25">
      <c r="D1148" s="57"/>
    </row>
    <row r="1149" spans="4:4" x14ac:dyDescent="0.25">
      <c r="D1149" s="57"/>
    </row>
    <row r="1150" spans="4:4" x14ac:dyDescent="0.25">
      <c r="D1150" s="57"/>
    </row>
    <row r="1151" spans="4:4" x14ac:dyDescent="0.25">
      <c r="D1151" s="57"/>
    </row>
    <row r="1152" spans="4:4" x14ac:dyDescent="0.25">
      <c r="D1152" s="57"/>
    </row>
    <row r="1153" spans="4:4" x14ac:dyDescent="0.25">
      <c r="D1153" s="57"/>
    </row>
    <row r="1154" spans="4:4" x14ac:dyDescent="0.25">
      <c r="D1154" s="57"/>
    </row>
    <row r="1155" spans="4:4" x14ac:dyDescent="0.25">
      <c r="D1155" s="57"/>
    </row>
    <row r="1156" spans="4:4" x14ac:dyDescent="0.25">
      <c r="D1156" s="57"/>
    </row>
    <row r="1157" spans="4:4" x14ac:dyDescent="0.25">
      <c r="D1157" s="57"/>
    </row>
    <row r="1158" spans="4:4" x14ac:dyDescent="0.25">
      <c r="D1158" s="57"/>
    </row>
    <row r="1159" spans="4:4" x14ac:dyDescent="0.25">
      <c r="D1159" s="57"/>
    </row>
    <row r="1160" spans="4:4" x14ac:dyDescent="0.25">
      <c r="D1160" s="57"/>
    </row>
    <row r="1161" spans="4:4" x14ac:dyDescent="0.25">
      <c r="D1161" s="57"/>
    </row>
    <row r="1162" spans="4:4" x14ac:dyDescent="0.25">
      <c r="D1162" s="57"/>
    </row>
    <row r="1163" spans="4:4" x14ac:dyDescent="0.25">
      <c r="D1163" s="57"/>
    </row>
    <row r="1164" spans="4:4" x14ac:dyDescent="0.25">
      <c r="D1164" s="57"/>
    </row>
    <row r="1165" spans="4:4" x14ac:dyDescent="0.25">
      <c r="D1165" s="57"/>
    </row>
    <row r="1166" spans="4:4" x14ac:dyDescent="0.25">
      <c r="D1166" s="57"/>
    </row>
    <row r="1167" spans="4:4" x14ac:dyDescent="0.25">
      <c r="D1167" s="57"/>
    </row>
    <row r="1168" spans="4:4" x14ac:dyDescent="0.25">
      <c r="D1168" s="57"/>
    </row>
    <row r="1169" spans="4:4" x14ac:dyDescent="0.25">
      <c r="D1169" s="57"/>
    </row>
    <row r="1170" spans="4:4" x14ac:dyDescent="0.25">
      <c r="D1170" s="57"/>
    </row>
    <row r="1171" spans="4:4" x14ac:dyDescent="0.25">
      <c r="D1171" s="57"/>
    </row>
    <row r="1172" spans="4:4" x14ac:dyDescent="0.25">
      <c r="D1172" s="57"/>
    </row>
    <row r="1173" spans="4:4" x14ac:dyDescent="0.25">
      <c r="D1173" s="57"/>
    </row>
    <row r="1174" spans="4:4" x14ac:dyDescent="0.25">
      <c r="D1174" s="57"/>
    </row>
    <row r="1175" spans="4:4" x14ac:dyDescent="0.25">
      <c r="D1175" s="57"/>
    </row>
    <row r="1176" spans="4:4" x14ac:dyDescent="0.25">
      <c r="D1176" s="57"/>
    </row>
    <row r="1177" spans="4:4" x14ac:dyDescent="0.25">
      <c r="D1177" s="57"/>
    </row>
    <row r="1178" spans="4:4" x14ac:dyDescent="0.25">
      <c r="D1178" s="57"/>
    </row>
    <row r="1179" spans="4:4" x14ac:dyDescent="0.25">
      <c r="D1179" s="57"/>
    </row>
    <row r="1180" spans="4:4" x14ac:dyDescent="0.25">
      <c r="D1180" s="57"/>
    </row>
    <row r="1181" spans="4:4" x14ac:dyDescent="0.25">
      <c r="D1181" s="57"/>
    </row>
    <row r="1182" spans="4:4" x14ac:dyDescent="0.25">
      <c r="D1182" s="57"/>
    </row>
    <row r="1183" spans="4:4" x14ac:dyDescent="0.25">
      <c r="D1183" s="57"/>
    </row>
    <row r="1184" spans="4:4" x14ac:dyDescent="0.25">
      <c r="D1184" s="57"/>
    </row>
    <row r="1185" spans="4:4" x14ac:dyDescent="0.25">
      <c r="D1185" s="57"/>
    </row>
    <row r="1186" spans="4:4" x14ac:dyDescent="0.25">
      <c r="D1186" s="57"/>
    </row>
    <row r="1187" spans="4:4" x14ac:dyDescent="0.25">
      <c r="D1187" s="57"/>
    </row>
    <row r="1188" spans="4:4" x14ac:dyDescent="0.25">
      <c r="D1188" s="57"/>
    </row>
    <row r="1189" spans="4:4" x14ac:dyDescent="0.25">
      <c r="D1189" s="57"/>
    </row>
    <row r="1190" spans="4:4" x14ac:dyDescent="0.25">
      <c r="D1190" s="57"/>
    </row>
    <row r="1191" spans="4:4" x14ac:dyDescent="0.25">
      <c r="D1191" s="57"/>
    </row>
    <row r="1192" spans="4:4" x14ac:dyDescent="0.25">
      <c r="D1192" s="57"/>
    </row>
    <row r="1193" spans="4:4" x14ac:dyDescent="0.25">
      <c r="D1193" s="57"/>
    </row>
    <row r="1194" spans="4:4" x14ac:dyDescent="0.25">
      <c r="D1194" s="57"/>
    </row>
    <row r="1195" spans="4:4" x14ac:dyDescent="0.25">
      <c r="D1195" s="57"/>
    </row>
    <row r="1196" spans="4:4" x14ac:dyDescent="0.25">
      <c r="D1196" s="57"/>
    </row>
    <row r="1197" spans="4:4" x14ac:dyDescent="0.25">
      <c r="D1197" s="57"/>
    </row>
    <row r="1198" spans="4:4" x14ac:dyDescent="0.25">
      <c r="D1198" s="57"/>
    </row>
    <row r="1199" spans="4:4" x14ac:dyDescent="0.25">
      <c r="D1199" s="57"/>
    </row>
    <row r="1200" spans="4:4" x14ac:dyDescent="0.25">
      <c r="D1200" s="57"/>
    </row>
    <row r="1201" spans="4:4" x14ac:dyDescent="0.25">
      <c r="D1201" s="57"/>
    </row>
    <row r="1202" spans="4:4" x14ac:dyDescent="0.25">
      <c r="D1202" s="57"/>
    </row>
    <row r="1203" spans="4:4" x14ac:dyDescent="0.25">
      <c r="D1203" s="57"/>
    </row>
    <row r="1204" spans="4:4" x14ac:dyDescent="0.25">
      <c r="D1204" s="57"/>
    </row>
    <row r="1205" spans="4:4" x14ac:dyDescent="0.25">
      <c r="D1205" s="57"/>
    </row>
    <row r="1206" spans="4:4" x14ac:dyDescent="0.25">
      <c r="D1206" s="57"/>
    </row>
    <row r="1207" spans="4:4" x14ac:dyDescent="0.25">
      <c r="D1207" s="57"/>
    </row>
    <row r="1208" spans="4:4" x14ac:dyDescent="0.25">
      <c r="D1208" s="57"/>
    </row>
    <row r="1209" spans="4:4" x14ac:dyDescent="0.25">
      <c r="D1209" s="57"/>
    </row>
    <row r="1210" spans="4:4" x14ac:dyDescent="0.25">
      <c r="D1210" s="57"/>
    </row>
    <row r="1211" spans="4:4" x14ac:dyDescent="0.25">
      <c r="D1211" s="57"/>
    </row>
    <row r="1212" spans="4:4" x14ac:dyDescent="0.25">
      <c r="D1212" s="57"/>
    </row>
    <row r="1213" spans="4:4" x14ac:dyDescent="0.25">
      <c r="D1213" s="57"/>
    </row>
    <row r="1214" spans="4:4" x14ac:dyDescent="0.25">
      <c r="D1214" s="57"/>
    </row>
    <row r="1215" spans="4:4" x14ac:dyDescent="0.25">
      <c r="D1215" s="57"/>
    </row>
    <row r="1216" spans="4:4" x14ac:dyDescent="0.25">
      <c r="D1216" s="57"/>
    </row>
    <row r="1217" spans="4:4" x14ac:dyDescent="0.25">
      <c r="D1217" s="57"/>
    </row>
    <row r="1218" spans="4:4" x14ac:dyDescent="0.25">
      <c r="D1218" s="57"/>
    </row>
    <row r="1219" spans="4:4" x14ac:dyDescent="0.25">
      <c r="D1219" s="57"/>
    </row>
    <row r="1220" spans="4:4" x14ac:dyDescent="0.25">
      <c r="D1220" s="57"/>
    </row>
    <row r="1221" spans="4:4" x14ac:dyDescent="0.25">
      <c r="D1221" s="57"/>
    </row>
    <row r="1222" spans="4:4" x14ac:dyDescent="0.25">
      <c r="D1222" s="57"/>
    </row>
    <row r="1223" spans="4:4" x14ac:dyDescent="0.25">
      <c r="D1223" s="57"/>
    </row>
    <row r="1224" spans="4:4" x14ac:dyDescent="0.25">
      <c r="D1224" s="57"/>
    </row>
    <row r="1225" spans="4:4" x14ac:dyDescent="0.25">
      <c r="D1225" s="57"/>
    </row>
    <row r="1226" spans="4:4" x14ac:dyDescent="0.25">
      <c r="D1226" s="57"/>
    </row>
    <row r="1227" spans="4:4" x14ac:dyDescent="0.25">
      <c r="D1227" s="57"/>
    </row>
    <row r="1228" spans="4:4" x14ac:dyDescent="0.25">
      <c r="D1228" s="57"/>
    </row>
    <row r="1229" spans="4:4" x14ac:dyDescent="0.25">
      <c r="D1229" s="57"/>
    </row>
    <row r="1230" spans="4:4" x14ac:dyDescent="0.25">
      <c r="D1230" s="57"/>
    </row>
    <row r="1231" spans="4:4" x14ac:dyDescent="0.25">
      <c r="D1231" s="57"/>
    </row>
    <row r="1232" spans="4:4" x14ac:dyDescent="0.25">
      <c r="D1232" s="57"/>
    </row>
    <row r="1233" spans="4:4" x14ac:dyDescent="0.25">
      <c r="D1233" s="57"/>
    </row>
    <row r="1234" spans="4:4" x14ac:dyDescent="0.25">
      <c r="D1234" s="57"/>
    </row>
    <row r="1235" spans="4:4" x14ac:dyDescent="0.25">
      <c r="D1235" s="57"/>
    </row>
    <row r="1236" spans="4:4" x14ac:dyDescent="0.25">
      <c r="D1236" s="57"/>
    </row>
    <row r="1237" spans="4:4" x14ac:dyDescent="0.25">
      <c r="D1237" s="57"/>
    </row>
    <row r="1238" spans="4:4" x14ac:dyDescent="0.25">
      <c r="D1238" s="57"/>
    </row>
    <row r="1239" spans="4:4" x14ac:dyDescent="0.25">
      <c r="D1239" s="57"/>
    </row>
    <row r="1240" spans="4:4" x14ac:dyDescent="0.25">
      <c r="D1240" s="57"/>
    </row>
    <row r="1241" spans="4:4" x14ac:dyDescent="0.25">
      <c r="D1241" s="57"/>
    </row>
    <row r="1242" spans="4:4" x14ac:dyDescent="0.25">
      <c r="D1242" s="57"/>
    </row>
    <row r="1243" spans="4:4" x14ac:dyDescent="0.25">
      <c r="D1243" s="57"/>
    </row>
    <row r="1244" spans="4:4" x14ac:dyDescent="0.25">
      <c r="D1244" s="57"/>
    </row>
    <row r="1245" spans="4:4" x14ac:dyDescent="0.25">
      <c r="D1245" s="57"/>
    </row>
    <row r="1246" spans="4:4" x14ac:dyDescent="0.25">
      <c r="D1246" s="57"/>
    </row>
    <row r="1247" spans="4:4" x14ac:dyDescent="0.25">
      <c r="D1247" s="57"/>
    </row>
    <row r="1248" spans="4:4" x14ac:dyDescent="0.25">
      <c r="D1248" s="57"/>
    </row>
    <row r="1249" spans="4:4" x14ac:dyDescent="0.25">
      <c r="D1249" s="57"/>
    </row>
    <row r="1250" spans="4:4" x14ac:dyDescent="0.25">
      <c r="D1250" s="57"/>
    </row>
    <row r="1251" spans="4:4" x14ac:dyDescent="0.25">
      <c r="D1251" s="57"/>
    </row>
    <row r="1252" spans="4:4" x14ac:dyDescent="0.25">
      <c r="D1252" s="57"/>
    </row>
    <row r="1253" spans="4:4" x14ac:dyDescent="0.25">
      <c r="D1253" s="57"/>
    </row>
    <row r="1254" spans="4:4" x14ac:dyDescent="0.25">
      <c r="D1254" s="57"/>
    </row>
    <row r="1255" spans="4:4" x14ac:dyDescent="0.25">
      <c r="D1255" s="57"/>
    </row>
    <row r="1256" spans="4:4" x14ac:dyDescent="0.25">
      <c r="D1256" s="57"/>
    </row>
    <row r="1257" spans="4:4" x14ac:dyDescent="0.25">
      <c r="D1257" s="57"/>
    </row>
    <row r="1258" spans="4:4" x14ac:dyDescent="0.25">
      <c r="D1258" s="57"/>
    </row>
    <row r="1259" spans="4:4" x14ac:dyDescent="0.25">
      <c r="D1259" s="57"/>
    </row>
    <row r="1260" spans="4:4" x14ac:dyDescent="0.25">
      <c r="D1260" s="57"/>
    </row>
    <row r="1261" spans="4:4" x14ac:dyDescent="0.25">
      <c r="D1261" s="57"/>
    </row>
    <row r="1262" spans="4:4" x14ac:dyDescent="0.25">
      <c r="D1262" s="57"/>
    </row>
    <row r="1263" spans="4:4" x14ac:dyDescent="0.25">
      <c r="D1263" s="57"/>
    </row>
    <row r="1264" spans="4:4" x14ac:dyDescent="0.25">
      <c r="D1264" s="57"/>
    </row>
    <row r="1265" spans="4:4" x14ac:dyDescent="0.25">
      <c r="D1265" s="57"/>
    </row>
    <row r="1266" spans="4:4" x14ac:dyDescent="0.25">
      <c r="D1266" s="57"/>
    </row>
    <row r="1267" spans="4:4" x14ac:dyDescent="0.25">
      <c r="D1267" s="57"/>
    </row>
    <row r="1268" spans="4:4" x14ac:dyDescent="0.25">
      <c r="D1268" s="57"/>
    </row>
    <row r="1269" spans="4:4" x14ac:dyDescent="0.25">
      <c r="D1269" s="57"/>
    </row>
    <row r="1270" spans="4:4" x14ac:dyDescent="0.25">
      <c r="D1270" s="57"/>
    </row>
    <row r="1271" spans="4:4" x14ac:dyDescent="0.25">
      <c r="D1271" s="57"/>
    </row>
    <row r="1272" spans="4:4" x14ac:dyDescent="0.25">
      <c r="D1272" s="57"/>
    </row>
    <row r="1273" spans="4:4" x14ac:dyDescent="0.25">
      <c r="D1273" s="57"/>
    </row>
    <row r="1274" spans="4:4" x14ac:dyDescent="0.25">
      <c r="D1274" s="57"/>
    </row>
    <row r="1275" spans="4:4" x14ac:dyDescent="0.25">
      <c r="D1275" s="57"/>
    </row>
    <row r="1276" spans="4:4" x14ac:dyDescent="0.25">
      <c r="D1276" s="57"/>
    </row>
    <row r="1277" spans="4:4" x14ac:dyDescent="0.25">
      <c r="D1277" s="57"/>
    </row>
    <row r="1278" spans="4:4" x14ac:dyDescent="0.25">
      <c r="D1278" s="57"/>
    </row>
    <row r="1279" spans="4:4" x14ac:dyDescent="0.25">
      <c r="D1279" s="57"/>
    </row>
    <row r="1280" spans="4:4" x14ac:dyDescent="0.25">
      <c r="D1280" s="57"/>
    </row>
    <row r="1281" spans="4:4" x14ac:dyDescent="0.25">
      <c r="D1281" s="57"/>
    </row>
    <row r="1282" spans="4:4" x14ac:dyDescent="0.25">
      <c r="D1282" s="57"/>
    </row>
    <row r="1283" spans="4:4" x14ac:dyDescent="0.25">
      <c r="D1283" s="57"/>
    </row>
    <row r="1284" spans="4:4" x14ac:dyDescent="0.25">
      <c r="D1284" s="57"/>
    </row>
    <row r="1285" spans="4:4" x14ac:dyDescent="0.25">
      <c r="D1285" s="57"/>
    </row>
    <row r="1286" spans="4:4" x14ac:dyDescent="0.25">
      <c r="D1286" s="57"/>
    </row>
    <row r="1287" spans="4:4" x14ac:dyDescent="0.25">
      <c r="D1287" s="57"/>
    </row>
    <row r="1288" spans="4:4" x14ac:dyDescent="0.25">
      <c r="D1288" s="57"/>
    </row>
    <row r="1289" spans="4:4" x14ac:dyDescent="0.25">
      <c r="D1289" s="57"/>
    </row>
    <row r="1290" spans="4:4" x14ac:dyDescent="0.25">
      <c r="D1290" s="57"/>
    </row>
    <row r="1291" spans="4:4" x14ac:dyDescent="0.25">
      <c r="D1291" s="57"/>
    </row>
    <row r="1292" spans="4:4" x14ac:dyDescent="0.25">
      <c r="D1292" s="57"/>
    </row>
    <row r="1293" spans="4:4" x14ac:dyDescent="0.25">
      <c r="D1293" s="57"/>
    </row>
    <row r="1294" spans="4:4" x14ac:dyDescent="0.25">
      <c r="D1294" s="57"/>
    </row>
    <row r="1295" spans="4:4" x14ac:dyDescent="0.25">
      <c r="D1295" s="57"/>
    </row>
    <row r="1296" spans="4:4" x14ac:dyDescent="0.25">
      <c r="D1296" s="57"/>
    </row>
    <row r="1297" spans="4:4" x14ac:dyDescent="0.25">
      <c r="D1297" s="57"/>
    </row>
    <row r="1298" spans="4:4" x14ac:dyDescent="0.25">
      <c r="D1298" s="57"/>
    </row>
    <row r="1299" spans="4:4" x14ac:dyDescent="0.25">
      <c r="D1299" s="57"/>
    </row>
    <row r="1300" spans="4:4" x14ac:dyDescent="0.25">
      <c r="D1300" s="57"/>
    </row>
    <row r="1301" spans="4:4" x14ac:dyDescent="0.25">
      <c r="D1301" s="57"/>
    </row>
    <row r="1302" spans="4:4" x14ac:dyDescent="0.25">
      <c r="D1302" s="57"/>
    </row>
    <row r="1303" spans="4:4" x14ac:dyDescent="0.25">
      <c r="D1303" s="57"/>
    </row>
    <row r="1304" spans="4:4" x14ac:dyDescent="0.25">
      <c r="D1304" s="57"/>
    </row>
    <row r="1305" spans="4:4" x14ac:dyDescent="0.25">
      <c r="D1305" s="57"/>
    </row>
    <row r="1306" spans="4:4" x14ac:dyDescent="0.25">
      <c r="D1306" s="57"/>
    </row>
    <row r="1307" spans="4:4" x14ac:dyDescent="0.25">
      <c r="D1307" s="57"/>
    </row>
    <row r="1308" spans="4:4" x14ac:dyDescent="0.25">
      <c r="D1308" s="57"/>
    </row>
    <row r="1309" spans="4:4" x14ac:dyDescent="0.25">
      <c r="D1309" s="57"/>
    </row>
    <row r="1310" spans="4:4" x14ac:dyDescent="0.25">
      <c r="D1310" s="57"/>
    </row>
    <row r="1311" spans="4:4" x14ac:dyDescent="0.25">
      <c r="D1311" s="57"/>
    </row>
    <row r="1312" spans="4:4" x14ac:dyDescent="0.25">
      <c r="D1312" s="57"/>
    </row>
    <row r="1313" spans="4:4" x14ac:dyDescent="0.25">
      <c r="D1313" s="57"/>
    </row>
    <row r="1314" spans="4:4" x14ac:dyDescent="0.25">
      <c r="D1314" s="57"/>
    </row>
    <row r="1315" spans="4:4" x14ac:dyDescent="0.25">
      <c r="D1315" s="57"/>
    </row>
    <row r="1316" spans="4:4" x14ac:dyDescent="0.25">
      <c r="D1316" s="57"/>
    </row>
    <row r="1317" spans="4:4" x14ac:dyDescent="0.25">
      <c r="D1317" s="57"/>
    </row>
    <row r="1318" spans="4:4" x14ac:dyDescent="0.25">
      <c r="D1318" s="57"/>
    </row>
    <row r="1319" spans="4:4" x14ac:dyDescent="0.25">
      <c r="D1319" s="57"/>
    </row>
    <row r="1320" spans="4:4" x14ac:dyDescent="0.25">
      <c r="D1320" s="57"/>
    </row>
    <row r="1321" spans="4:4" x14ac:dyDescent="0.25">
      <c r="D1321" s="57"/>
    </row>
    <row r="1322" spans="4:4" x14ac:dyDescent="0.25">
      <c r="D1322" s="57"/>
    </row>
    <row r="1323" spans="4:4" x14ac:dyDescent="0.25">
      <c r="D1323" s="57"/>
    </row>
    <row r="1324" spans="4:4" x14ac:dyDescent="0.25">
      <c r="D1324" s="57"/>
    </row>
    <row r="1325" spans="4:4" x14ac:dyDescent="0.25">
      <c r="D1325" s="57"/>
    </row>
    <row r="1326" spans="4:4" x14ac:dyDescent="0.25">
      <c r="D1326" s="57"/>
    </row>
    <row r="1327" spans="4:4" x14ac:dyDescent="0.25">
      <c r="D1327" s="57"/>
    </row>
    <row r="1328" spans="4:4" x14ac:dyDescent="0.25">
      <c r="D1328" s="57"/>
    </row>
    <row r="1329" spans="4:4" x14ac:dyDescent="0.25">
      <c r="D1329" s="57"/>
    </row>
    <row r="1330" spans="4:4" x14ac:dyDescent="0.25">
      <c r="D1330" s="57"/>
    </row>
    <row r="1331" spans="4:4" x14ac:dyDescent="0.25">
      <c r="D1331" s="57"/>
    </row>
    <row r="1332" spans="4:4" x14ac:dyDescent="0.25">
      <c r="D1332" s="57"/>
    </row>
    <row r="1333" spans="4:4" x14ac:dyDescent="0.25">
      <c r="D1333" s="57"/>
    </row>
    <row r="1334" spans="4:4" x14ac:dyDescent="0.25">
      <c r="D1334" s="57"/>
    </row>
    <row r="1335" spans="4:4" x14ac:dyDescent="0.25">
      <c r="D1335" s="57"/>
    </row>
    <row r="1336" spans="4:4" x14ac:dyDescent="0.25">
      <c r="D1336" s="57"/>
    </row>
    <row r="1337" spans="4:4" x14ac:dyDescent="0.25">
      <c r="D1337" s="57"/>
    </row>
    <row r="1338" spans="4:4" x14ac:dyDescent="0.25">
      <c r="D1338" s="57"/>
    </row>
    <row r="1339" spans="4:4" x14ac:dyDescent="0.25">
      <c r="D1339" s="57"/>
    </row>
    <row r="1340" spans="4:4" x14ac:dyDescent="0.25">
      <c r="D1340" s="57"/>
    </row>
    <row r="1341" spans="4:4" x14ac:dyDescent="0.25">
      <c r="D1341" s="57"/>
    </row>
    <row r="1342" spans="4:4" x14ac:dyDescent="0.25">
      <c r="D1342" s="57"/>
    </row>
    <row r="1343" spans="4:4" x14ac:dyDescent="0.25">
      <c r="D1343" s="57"/>
    </row>
    <row r="1344" spans="4:4" x14ac:dyDescent="0.25">
      <c r="D1344" s="57"/>
    </row>
    <row r="1345" spans="4:4" x14ac:dyDescent="0.25">
      <c r="D1345" s="57"/>
    </row>
    <row r="1346" spans="4:4" x14ac:dyDescent="0.25">
      <c r="D1346" s="57"/>
    </row>
    <row r="1347" spans="4:4" x14ac:dyDescent="0.25">
      <c r="D1347" s="57"/>
    </row>
    <row r="1348" spans="4:4" x14ac:dyDescent="0.25">
      <c r="D1348" s="57"/>
    </row>
    <row r="1349" spans="4:4" x14ac:dyDescent="0.25">
      <c r="D1349" s="57"/>
    </row>
    <row r="1350" spans="4:4" x14ac:dyDescent="0.25">
      <c r="D1350" s="57"/>
    </row>
    <row r="1351" spans="4:4" x14ac:dyDescent="0.25">
      <c r="D1351" s="57"/>
    </row>
    <row r="1352" spans="4:4" x14ac:dyDescent="0.25">
      <c r="D1352" s="57"/>
    </row>
    <row r="1353" spans="4:4" x14ac:dyDescent="0.25">
      <c r="D1353" s="57"/>
    </row>
    <row r="1354" spans="4:4" x14ac:dyDescent="0.25">
      <c r="D1354" s="57"/>
    </row>
    <row r="1355" spans="4:4" x14ac:dyDescent="0.25">
      <c r="D1355" s="57"/>
    </row>
    <row r="1356" spans="4:4" x14ac:dyDescent="0.25">
      <c r="D1356" s="57"/>
    </row>
    <row r="1357" spans="4:4" x14ac:dyDescent="0.25">
      <c r="D1357" s="57"/>
    </row>
    <row r="1358" spans="4:4" x14ac:dyDescent="0.25">
      <c r="D1358" s="57"/>
    </row>
    <row r="1359" spans="4:4" x14ac:dyDescent="0.25">
      <c r="D1359" s="57"/>
    </row>
    <row r="1360" spans="4:4" x14ac:dyDescent="0.25">
      <c r="D1360" s="57"/>
    </row>
    <row r="1361" spans="4:4" x14ac:dyDescent="0.25">
      <c r="D1361" s="57"/>
    </row>
    <row r="1362" spans="4:4" x14ac:dyDescent="0.25">
      <c r="D1362" s="57"/>
    </row>
    <row r="1363" spans="4:4" x14ac:dyDescent="0.25">
      <c r="D1363" s="57"/>
    </row>
    <row r="1364" spans="4:4" x14ac:dyDescent="0.25">
      <c r="D1364" s="57"/>
    </row>
    <row r="1365" spans="4:4" x14ac:dyDescent="0.25">
      <c r="D1365" s="57"/>
    </row>
    <row r="1366" spans="4:4" x14ac:dyDescent="0.25">
      <c r="D1366" s="57"/>
    </row>
    <row r="1367" spans="4:4" x14ac:dyDescent="0.25">
      <c r="D1367" s="57"/>
    </row>
    <row r="1368" spans="4:4" x14ac:dyDescent="0.25">
      <c r="D1368" s="57"/>
    </row>
    <row r="1369" spans="4:4" x14ac:dyDescent="0.25">
      <c r="D1369" s="57"/>
    </row>
    <row r="1370" spans="4:4" x14ac:dyDescent="0.25">
      <c r="D1370" s="57"/>
    </row>
    <row r="1371" spans="4:4" x14ac:dyDescent="0.25">
      <c r="D1371" s="57"/>
    </row>
    <row r="1372" spans="4:4" x14ac:dyDescent="0.25">
      <c r="D1372" s="57"/>
    </row>
    <row r="1373" spans="4:4" x14ac:dyDescent="0.25">
      <c r="D1373" s="57"/>
    </row>
    <row r="1374" spans="4:4" x14ac:dyDescent="0.25">
      <c r="D1374" s="57"/>
    </row>
    <row r="1375" spans="4:4" x14ac:dyDescent="0.25">
      <c r="D1375" s="57"/>
    </row>
    <row r="1376" spans="4:4" x14ac:dyDescent="0.25">
      <c r="D1376" s="57"/>
    </row>
    <row r="1377" spans="4:4" x14ac:dyDescent="0.25">
      <c r="D1377" s="57"/>
    </row>
    <row r="1378" spans="4:4" x14ac:dyDescent="0.25">
      <c r="D1378" s="57"/>
    </row>
    <row r="1379" spans="4:4" x14ac:dyDescent="0.25">
      <c r="D1379" s="57"/>
    </row>
    <row r="1380" spans="4:4" x14ac:dyDescent="0.25">
      <c r="D1380" s="57"/>
    </row>
    <row r="1381" spans="4:4" x14ac:dyDescent="0.25">
      <c r="D1381" s="57"/>
    </row>
    <row r="1382" spans="4:4" x14ac:dyDescent="0.25">
      <c r="D1382" s="57"/>
    </row>
    <row r="1383" spans="4:4" x14ac:dyDescent="0.25">
      <c r="D1383" s="57"/>
    </row>
    <row r="1384" spans="4:4" x14ac:dyDescent="0.25">
      <c r="D1384" s="57"/>
    </row>
    <row r="1385" spans="4:4" x14ac:dyDescent="0.25">
      <c r="D1385" s="57"/>
    </row>
    <row r="1386" spans="4:4" x14ac:dyDescent="0.25">
      <c r="D1386" s="57"/>
    </row>
    <row r="1387" spans="4:4" x14ac:dyDescent="0.25">
      <c r="D1387" s="57"/>
    </row>
    <row r="1388" spans="4:4" x14ac:dyDescent="0.25">
      <c r="D1388" s="5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02120-2A50-457F-B96B-71CBCE0C06B1}">
  <dimension ref="A1:AC1398"/>
  <sheetViews>
    <sheetView topLeftCell="A16" zoomScale="85" zoomScaleNormal="85" workbookViewId="0">
      <selection activeCell="J6" sqref="J6"/>
    </sheetView>
  </sheetViews>
  <sheetFormatPr defaultColWidth="9.140625" defaultRowHeight="15" x14ac:dyDescent="0.25"/>
  <cols>
    <col min="1" max="1" width="11.42578125" style="57" bestFit="1" customWidth="1"/>
    <col min="2" max="2" width="50.7109375" style="150" customWidth="1"/>
    <col min="3" max="3" width="23.42578125" style="57" bestFit="1" customWidth="1"/>
    <col min="4" max="4" width="5" style="57" bestFit="1" customWidth="1"/>
    <col min="5" max="5" width="10.140625" style="57" bestFit="1" customWidth="1"/>
    <col min="6" max="6" width="11.140625" style="57" bestFit="1" customWidth="1"/>
    <col min="7" max="7" width="11.42578125" style="57" bestFit="1" customWidth="1"/>
    <col min="8" max="8" width="11.7109375" style="57" bestFit="1" customWidth="1"/>
    <col min="9" max="9" width="14.140625" style="58" bestFit="1" customWidth="1"/>
    <col min="10" max="10" width="10.85546875" style="57" bestFit="1" customWidth="1"/>
    <col min="11" max="11" width="15.28515625" style="58" customWidth="1"/>
    <col min="12" max="12" width="13.28515625" style="160" bestFit="1" customWidth="1"/>
    <col min="13" max="13" width="10.5703125" style="57" bestFit="1" customWidth="1"/>
    <col min="14" max="16" width="11.5703125" style="57" bestFit="1" customWidth="1"/>
    <col min="17" max="21" width="13.28515625" style="57" bestFit="1" customWidth="1"/>
    <col min="22" max="22" width="13.28515625" style="57" hidden="1" customWidth="1"/>
    <col min="23" max="27" width="13.28515625" style="57" bestFit="1" customWidth="1"/>
    <col min="28" max="28" width="9.140625" style="57"/>
    <col min="29" max="29" width="11.5703125" style="160" bestFit="1" customWidth="1"/>
    <col min="30" max="16384" width="9.140625" style="57"/>
  </cols>
  <sheetData>
    <row r="1" spans="1:28" x14ac:dyDescent="0.25">
      <c r="A1" s="60" t="s">
        <v>742</v>
      </c>
      <c r="B1" s="165" t="s">
        <v>432</v>
      </c>
      <c r="C1" s="60" t="s">
        <v>743</v>
      </c>
      <c r="D1" s="60" t="s">
        <v>3</v>
      </c>
      <c r="E1" s="60" t="s">
        <v>6</v>
      </c>
      <c r="F1" s="60" t="s">
        <v>7</v>
      </c>
      <c r="G1" s="60" t="s">
        <v>744</v>
      </c>
      <c r="H1" s="60" t="s">
        <v>12</v>
      </c>
      <c r="I1" s="46" t="s">
        <v>474</v>
      </c>
      <c r="K1" s="244" t="s">
        <v>1361</v>
      </c>
      <c r="L1" s="246" t="s">
        <v>12</v>
      </c>
      <c r="M1" s="247">
        <v>40817</v>
      </c>
      <c r="N1" s="247">
        <v>40848</v>
      </c>
      <c r="O1" s="247">
        <v>40878</v>
      </c>
      <c r="P1" s="247">
        <v>40909</v>
      </c>
      <c r="Q1" s="247">
        <v>40940</v>
      </c>
      <c r="R1" s="247">
        <v>40969</v>
      </c>
      <c r="S1" s="247">
        <v>41000</v>
      </c>
      <c r="T1" s="247">
        <v>41030</v>
      </c>
      <c r="U1" s="247">
        <v>41061</v>
      </c>
      <c r="V1" s="181">
        <v>41091</v>
      </c>
      <c r="W1" s="181"/>
      <c r="X1" s="181"/>
      <c r="Y1" s="181"/>
      <c r="Z1" s="181"/>
      <c r="AA1" s="181"/>
      <c r="AB1" s="181"/>
    </row>
    <row r="2" spans="1:28" x14ac:dyDescent="0.25">
      <c r="A2" s="166" t="s">
        <v>682</v>
      </c>
      <c r="B2" s="165" t="s">
        <v>745</v>
      </c>
      <c r="C2" s="60" t="s">
        <v>682</v>
      </c>
      <c r="D2" s="60" t="s">
        <v>682</v>
      </c>
      <c r="E2" s="167"/>
      <c r="F2" s="167"/>
      <c r="G2" s="168"/>
      <c r="H2" s="168"/>
      <c r="I2" s="46" t="s">
        <v>682</v>
      </c>
      <c r="J2" s="59"/>
      <c r="K2" s="61" t="s">
        <v>682</v>
      </c>
      <c r="L2" s="243"/>
      <c r="M2" s="143"/>
      <c r="N2" s="143"/>
      <c r="O2" s="143"/>
      <c r="P2" s="143"/>
      <c r="Q2" s="143"/>
      <c r="R2" s="143"/>
      <c r="S2" s="143"/>
      <c r="T2" s="143"/>
      <c r="U2" s="143"/>
    </row>
    <row r="3" spans="1:28" x14ac:dyDescent="0.25">
      <c r="A3" s="154">
        <v>40865</v>
      </c>
      <c r="B3" s="150" t="s">
        <v>746</v>
      </c>
      <c r="C3" s="57" t="s">
        <v>747</v>
      </c>
      <c r="D3" s="57" t="s">
        <v>748</v>
      </c>
      <c r="E3" s="153">
        <v>1</v>
      </c>
      <c r="F3" s="153">
        <v>27510.7</v>
      </c>
      <c r="G3" s="164"/>
      <c r="H3" s="164">
        <v>27510.7</v>
      </c>
      <c r="I3" s="58">
        <v>11</v>
      </c>
      <c r="K3" s="61">
        <v>11</v>
      </c>
      <c r="L3" s="243">
        <f t="shared" ref="L3:L47" si="0">SUMIF(I:I,K3,H:H)</f>
        <v>71680.95</v>
      </c>
      <c r="M3" s="143">
        <f t="shared" ref="M3:U3" si="1">SUMIFS($H:$H,$A:$A,"&lt;"&amp;N$1,$I:$I,$K3)</f>
        <v>0</v>
      </c>
      <c r="N3" s="143">
        <f t="shared" si="1"/>
        <v>27510.7</v>
      </c>
      <c r="O3" s="143">
        <f t="shared" si="1"/>
        <v>49553.2</v>
      </c>
      <c r="P3" s="143">
        <f t="shared" si="1"/>
        <v>63518.2</v>
      </c>
      <c r="Q3" s="143">
        <f t="shared" si="1"/>
        <v>63518.2</v>
      </c>
      <c r="R3" s="143">
        <f t="shared" si="1"/>
        <v>63518.2</v>
      </c>
      <c r="S3" s="143">
        <f t="shared" si="1"/>
        <v>63518.2</v>
      </c>
      <c r="T3" s="143">
        <f t="shared" si="1"/>
        <v>63518.2</v>
      </c>
      <c r="U3" s="143">
        <f t="shared" si="1"/>
        <v>71680.95</v>
      </c>
    </row>
    <row r="4" spans="1:28" x14ac:dyDescent="0.25">
      <c r="A4" s="154">
        <v>40889</v>
      </c>
      <c r="B4" s="150" t="s">
        <v>749</v>
      </c>
      <c r="C4" s="57" t="s">
        <v>747</v>
      </c>
      <c r="D4" s="57" t="s">
        <v>748</v>
      </c>
      <c r="E4" s="153">
        <v>1</v>
      </c>
      <c r="F4" s="153">
        <v>22042.5</v>
      </c>
      <c r="G4" s="164"/>
      <c r="H4" s="164">
        <v>22042.5</v>
      </c>
      <c r="I4" s="58">
        <v>11</v>
      </c>
      <c r="K4" s="61">
        <v>13</v>
      </c>
      <c r="L4" s="243">
        <f t="shared" si="0"/>
        <v>12680</v>
      </c>
      <c r="M4" s="143">
        <f t="shared" ref="M4:U4" si="2">SUMIFS($H:$H,$A:$A,"&lt;"&amp;N$1,$I:$I,$K4)</f>
        <v>200</v>
      </c>
      <c r="N4" s="143">
        <f t="shared" si="2"/>
        <v>350</v>
      </c>
      <c r="O4" s="143">
        <f t="shared" si="2"/>
        <v>350</v>
      </c>
      <c r="P4" s="143">
        <f t="shared" si="2"/>
        <v>350</v>
      </c>
      <c r="Q4" s="143">
        <f t="shared" si="2"/>
        <v>12680</v>
      </c>
      <c r="R4" s="143">
        <f t="shared" si="2"/>
        <v>12680</v>
      </c>
      <c r="S4" s="143">
        <f t="shared" si="2"/>
        <v>12680</v>
      </c>
      <c r="T4" s="143">
        <f t="shared" si="2"/>
        <v>12680</v>
      </c>
      <c r="U4" s="143">
        <f t="shared" si="2"/>
        <v>12680</v>
      </c>
    </row>
    <row r="5" spans="1:28" x14ac:dyDescent="0.25">
      <c r="A5" s="154">
        <v>40927</v>
      </c>
      <c r="B5" s="150" t="s">
        <v>750</v>
      </c>
      <c r="C5" s="57" t="s">
        <v>751</v>
      </c>
      <c r="D5" s="57" t="s">
        <v>748</v>
      </c>
      <c r="E5" s="153">
        <v>1</v>
      </c>
      <c r="F5" s="153">
        <v>13965</v>
      </c>
      <c r="G5" s="164"/>
      <c r="H5" s="164">
        <v>13965</v>
      </c>
      <c r="I5" s="58">
        <v>11</v>
      </c>
      <c r="K5" s="61">
        <v>15</v>
      </c>
      <c r="L5" s="243">
        <f t="shared" si="0"/>
        <v>4080</v>
      </c>
      <c r="M5" s="143">
        <f t="shared" ref="M5:U5" si="3">SUMIFS($H:$H,$A:$A,"&lt;"&amp;N$1,$I:$I,$K5)</f>
        <v>1260</v>
      </c>
      <c r="N5" s="143">
        <f t="shared" si="3"/>
        <v>1260</v>
      </c>
      <c r="O5" s="143">
        <f t="shared" si="3"/>
        <v>3010</v>
      </c>
      <c r="P5" s="143">
        <f t="shared" si="3"/>
        <v>4080</v>
      </c>
      <c r="Q5" s="143">
        <f t="shared" si="3"/>
        <v>4080</v>
      </c>
      <c r="R5" s="143">
        <f t="shared" si="3"/>
        <v>4080</v>
      </c>
      <c r="S5" s="143">
        <f t="shared" si="3"/>
        <v>4080</v>
      </c>
      <c r="T5" s="143">
        <f t="shared" si="3"/>
        <v>4080</v>
      </c>
      <c r="U5" s="143">
        <f t="shared" si="3"/>
        <v>4080</v>
      </c>
    </row>
    <row r="6" spans="1:28" x14ac:dyDescent="0.25">
      <c r="A6" s="154">
        <v>41090</v>
      </c>
      <c r="B6" s="150" t="s">
        <v>752</v>
      </c>
      <c r="C6" s="57" t="s">
        <v>751</v>
      </c>
      <c r="D6" s="57" t="s">
        <v>748</v>
      </c>
      <c r="E6" s="153">
        <v>1</v>
      </c>
      <c r="F6" s="153">
        <v>901.5</v>
      </c>
      <c r="G6" s="164"/>
      <c r="H6" s="164">
        <v>901.5</v>
      </c>
      <c r="I6" s="58">
        <v>11</v>
      </c>
      <c r="K6" s="61">
        <v>21</v>
      </c>
      <c r="L6" s="243">
        <f t="shared" si="0"/>
        <v>1562.9550000000002</v>
      </c>
      <c r="M6" s="143">
        <f t="shared" ref="M6:U6" si="4">SUMIFS($H:$H,$A:$A,"&lt;"&amp;N$1,$I:$I,$K6)</f>
        <v>0</v>
      </c>
      <c r="N6" s="143">
        <f t="shared" si="4"/>
        <v>1520.0050000000001</v>
      </c>
      <c r="O6" s="143">
        <f t="shared" si="4"/>
        <v>1520.0050000000001</v>
      </c>
      <c r="P6" s="143">
        <f t="shared" si="4"/>
        <v>1562.9550000000002</v>
      </c>
      <c r="Q6" s="143">
        <f t="shared" si="4"/>
        <v>1562.9550000000002</v>
      </c>
      <c r="R6" s="143">
        <f t="shared" si="4"/>
        <v>1562.9550000000002</v>
      </c>
      <c r="S6" s="143">
        <f t="shared" si="4"/>
        <v>1562.9550000000002</v>
      </c>
      <c r="T6" s="143">
        <f t="shared" si="4"/>
        <v>1562.9550000000002</v>
      </c>
      <c r="U6" s="143">
        <f t="shared" si="4"/>
        <v>1562.9550000000002</v>
      </c>
    </row>
    <row r="7" spans="1:28" x14ac:dyDescent="0.25">
      <c r="A7" s="154">
        <v>41090</v>
      </c>
      <c r="B7" s="150" t="s">
        <v>753</v>
      </c>
      <c r="C7" s="57" t="s">
        <v>751</v>
      </c>
      <c r="D7" s="57" t="s">
        <v>748</v>
      </c>
      <c r="E7" s="153">
        <v>1</v>
      </c>
      <c r="F7" s="153">
        <v>1975</v>
      </c>
      <c r="G7" s="164"/>
      <c r="H7" s="164">
        <v>1975</v>
      </c>
      <c r="I7" s="58">
        <v>11</v>
      </c>
      <c r="K7" s="61">
        <v>53</v>
      </c>
      <c r="L7" s="243">
        <f t="shared" si="0"/>
        <v>3969.3499999999995</v>
      </c>
      <c r="M7" s="143">
        <f t="shared" ref="M7:U7" si="5">SUMIFS($H:$H,$A:$A,"&lt;"&amp;N$1,$I:$I,$K7)</f>
        <v>0</v>
      </c>
      <c r="N7" s="143">
        <f t="shared" si="5"/>
        <v>2656.7749999999996</v>
      </c>
      <c r="O7" s="143">
        <f t="shared" si="5"/>
        <v>3969.3499999999995</v>
      </c>
      <c r="P7" s="143">
        <f t="shared" si="5"/>
        <v>3969.3499999999995</v>
      </c>
      <c r="Q7" s="143">
        <f t="shared" si="5"/>
        <v>3969.3499999999995</v>
      </c>
      <c r="R7" s="143">
        <f t="shared" si="5"/>
        <v>3969.3499999999995</v>
      </c>
      <c r="S7" s="143">
        <f t="shared" si="5"/>
        <v>3969.3499999999995</v>
      </c>
      <c r="T7" s="143">
        <f t="shared" si="5"/>
        <v>3969.3499999999995</v>
      </c>
      <c r="U7" s="143">
        <f t="shared" si="5"/>
        <v>3969.3499999999995</v>
      </c>
    </row>
    <row r="8" spans="1:28" x14ac:dyDescent="0.25">
      <c r="A8" s="154">
        <v>41090</v>
      </c>
      <c r="B8" s="150" t="s">
        <v>755</v>
      </c>
      <c r="C8" s="57" t="s">
        <v>751</v>
      </c>
      <c r="D8" s="57" t="s">
        <v>748</v>
      </c>
      <c r="E8" s="153">
        <v>1</v>
      </c>
      <c r="F8" s="153">
        <v>3625</v>
      </c>
      <c r="G8" s="164"/>
      <c r="H8" s="164">
        <v>3625</v>
      </c>
      <c r="I8" s="58">
        <v>11</v>
      </c>
      <c r="K8" s="61">
        <v>57</v>
      </c>
      <c r="L8" s="243">
        <f t="shared" si="0"/>
        <v>4381.2250000000004</v>
      </c>
      <c r="M8" s="143">
        <f t="shared" ref="M8:U8" si="6">SUMIFS($H:$H,$A:$A,"&lt;"&amp;N$1,$I:$I,$K8)</f>
        <v>0</v>
      </c>
      <c r="N8" s="143">
        <f t="shared" si="6"/>
        <v>0</v>
      </c>
      <c r="O8" s="143">
        <f t="shared" si="6"/>
        <v>0</v>
      </c>
      <c r="P8" s="143">
        <f t="shared" si="6"/>
        <v>3616.4650000000006</v>
      </c>
      <c r="Q8" s="143">
        <f t="shared" si="6"/>
        <v>3616.4650000000006</v>
      </c>
      <c r="R8" s="143">
        <f t="shared" si="6"/>
        <v>4381.2250000000004</v>
      </c>
      <c r="S8" s="143">
        <f t="shared" si="6"/>
        <v>4381.2250000000004</v>
      </c>
      <c r="T8" s="143">
        <f t="shared" si="6"/>
        <v>4381.2250000000004</v>
      </c>
      <c r="U8" s="143">
        <f t="shared" si="6"/>
        <v>4381.2250000000004</v>
      </c>
    </row>
    <row r="9" spans="1:28" x14ac:dyDescent="0.25">
      <c r="A9" s="154">
        <v>41090</v>
      </c>
      <c r="B9" s="150" t="s">
        <v>682</v>
      </c>
      <c r="C9" s="57" t="s">
        <v>751</v>
      </c>
      <c r="D9" s="57" t="s">
        <v>748</v>
      </c>
      <c r="E9" s="153">
        <v>1</v>
      </c>
      <c r="F9" s="153">
        <v>1661.25</v>
      </c>
      <c r="G9" s="164"/>
      <c r="H9" s="164">
        <v>1661.25</v>
      </c>
      <c r="I9" s="58">
        <v>11</v>
      </c>
      <c r="K9" s="61">
        <v>59</v>
      </c>
      <c r="L9" s="243">
        <f t="shared" si="0"/>
        <v>13518.27</v>
      </c>
      <c r="M9" s="143">
        <f t="shared" ref="M9:U9" si="7">SUMIFS($H:$H,$A:$A,"&lt;"&amp;N$1,$I:$I,$K9)</f>
        <v>0</v>
      </c>
      <c r="N9" s="143">
        <f t="shared" si="7"/>
        <v>4299.5950000000003</v>
      </c>
      <c r="O9" s="143">
        <f t="shared" si="7"/>
        <v>8091.27</v>
      </c>
      <c r="P9" s="143">
        <f t="shared" si="7"/>
        <v>13518.27</v>
      </c>
      <c r="Q9" s="143">
        <f t="shared" si="7"/>
        <v>13518.27</v>
      </c>
      <c r="R9" s="143">
        <f t="shared" si="7"/>
        <v>13518.27</v>
      </c>
      <c r="S9" s="143">
        <f t="shared" si="7"/>
        <v>13518.27</v>
      </c>
      <c r="T9" s="143">
        <f t="shared" si="7"/>
        <v>13518.27</v>
      </c>
      <c r="U9" s="143">
        <f t="shared" si="7"/>
        <v>13518.27</v>
      </c>
    </row>
    <row r="10" spans="1:28" x14ac:dyDescent="0.25">
      <c r="A10" s="169" t="s">
        <v>682</v>
      </c>
      <c r="B10" s="170" t="s">
        <v>754</v>
      </c>
      <c r="C10" s="171" t="s">
        <v>682</v>
      </c>
      <c r="D10" s="171" t="s">
        <v>682</v>
      </c>
      <c r="E10" s="172"/>
      <c r="F10" s="172"/>
      <c r="G10" s="173"/>
      <c r="H10" s="173">
        <v>71680.95</v>
      </c>
      <c r="I10" s="174" t="s">
        <v>682</v>
      </c>
      <c r="K10" s="61">
        <v>61</v>
      </c>
      <c r="L10" s="243">
        <f t="shared" si="0"/>
        <v>213777.52000000005</v>
      </c>
      <c r="M10" s="143">
        <f t="shared" ref="M10:U10" si="8">SUMIFS($H:$H,$A:$A,"&lt;"&amp;N$1,$I:$I,$K10)</f>
        <v>0</v>
      </c>
      <c r="N10" s="143">
        <f t="shared" si="8"/>
        <v>103959.81999999999</v>
      </c>
      <c r="O10" s="143">
        <f t="shared" si="8"/>
        <v>198512.82000000004</v>
      </c>
      <c r="P10" s="143">
        <f t="shared" si="8"/>
        <v>213777.52000000005</v>
      </c>
      <c r="Q10" s="143">
        <f t="shared" si="8"/>
        <v>213777.52000000005</v>
      </c>
      <c r="R10" s="143">
        <f t="shared" si="8"/>
        <v>213777.52000000005</v>
      </c>
      <c r="S10" s="143">
        <f t="shared" si="8"/>
        <v>213777.52000000005</v>
      </c>
      <c r="T10" s="143">
        <f t="shared" si="8"/>
        <v>213777.52000000005</v>
      </c>
      <c r="U10" s="143">
        <f t="shared" si="8"/>
        <v>213777.52000000005</v>
      </c>
    </row>
    <row r="11" spans="1:28" x14ac:dyDescent="0.25">
      <c r="A11" s="154" t="s">
        <v>682</v>
      </c>
      <c r="B11" s="150" t="s">
        <v>682</v>
      </c>
      <c r="C11" s="57" t="s">
        <v>682</v>
      </c>
      <c r="D11" s="57" t="s">
        <v>682</v>
      </c>
      <c r="E11" s="153"/>
      <c r="F11" s="153"/>
      <c r="G11" s="164"/>
      <c r="H11" s="164"/>
      <c r="I11" s="58" t="s">
        <v>682</v>
      </c>
      <c r="K11" s="61">
        <v>62</v>
      </c>
      <c r="L11" s="243">
        <f t="shared" si="0"/>
        <v>102754.36999999998</v>
      </c>
      <c r="M11" s="143">
        <f t="shared" ref="M11:U11" si="9">SUMIFS($H:$H,$A:$A,"&lt;"&amp;N$1,$I:$I,$K11)</f>
        <v>0</v>
      </c>
      <c r="N11" s="143">
        <f t="shared" si="9"/>
        <v>18755.944999999992</v>
      </c>
      <c r="O11" s="143">
        <f t="shared" si="9"/>
        <v>44983.339999999989</v>
      </c>
      <c r="P11" s="143">
        <f t="shared" si="9"/>
        <v>100730.83</v>
      </c>
      <c r="Q11" s="143">
        <f t="shared" si="9"/>
        <v>102754.36999999998</v>
      </c>
      <c r="R11" s="143">
        <f t="shared" si="9"/>
        <v>102754.36999999998</v>
      </c>
      <c r="S11" s="143">
        <f t="shared" si="9"/>
        <v>102754.36999999998</v>
      </c>
      <c r="T11" s="143">
        <f t="shared" si="9"/>
        <v>102754.36999999998</v>
      </c>
      <c r="U11" s="143">
        <f t="shared" si="9"/>
        <v>102754.36999999998</v>
      </c>
    </row>
    <row r="12" spans="1:28" x14ac:dyDescent="0.25">
      <c r="A12" s="166" t="s">
        <v>682</v>
      </c>
      <c r="B12" s="165" t="s">
        <v>756</v>
      </c>
      <c r="C12" s="60" t="s">
        <v>682</v>
      </c>
      <c r="D12" s="60" t="s">
        <v>682</v>
      </c>
      <c r="E12" s="167"/>
      <c r="F12" s="167"/>
      <c r="G12" s="168"/>
      <c r="H12" s="168"/>
      <c r="I12" s="46" t="s">
        <v>682</v>
      </c>
      <c r="K12" s="61">
        <v>63</v>
      </c>
      <c r="L12" s="243">
        <f t="shared" si="0"/>
        <v>21913.25</v>
      </c>
      <c r="M12" s="143">
        <f t="shared" ref="M12:U12" si="10">SUMIFS($H:$H,$A:$A,"&lt;"&amp;N$1,$I:$I,$K12)</f>
        <v>0</v>
      </c>
      <c r="N12" s="143">
        <f t="shared" si="10"/>
        <v>0</v>
      </c>
      <c r="O12" s="143">
        <f t="shared" si="10"/>
        <v>0</v>
      </c>
      <c r="P12" s="143">
        <f t="shared" si="10"/>
        <v>14389.575000000003</v>
      </c>
      <c r="Q12" s="143">
        <f t="shared" si="10"/>
        <v>21913.25</v>
      </c>
      <c r="R12" s="143">
        <f t="shared" si="10"/>
        <v>21913.25</v>
      </c>
      <c r="S12" s="143">
        <f t="shared" si="10"/>
        <v>21913.25</v>
      </c>
      <c r="T12" s="143">
        <f t="shared" si="10"/>
        <v>21913.25</v>
      </c>
      <c r="U12" s="143">
        <f t="shared" si="10"/>
        <v>21913.25</v>
      </c>
    </row>
    <row r="13" spans="1:28" ht="30" x14ac:dyDescent="0.25">
      <c r="A13" s="154">
        <v>40844</v>
      </c>
      <c r="B13" s="150" t="s">
        <v>757</v>
      </c>
      <c r="C13" s="57" t="s">
        <v>758</v>
      </c>
      <c r="D13" s="57" t="s">
        <v>748</v>
      </c>
      <c r="E13" s="153">
        <v>2</v>
      </c>
      <c r="F13" s="153">
        <v>100</v>
      </c>
      <c r="G13" s="164"/>
      <c r="H13" s="164">
        <v>200</v>
      </c>
      <c r="I13" s="58">
        <v>13</v>
      </c>
      <c r="K13" s="61">
        <v>64</v>
      </c>
      <c r="L13" s="243">
        <f t="shared" si="0"/>
        <v>277417.8060000001</v>
      </c>
      <c r="M13" s="143">
        <f t="shared" ref="M13:U13" si="11">SUMIFS($H:$H,$A:$A,"&lt;"&amp;N$1,$I:$I,$K13)</f>
        <v>0</v>
      </c>
      <c r="N13" s="143">
        <f t="shared" si="11"/>
        <v>0</v>
      </c>
      <c r="O13" s="143">
        <f t="shared" si="11"/>
        <v>112816.375</v>
      </c>
      <c r="P13" s="143">
        <f t="shared" si="11"/>
        <v>112816.375</v>
      </c>
      <c r="Q13" s="143">
        <f t="shared" si="11"/>
        <v>175198.25599999999</v>
      </c>
      <c r="R13" s="143">
        <f t="shared" si="11"/>
        <v>176683.25599999999</v>
      </c>
      <c r="S13" s="143">
        <f t="shared" si="11"/>
        <v>176683.25599999999</v>
      </c>
      <c r="T13" s="143">
        <f t="shared" si="11"/>
        <v>176683.25599999999</v>
      </c>
      <c r="U13" s="143">
        <f t="shared" si="11"/>
        <v>277417.8060000001</v>
      </c>
    </row>
    <row r="14" spans="1:28" ht="30" x14ac:dyDescent="0.25">
      <c r="A14" s="154">
        <v>40872</v>
      </c>
      <c r="B14" s="150" t="s">
        <v>759</v>
      </c>
      <c r="C14" s="57" t="s">
        <v>760</v>
      </c>
      <c r="D14" s="57" t="s">
        <v>748</v>
      </c>
      <c r="E14" s="153">
        <v>1</v>
      </c>
      <c r="F14" s="153">
        <v>150</v>
      </c>
      <c r="G14" s="164"/>
      <c r="H14" s="164">
        <v>150</v>
      </c>
      <c r="I14" s="58">
        <v>13</v>
      </c>
      <c r="K14" s="61">
        <v>65</v>
      </c>
      <c r="L14" s="243">
        <f t="shared" si="0"/>
        <v>202459.37999999998</v>
      </c>
      <c r="M14" s="143">
        <f t="shared" ref="M14:U14" si="12">SUMIFS($H:$H,$A:$A,"&lt;"&amp;N$1,$I:$I,$K14)</f>
        <v>0</v>
      </c>
      <c r="N14" s="143">
        <f t="shared" si="12"/>
        <v>0</v>
      </c>
      <c r="O14" s="143">
        <f t="shared" si="12"/>
        <v>0</v>
      </c>
      <c r="P14" s="143">
        <f t="shared" si="12"/>
        <v>0</v>
      </c>
      <c r="Q14" s="143">
        <f t="shared" si="12"/>
        <v>202459.37999999998</v>
      </c>
      <c r="R14" s="143">
        <f t="shared" si="12"/>
        <v>202459.37999999998</v>
      </c>
      <c r="S14" s="143">
        <f t="shared" si="12"/>
        <v>202459.37999999998</v>
      </c>
      <c r="T14" s="143">
        <f t="shared" si="12"/>
        <v>202459.37999999998</v>
      </c>
      <c r="U14" s="143">
        <f t="shared" si="12"/>
        <v>202459.37999999998</v>
      </c>
    </row>
    <row r="15" spans="1:28" x14ac:dyDescent="0.25">
      <c r="A15" s="154">
        <v>40963</v>
      </c>
      <c r="B15" s="150" t="s">
        <v>761</v>
      </c>
      <c r="C15" s="57" t="s">
        <v>762</v>
      </c>
      <c r="D15" s="57" t="s">
        <v>748</v>
      </c>
      <c r="E15" s="153">
        <v>1</v>
      </c>
      <c r="F15" s="153">
        <v>3640</v>
      </c>
      <c r="G15" s="164"/>
      <c r="H15" s="164">
        <v>3640</v>
      </c>
      <c r="I15" s="58">
        <v>13</v>
      </c>
      <c r="K15" s="61">
        <v>66</v>
      </c>
      <c r="L15" s="243">
        <f t="shared" si="0"/>
        <v>5622</v>
      </c>
      <c r="M15" s="143">
        <f t="shared" ref="M15:U15" si="13">SUMIFS($H:$H,$A:$A,"&lt;"&amp;N$1,$I:$I,$K15)</f>
        <v>0</v>
      </c>
      <c r="N15" s="143">
        <f t="shared" si="13"/>
        <v>0</v>
      </c>
      <c r="O15" s="143">
        <f t="shared" si="13"/>
        <v>0</v>
      </c>
      <c r="P15" s="143">
        <f t="shared" si="13"/>
        <v>0</v>
      </c>
      <c r="Q15" s="143">
        <f t="shared" si="13"/>
        <v>0</v>
      </c>
      <c r="R15" s="143">
        <f t="shared" si="13"/>
        <v>0</v>
      </c>
      <c r="S15" s="143">
        <f t="shared" si="13"/>
        <v>0</v>
      </c>
      <c r="T15" s="143">
        <f t="shared" si="13"/>
        <v>0</v>
      </c>
      <c r="U15" s="143">
        <f t="shared" si="13"/>
        <v>5622</v>
      </c>
    </row>
    <row r="16" spans="1:28" x14ac:dyDescent="0.25">
      <c r="A16" s="154">
        <v>40966</v>
      </c>
      <c r="B16" s="150" t="s">
        <v>763</v>
      </c>
      <c r="C16" s="57" t="s">
        <v>762</v>
      </c>
      <c r="D16" s="57" t="s">
        <v>748</v>
      </c>
      <c r="E16" s="153">
        <v>1</v>
      </c>
      <c r="F16" s="153">
        <v>8690</v>
      </c>
      <c r="G16" s="164"/>
      <c r="H16" s="164">
        <v>8690</v>
      </c>
      <c r="I16" s="58">
        <v>13</v>
      </c>
      <c r="K16" s="61">
        <v>67</v>
      </c>
      <c r="L16" s="243">
        <f t="shared" si="0"/>
        <v>2209.4499999999998</v>
      </c>
      <c r="M16" s="143">
        <f t="shared" ref="M16:U16" si="14">SUMIFS($H:$H,$A:$A,"&lt;"&amp;N$1,$I:$I,$K16)</f>
        <v>0</v>
      </c>
      <c r="N16" s="143">
        <f t="shared" si="14"/>
        <v>0</v>
      </c>
      <c r="O16" s="143">
        <f t="shared" si="14"/>
        <v>0</v>
      </c>
      <c r="P16" s="143">
        <f t="shared" si="14"/>
        <v>0</v>
      </c>
      <c r="Q16" s="143">
        <f t="shared" si="14"/>
        <v>2209.4499999999998</v>
      </c>
      <c r="R16" s="143">
        <f t="shared" si="14"/>
        <v>2209.4499999999998</v>
      </c>
      <c r="S16" s="143">
        <f t="shared" si="14"/>
        <v>2209.4499999999998</v>
      </c>
      <c r="T16" s="143">
        <f t="shared" si="14"/>
        <v>2209.4499999999998</v>
      </c>
      <c r="U16" s="143">
        <f t="shared" si="14"/>
        <v>2209.4499999999998</v>
      </c>
    </row>
    <row r="17" spans="1:21" x14ac:dyDescent="0.25">
      <c r="A17" s="169" t="s">
        <v>682</v>
      </c>
      <c r="B17" s="170" t="s">
        <v>764</v>
      </c>
      <c r="C17" s="171" t="s">
        <v>682</v>
      </c>
      <c r="D17" s="171" t="s">
        <v>682</v>
      </c>
      <c r="E17" s="172"/>
      <c r="F17" s="172"/>
      <c r="G17" s="173"/>
      <c r="H17" s="173">
        <v>12680</v>
      </c>
      <c r="I17" s="174" t="s">
        <v>682</v>
      </c>
      <c r="K17" s="61">
        <v>68</v>
      </c>
      <c r="L17" s="243">
        <f t="shared" si="0"/>
        <v>51538.064999999973</v>
      </c>
      <c r="M17" s="143">
        <f t="shared" ref="M17:U17" si="15">SUMIFS($H:$H,$A:$A,"&lt;"&amp;N$1,$I:$I,$K17)</f>
        <v>0</v>
      </c>
      <c r="N17" s="143">
        <f t="shared" si="15"/>
        <v>0</v>
      </c>
      <c r="O17" s="143">
        <f t="shared" si="15"/>
        <v>0</v>
      </c>
      <c r="P17" s="143">
        <f t="shared" si="15"/>
        <v>0</v>
      </c>
      <c r="Q17" s="143">
        <f t="shared" si="15"/>
        <v>0</v>
      </c>
      <c r="R17" s="143">
        <f t="shared" si="15"/>
        <v>0</v>
      </c>
      <c r="S17" s="143">
        <f t="shared" si="15"/>
        <v>0</v>
      </c>
      <c r="T17" s="143">
        <f t="shared" si="15"/>
        <v>0</v>
      </c>
      <c r="U17" s="143">
        <f t="shared" si="15"/>
        <v>51538.064999999973</v>
      </c>
    </row>
    <row r="18" spans="1:21" x14ac:dyDescent="0.25">
      <c r="A18" s="154" t="s">
        <v>682</v>
      </c>
      <c r="B18" s="150" t="s">
        <v>682</v>
      </c>
      <c r="C18" s="57" t="s">
        <v>682</v>
      </c>
      <c r="D18" s="57" t="s">
        <v>682</v>
      </c>
      <c r="E18" s="153"/>
      <c r="F18" s="153"/>
      <c r="G18" s="164"/>
      <c r="H18" s="164"/>
      <c r="I18" s="58" t="s">
        <v>682</v>
      </c>
      <c r="K18" s="61">
        <v>71</v>
      </c>
      <c r="L18" s="243">
        <f t="shared" si="0"/>
        <v>4537.241</v>
      </c>
      <c r="M18" s="143">
        <f t="shared" ref="M18:U18" si="16">SUMIFS($H:$H,$A:$A,"&lt;"&amp;N$1,$I:$I,$K18)</f>
        <v>0</v>
      </c>
      <c r="N18" s="143">
        <f t="shared" si="16"/>
        <v>0</v>
      </c>
      <c r="O18" s="143">
        <f t="shared" si="16"/>
        <v>0</v>
      </c>
      <c r="P18" s="143">
        <f t="shared" si="16"/>
        <v>0</v>
      </c>
      <c r="Q18" s="143">
        <f t="shared" si="16"/>
        <v>1562.241</v>
      </c>
      <c r="R18" s="143">
        <f t="shared" si="16"/>
        <v>4537.241</v>
      </c>
      <c r="S18" s="143">
        <f t="shared" si="16"/>
        <v>4537.241</v>
      </c>
      <c r="T18" s="143">
        <f t="shared" si="16"/>
        <v>4537.241</v>
      </c>
      <c r="U18" s="143">
        <f t="shared" si="16"/>
        <v>4537.241</v>
      </c>
    </row>
    <row r="19" spans="1:21" x14ac:dyDescent="0.25">
      <c r="A19" s="166" t="s">
        <v>682</v>
      </c>
      <c r="B19" s="165" t="s">
        <v>765</v>
      </c>
      <c r="C19" s="60" t="s">
        <v>682</v>
      </c>
      <c r="D19" s="60" t="s">
        <v>682</v>
      </c>
      <c r="E19" s="167"/>
      <c r="F19" s="167"/>
      <c r="G19" s="168"/>
      <c r="H19" s="168"/>
      <c r="I19" s="46" t="s">
        <v>682</v>
      </c>
      <c r="K19" s="61">
        <v>72</v>
      </c>
      <c r="L19" s="243">
        <f t="shared" si="0"/>
        <v>18303.345000000005</v>
      </c>
      <c r="M19" s="143">
        <f t="shared" ref="M19:U19" si="17">SUMIFS($H:$H,$A:$A,"&lt;"&amp;N$1,$I:$I,$K19)</f>
        <v>0</v>
      </c>
      <c r="N19" s="143">
        <f t="shared" si="17"/>
        <v>12371.184999999999</v>
      </c>
      <c r="O19" s="143">
        <f t="shared" si="17"/>
        <v>14502.865</v>
      </c>
      <c r="P19" s="143">
        <f t="shared" si="17"/>
        <v>17386.22</v>
      </c>
      <c r="Q19" s="143">
        <f t="shared" si="17"/>
        <v>18303.345000000005</v>
      </c>
      <c r="R19" s="143">
        <f t="shared" si="17"/>
        <v>18303.345000000005</v>
      </c>
      <c r="S19" s="143">
        <f t="shared" si="17"/>
        <v>18303.345000000005</v>
      </c>
      <c r="T19" s="143">
        <f t="shared" si="17"/>
        <v>18303.345000000005</v>
      </c>
      <c r="U19" s="143">
        <f t="shared" si="17"/>
        <v>18303.345000000005</v>
      </c>
    </row>
    <row r="20" spans="1:21" x14ac:dyDescent="0.25">
      <c r="A20" s="154">
        <v>40841</v>
      </c>
      <c r="B20" s="150" t="s">
        <v>766</v>
      </c>
      <c r="C20" s="57" t="s">
        <v>767</v>
      </c>
      <c r="D20" s="57" t="s">
        <v>748</v>
      </c>
      <c r="E20" s="153">
        <v>1</v>
      </c>
      <c r="F20" s="153">
        <v>1260</v>
      </c>
      <c r="G20" s="164"/>
      <c r="H20" s="164">
        <v>1260</v>
      </c>
      <c r="I20" s="58">
        <v>15</v>
      </c>
      <c r="K20" s="61">
        <v>81</v>
      </c>
      <c r="L20" s="243">
        <f t="shared" si="0"/>
        <v>29127.06</v>
      </c>
      <c r="M20" s="143">
        <f t="shared" ref="M20:U20" si="18">SUMIFS($H:$H,$A:$A,"&lt;"&amp;N$1,$I:$I,$K20)</f>
        <v>11906.410000000002</v>
      </c>
      <c r="N20" s="143">
        <f t="shared" si="18"/>
        <v>27821.715</v>
      </c>
      <c r="O20" s="143">
        <f t="shared" si="18"/>
        <v>27821.715</v>
      </c>
      <c r="P20" s="143">
        <f t="shared" si="18"/>
        <v>28091.715</v>
      </c>
      <c r="Q20" s="143">
        <f t="shared" si="18"/>
        <v>29127.06</v>
      </c>
      <c r="R20" s="143">
        <f t="shared" si="18"/>
        <v>29127.06</v>
      </c>
      <c r="S20" s="143">
        <f t="shared" si="18"/>
        <v>29127.06</v>
      </c>
      <c r="T20" s="143">
        <f t="shared" si="18"/>
        <v>29127.06</v>
      </c>
      <c r="U20" s="143">
        <f t="shared" si="18"/>
        <v>29127.06</v>
      </c>
    </row>
    <row r="21" spans="1:21" x14ac:dyDescent="0.25">
      <c r="A21" s="154">
        <v>40888</v>
      </c>
      <c r="B21" s="150" t="s">
        <v>768</v>
      </c>
      <c r="C21" s="57" t="s">
        <v>769</v>
      </c>
      <c r="D21" s="57" t="s">
        <v>748</v>
      </c>
      <c r="E21" s="153">
        <v>1</v>
      </c>
      <c r="F21" s="153">
        <v>1750</v>
      </c>
      <c r="G21" s="164"/>
      <c r="H21" s="164">
        <v>1750</v>
      </c>
      <c r="I21" s="58">
        <v>15</v>
      </c>
      <c r="K21" s="61">
        <v>111</v>
      </c>
      <c r="L21" s="243">
        <f t="shared" si="0"/>
        <v>8890.2149999999983</v>
      </c>
      <c r="M21" s="143">
        <f t="shared" ref="M21:U21" si="19">SUMIFS($H:$H,$A:$A,"&lt;"&amp;N$1,$I:$I,$K21)</f>
        <v>0</v>
      </c>
      <c r="N21" s="143">
        <f t="shared" si="19"/>
        <v>0</v>
      </c>
      <c r="O21" s="143">
        <f t="shared" si="19"/>
        <v>2010.2700000000002</v>
      </c>
      <c r="P21" s="143">
        <f t="shared" si="19"/>
        <v>2010.2700000000002</v>
      </c>
      <c r="Q21" s="143">
        <f t="shared" si="19"/>
        <v>7286.2950000000001</v>
      </c>
      <c r="R21" s="143">
        <f t="shared" si="19"/>
        <v>8890.2149999999983</v>
      </c>
      <c r="S21" s="143">
        <f t="shared" si="19"/>
        <v>8890.2149999999983</v>
      </c>
      <c r="T21" s="143">
        <f t="shared" si="19"/>
        <v>8890.2149999999983</v>
      </c>
      <c r="U21" s="143">
        <f t="shared" si="19"/>
        <v>8890.2149999999983</v>
      </c>
    </row>
    <row r="22" spans="1:21" x14ac:dyDescent="0.25">
      <c r="A22" s="154">
        <v>40939</v>
      </c>
      <c r="B22" s="150" t="s">
        <v>770</v>
      </c>
      <c r="C22" s="57" t="s">
        <v>769</v>
      </c>
      <c r="D22" s="57" t="s">
        <v>748</v>
      </c>
      <c r="E22" s="153">
        <v>1</v>
      </c>
      <c r="F22" s="153">
        <v>1070</v>
      </c>
      <c r="G22" s="164"/>
      <c r="H22" s="164">
        <v>1070</v>
      </c>
      <c r="I22" s="58">
        <v>15</v>
      </c>
      <c r="K22" s="61">
        <v>121</v>
      </c>
      <c r="L22" s="243">
        <f t="shared" si="0"/>
        <v>0</v>
      </c>
      <c r="M22" s="143">
        <f t="shared" ref="M22:U22" si="20">SUMIFS($H:$H,$A:$A,"&lt;"&amp;N$1,$I:$I,$K22)</f>
        <v>0</v>
      </c>
      <c r="N22" s="143">
        <f t="shared" si="20"/>
        <v>0</v>
      </c>
      <c r="O22" s="143">
        <f t="shared" si="20"/>
        <v>0</v>
      </c>
      <c r="P22" s="143">
        <f t="shared" si="20"/>
        <v>0</v>
      </c>
      <c r="Q22" s="143">
        <f t="shared" si="20"/>
        <v>0</v>
      </c>
      <c r="R22" s="143">
        <f t="shared" si="20"/>
        <v>0</v>
      </c>
      <c r="S22" s="143">
        <f t="shared" si="20"/>
        <v>0</v>
      </c>
      <c r="T22" s="143">
        <f t="shared" si="20"/>
        <v>0</v>
      </c>
      <c r="U22" s="143">
        <f t="shared" si="20"/>
        <v>0</v>
      </c>
    </row>
    <row r="23" spans="1:21" x14ac:dyDescent="0.25">
      <c r="A23" s="169" t="s">
        <v>682</v>
      </c>
      <c r="B23" s="170" t="s">
        <v>771</v>
      </c>
      <c r="C23" s="171" t="s">
        <v>682</v>
      </c>
      <c r="D23" s="171" t="s">
        <v>682</v>
      </c>
      <c r="E23" s="172"/>
      <c r="F23" s="172"/>
      <c r="G23" s="173"/>
      <c r="H23" s="173">
        <v>4080</v>
      </c>
      <c r="I23" s="174" t="s">
        <v>682</v>
      </c>
      <c r="K23" s="61">
        <v>141</v>
      </c>
      <c r="L23" s="243">
        <f t="shared" si="0"/>
        <v>57433.552500000005</v>
      </c>
      <c r="M23" s="143">
        <f t="shared" ref="M23:U23" si="21">SUMIFS($H:$H,$A:$A,"&lt;"&amp;N$1,$I:$I,$K23)</f>
        <v>0</v>
      </c>
      <c r="N23" s="143">
        <f t="shared" si="21"/>
        <v>12821.645</v>
      </c>
      <c r="O23" s="143">
        <f t="shared" si="21"/>
        <v>23008.691500000004</v>
      </c>
      <c r="P23" s="143">
        <f t="shared" si="21"/>
        <v>34629.251499999998</v>
      </c>
      <c r="Q23" s="143">
        <f t="shared" si="21"/>
        <v>50846.506500000003</v>
      </c>
      <c r="R23" s="143">
        <f t="shared" si="21"/>
        <v>51017.002500000002</v>
      </c>
      <c r="S23" s="143">
        <f t="shared" si="21"/>
        <v>51017.002500000002</v>
      </c>
      <c r="T23" s="143">
        <f t="shared" si="21"/>
        <v>51017.002500000002</v>
      </c>
      <c r="U23" s="143">
        <f t="shared" si="21"/>
        <v>57433.552500000005</v>
      </c>
    </row>
    <row r="24" spans="1:21" x14ac:dyDescent="0.25">
      <c r="A24" s="154" t="s">
        <v>682</v>
      </c>
      <c r="B24" s="150" t="s">
        <v>682</v>
      </c>
      <c r="C24" s="57" t="s">
        <v>682</v>
      </c>
      <c r="D24" s="57" t="s">
        <v>682</v>
      </c>
      <c r="E24" s="153"/>
      <c r="F24" s="153"/>
      <c r="G24" s="164"/>
      <c r="H24" s="164"/>
      <c r="I24" s="58" t="s">
        <v>682</v>
      </c>
      <c r="K24" s="61">
        <v>151</v>
      </c>
      <c r="L24" s="243">
        <f t="shared" si="0"/>
        <v>2466.4249999999997</v>
      </c>
      <c r="M24" s="143">
        <f t="shared" ref="M24:U24" si="22">SUMIFS($H:$H,$A:$A,"&lt;"&amp;N$1,$I:$I,$K24)</f>
        <v>0</v>
      </c>
      <c r="N24" s="143">
        <f t="shared" si="22"/>
        <v>0</v>
      </c>
      <c r="O24" s="143">
        <f t="shared" si="22"/>
        <v>0</v>
      </c>
      <c r="P24" s="143">
        <f t="shared" si="22"/>
        <v>2466.4249999999997</v>
      </c>
      <c r="Q24" s="143">
        <f t="shared" si="22"/>
        <v>2466.4249999999997</v>
      </c>
      <c r="R24" s="143">
        <f t="shared" si="22"/>
        <v>2466.4249999999997</v>
      </c>
      <c r="S24" s="143">
        <f t="shared" si="22"/>
        <v>2466.4249999999997</v>
      </c>
      <c r="T24" s="143">
        <f t="shared" si="22"/>
        <v>2466.4249999999997</v>
      </c>
      <c r="U24" s="143">
        <f t="shared" si="22"/>
        <v>2466.4249999999997</v>
      </c>
    </row>
    <row r="25" spans="1:21" x14ac:dyDescent="0.25">
      <c r="A25" s="166" t="s">
        <v>682</v>
      </c>
      <c r="B25" s="165" t="s">
        <v>772</v>
      </c>
      <c r="C25" s="60" t="s">
        <v>682</v>
      </c>
      <c r="D25" s="60" t="s">
        <v>682</v>
      </c>
      <c r="E25" s="167"/>
      <c r="F25" s="167"/>
      <c r="G25" s="168"/>
      <c r="H25" s="168"/>
      <c r="I25" s="46" t="s">
        <v>682</v>
      </c>
      <c r="K25" s="61">
        <v>181</v>
      </c>
      <c r="L25" s="243">
        <f t="shared" si="0"/>
        <v>23785.751000000004</v>
      </c>
      <c r="M25" s="143">
        <f t="shared" ref="M25:U25" si="23">SUMIFS($H:$H,$A:$A,"&lt;"&amp;N$1,$I:$I,$K25)</f>
        <v>0</v>
      </c>
      <c r="N25" s="143">
        <f t="shared" si="23"/>
        <v>17252.126</v>
      </c>
      <c r="O25" s="143">
        <f t="shared" si="23"/>
        <v>17252.126</v>
      </c>
      <c r="P25" s="143">
        <f t="shared" si="23"/>
        <v>17252.126</v>
      </c>
      <c r="Q25" s="143">
        <f t="shared" si="23"/>
        <v>23785.751000000004</v>
      </c>
      <c r="R25" s="143">
        <f t="shared" si="23"/>
        <v>23785.751000000004</v>
      </c>
      <c r="S25" s="143">
        <f t="shared" si="23"/>
        <v>23785.751000000004</v>
      </c>
      <c r="T25" s="143">
        <f t="shared" si="23"/>
        <v>23785.751000000004</v>
      </c>
      <c r="U25" s="143">
        <f t="shared" si="23"/>
        <v>23785.751000000004</v>
      </c>
    </row>
    <row r="26" spans="1:21" x14ac:dyDescent="0.25">
      <c r="A26" s="154">
        <v>40856</v>
      </c>
      <c r="B26" s="150" t="s">
        <v>773</v>
      </c>
      <c r="C26" s="57" t="s">
        <v>774</v>
      </c>
      <c r="D26" s="57" t="s">
        <v>26</v>
      </c>
      <c r="E26" s="153">
        <v>9.5</v>
      </c>
      <c r="F26" s="153">
        <v>42.79</v>
      </c>
      <c r="G26" s="164"/>
      <c r="H26" s="164">
        <v>406.505</v>
      </c>
      <c r="I26" s="58">
        <v>21</v>
      </c>
      <c r="K26" s="61">
        <v>901</v>
      </c>
      <c r="L26" s="243">
        <f t="shared" si="0"/>
        <v>5950</v>
      </c>
      <c r="M26" s="143">
        <f t="shared" ref="M26:U26" si="24">SUMIFS($H:$H,$A:$A,"&lt;"&amp;N$1,$I:$I,$K26)</f>
        <v>0</v>
      </c>
      <c r="N26" s="143">
        <f t="shared" si="24"/>
        <v>5950</v>
      </c>
      <c r="O26" s="143">
        <f t="shared" si="24"/>
        <v>5950</v>
      </c>
      <c r="P26" s="143">
        <f t="shared" si="24"/>
        <v>5950</v>
      </c>
      <c r="Q26" s="143">
        <f t="shared" si="24"/>
        <v>5950</v>
      </c>
      <c r="R26" s="143">
        <f t="shared" si="24"/>
        <v>5950</v>
      </c>
      <c r="S26" s="143">
        <f t="shared" si="24"/>
        <v>5950</v>
      </c>
      <c r="T26" s="143">
        <f t="shared" si="24"/>
        <v>5950</v>
      </c>
      <c r="U26" s="143">
        <f t="shared" si="24"/>
        <v>5950</v>
      </c>
    </row>
    <row r="27" spans="1:21" x14ac:dyDescent="0.25">
      <c r="A27" s="154">
        <v>40856</v>
      </c>
      <c r="B27" s="150" t="s">
        <v>1188</v>
      </c>
      <c r="C27" s="57" t="s">
        <v>775</v>
      </c>
      <c r="D27" s="57" t="s">
        <v>26</v>
      </c>
      <c r="E27" s="153">
        <v>9.5</v>
      </c>
      <c r="F27" s="153">
        <v>80</v>
      </c>
      <c r="G27" s="164"/>
      <c r="H27" s="164">
        <v>760</v>
      </c>
      <c r="I27" s="58">
        <v>21</v>
      </c>
      <c r="K27" s="61">
        <v>902</v>
      </c>
      <c r="L27" s="243">
        <f t="shared" si="0"/>
        <v>65379.849999999969</v>
      </c>
      <c r="M27" s="143">
        <f t="shared" ref="M27:U27" si="25">SUMIFS($H:$H,$A:$A,"&lt;"&amp;N$1,$I:$I,$K27)</f>
        <v>3721.65</v>
      </c>
      <c r="N27" s="143">
        <f t="shared" si="25"/>
        <v>26574.774999999998</v>
      </c>
      <c r="O27" s="143">
        <f t="shared" si="25"/>
        <v>35074.774999999994</v>
      </c>
      <c r="P27" s="143">
        <f t="shared" si="25"/>
        <v>53029.899999999994</v>
      </c>
      <c r="Q27" s="143">
        <f t="shared" si="25"/>
        <v>62991.049999999974</v>
      </c>
      <c r="R27" s="143">
        <f t="shared" si="25"/>
        <v>65379.849999999969</v>
      </c>
      <c r="S27" s="143">
        <f t="shared" si="25"/>
        <v>65379.849999999969</v>
      </c>
      <c r="T27" s="143">
        <f t="shared" si="25"/>
        <v>65379.849999999969</v>
      </c>
      <c r="U27" s="143">
        <f t="shared" si="25"/>
        <v>65379.849999999969</v>
      </c>
    </row>
    <row r="28" spans="1:21" x14ac:dyDescent="0.25">
      <c r="A28" s="154">
        <v>40856</v>
      </c>
      <c r="B28" s="150" t="s">
        <v>776</v>
      </c>
      <c r="C28" s="57" t="s">
        <v>8</v>
      </c>
      <c r="D28" s="57" t="s">
        <v>26</v>
      </c>
      <c r="E28" s="153">
        <v>10</v>
      </c>
      <c r="F28" s="153">
        <v>35.35</v>
      </c>
      <c r="G28" s="164"/>
      <c r="H28" s="164">
        <v>353.5</v>
      </c>
      <c r="I28" s="58">
        <v>21</v>
      </c>
      <c r="K28" s="61">
        <v>903</v>
      </c>
      <c r="L28" s="243">
        <f t="shared" si="0"/>
        <v>8814.25</v>
      </c>
      <c r="M28" s="143">
        <f t="shared" ref="M28:U28" si="26">SUMIFS($H:$H,$A:$A,"&lt;"&amp;N$1,$I:$I,$K28)</f>
        <v>0</v>
      </c>
      <c r="N28" s="143">
        <f t="shared" si="26"/>
        <v>4260.9400000000005</v>
      </c>
      <c r="O28" s="143">
        <f t="shared" si="26"/>
        <v>7137.9400000000005</v>
      </c>
      <c r="P28" s="143">
        <f t="shared" si="26"/>
        <v>7137.9400000000005</v>
      </c>
      <c r="Q28" s="143">
        <f t="shared" si="26"/>
        <v>7347.9400000000005</v>
      </c>
      <c r="R28" s="143">
        <f t="shared" si="26"/>
        <v>7347.9400000000005</v>
      </c>
      <c r="S28" s="143">
        <f t="shared" si="26"/>
        <v>8814.25</v>
      </c>
      <c r="T28" s="143">
        <f t="shared" si="26"/>
        <v>8814.25</v>
      </c>
      <c r="U28" s="143">
        <f t="shared" si="26"/>
        <v>8814.25</v>
      </c>
    </row>
    <row r="29" spans="1:21" x14ac:dyDescent="0.25">
      <c r="A29" s="154">
        <v>40938</v>
      </c>
      <c r="B29" s="150" t="s">
        <v>777</v>
      </c>
      <c r="C29" s="57" t="s">
        <v>778</v>
      </c>
      <c r="D29" s="57" t="s">
        <v>748</v>
      </c>
      <c r="E29" s="153">
        <v>1</v>
      </c>
      <c r="F29" s="153">
        <v>42.95</v>
      </c>
      <c r="G29" s="164"/>
      <c r="H29" s="164">
        <v>42.95</v>
      </c>
      <c r="I29" s="58">
        <v>21</v>
      </c>
      <c r="K29" s="61">
        <v>904</v>
      </c>
      <c r="L29" s="243">
        <f t="shared" si="0"/>
        <v>1203.8600000000001</v>
      </c>
      <c r="M29" s="143">
        <f t="shared" ref="M29:U29" si="27">SUMIFS($H:$H,$A:$A,"&lt;"&amp;N$1,$I:$I,$K29)</f>
        <v>0</v>
      </c>
      <c r="N29" s="143">
        <f t="shared" si="27"/>
        <v>60</v>
      </c>
      <c r="O29" s="143">
        <f t="shared" si="27"/>
        <v>60</v>
      </c>
      <c r="P29" s="143">
        <f t="shared" si="27"/>
        <v>60</v>
      </c>
      <c r="Q29" s="143">
        <f t="shared" si="27"/>
        <v>1170.8600000000001</v>
      </c>
      <c r="R29" s="143">
        <f t="shared" si="27"/>
        <v>1170.8600000000001</v>
      </c>
      <c r="S29" s="143">
        <f t="shared" si="27"/>
        <v>1170.8600000000001</v>
      </c>
      <c r="T29" s="143">
        <f t="shared" si="27"/>
        <v>1170.8600000000001</v>
      </c>
      <c r="U29" s="143">
        <f t="shared" si="27"/>
        <v>1203.8600000000001</v>
      </c>
    </row>
    <row r="30" spans="1:21" x14ac:dyDescent="0.25">
      <c r="A30" s="169" t="s">
        <v>682</v>
      </c>
      <c r="B30" s="170" t="s">
        <v>779</v>
      </c>
      <c r="C30" s="171" t="s">
        <v>682</v>
      </c>
      <c r="D30" s="171" t="s">
        <v>682</v>
      </c>
      <c r="E30" s="172"/>
      <c r="F30" s="172"/>
      <c r="G30" s="173"/>
      <c r="H30" s="173">
        <v>1562.9550000000002</v>
      </c>
      <c r="I30" s="174" t="s">
        <v>682</v>
      </c>
      <c r="K30" s="61">
        <v>905</v>
      </c>
      <c r="L30" s="243">
        <f t="shared" si="0"/>
        <v>9544.9399999999969</v>
      </c>
      <c r="M30" s="143">
        <f t="shared" ref="M30:U30" si="28">SUMIFS($H:$H,$A:$A,"&lt;"&amp;N$1,$I:$I,$K30)</f>
        <v>3029.05</v>
      </c>
      <c r="N30" s="143">
        <f t="shared" si="28"/>
        <v>5050.0580000000009</v>
      </c>
      <c r="O30" s="143">
        <f t="shared" si="28"/>
        <v>5821.5080000000016</v>
      </c>
      <c r="P30" s="143">
        <f t="shared" si="28"/>
        <v>7695.898000000001</v>
      </c>
      <c r="Q30" s="143">
        <f t="shared" si="28"/>
        <v>8904.81</v>
      </c>
      <c r="R30" s="143">
        <f t="shared" si="28"/>
        <v>9111.8499999999985</v>
      </c>
      <c r="S30" s="143">
        <f t="shared" si="28"/>
        <v>9111.8499999999985</v>
      </c>
      <c r="T30" s="143">
        <f t="shared" si="28"/>
        <v>9111.8499999999985</v>
      </c>
      <c r="U30" s="143">
        <f t="shared" si="28"/>
        <v>9544.9399999999969</v>
      </c>
    </row>
    <row r="31" spans="1:21" x14ac:dyDescent="0.25">
      <c r="A31" s="154" t="s">
        <v>682</v>
      </c>
      <c r="B31" s="150" t="s">
        <v>682</v>
      </c>
      <c r="C31" s="57" t="s">
        <v>682</v>
      </c>
      <c r="D31" s="57" t="s">
        <v>682</v>
      </c>
      <c r="E31" s="153"/>
      <c r="F31" s="153"/>
      <c r="G31" s="164"/>
      <c r="H31" s="164"/>
      <c r="I31" s="58" t="s">
        <v>682</v>
      </c>
      <c r="K31" s="61">
        <v>907</v>
      </c>
      <c r="L31" s="243">
        <f t="shared" si="0"/>
        <v>45323.639000000039</v>
      </c>
      <c r="M31" s="143">
        <f t="shared" ref="M31:U31" si="29">SUMIFS($H:$H,$A:$A,"&lt;"&amp;N$1,$I:$I,$K31)</f>
        <v>5412.9150000000009</v>
      </c>
      <c r="N31" s="143">
        <f t="shared" si="29"/>
        <v>10632.845000000003</v>
      </c>
      <c r="O31" s="143">
        <f t="shared" si="29"/>
        <v>15208.395</v>
      </c>
      <c r="P31" s="143">
        <f t="shared" si="29"/>
        <v>31625.370000000006</v>
      </c>
      <c r="Q31" s="143">
        <f t="shared" si="29"/>
        <v>37969.525000000016</v>
      </c>
      <c r="R31" s="143">
        <f t="shared" si="29"/>
        <v>39974.125000000022</v>
      </c>
      <c r="S31" s="143">
        <f t="shared" si="29"/>
        <v>40378.175000000025</v>
      </c>
      <c r="T31" s="143">
        <f t="shared" si="29"/>
        <v>40378.175000000025</v>
      </c>
      <c r="U31" s="143">
        <f t="shared" si="29"/>
        <v>45323.639000000039</v>
      </c>
    </row>
    <row r="32" spans="1:21" x14ac:dyDescent="0.25">
      <c r="A32" s="166" t="s">
        <v>682</v>
      </c>
      <c r="B32" s="165" t="s">
        <v>781</v>
      </c>
      <c r="C32" s="60" t="s">
        <v>682</v>
      </c>
      <c r="D32" s="60" t="s">
        <v>682</v>
      </c>
      <c r="E32" s="167"/>
      <c r="F32" s="167"/>
      <c r="G32" s="168"/>
      <c r="H32" s="168"/>
      <c r="I32" s="46" t="s">
        <v>682</v>
      </c>
      <c r="K32" s="61">
        <v>910</v>
      </c>
      <c r="L32" s="243">
        <f t="shared" si="0"/>
        <v>530.25</v>
      </c>
      <c r="M32" s="143">
        <f t="shared" ref="M32:U32" si="30">SUMIFS($H:$H,$A:$A,"&lt;"&amp;N$1,$I:$I,$K32)</f>
        <v>0</v>
      </c>
      <c r="N32" s="143">
        <f t="shared" si="30"/>
        <v>0</v>
      </c>
      <c r="O32" s="143">
        <f t="shared" si="30"/>
        <v>0</v>
      </c>
      <c r="P32" s="143">
        <f t="shared" si="30"/>
        <v>0</v>
      </c>
      <c r="Q32" s="143">
        <f t="shared" si="30"/>
        <v>0</v>
      </c>
      <c r="R32" s="143">
        <f t="shared" si="30"/>
        <v>530.25</v>
      </c>
      <c r="S32" s="143">
        <f t="shared" si="30"/>
        <v>530.25</v>
      </c>
      <c r="T32" s="143">
        <f t="shared" si="30"/>
        <v>530.25</v>
      </c>
      <c r="U32" s="143">
        <f t="shared" si="30"/>
        <v>530.25</v>
      </c>
    </row>
    <row r="33" spans="1:21" x14ac:dyDescent="0.25">
      <c r="A33" s="154">
        <v>40859</v>
      </c>
      <c r="B33" s="150" t="s">
        <v>782</v>
      </c>
      <c r="C33" s="57" t="s">
        <v>8</v>
      </c>
      <c r="D33" s="57" t="s">
        <v>26</v>
      </c>
      <c r="E33" s="153">
        <v>2</v>
      </c>
      <c r="F33" s="153">
        <v>35.35</v>
      </c>
      <c r="G33" s="164"/>
      <c r="H33" s="164">
        <v>70.7</v>
      </c>
      <c r="I33" s="58">
        <v>53</v>
      </c>
      <c r="K33" s="61">
        <v>911</v>
      </c>
      <c r="L33" s="243">
        <f t="shared" si="0"/>
        <v>24904.43</v>
      </c>
      <c r="M33" s="143">
        <f t="shared" ref="M33:U33" si="31">SUMIFS($H:$H,$A:$A,"&lt;"&amp;N$1,$I:$I,$K33)</f>
        <v>0</v>
      </c>
      <c r="N33" s="143">
        <f t="shared" si="31"/>
        <v>7525.35</v>
      </c>
      <c r="O33" s="143">
        <f t="shared" si="31"/>
        <v>8338.99</v>
      </c>
      <c r="P33" s="143">
        <f t="shared" si="31"/>
        <v>15958.220000000001</v>
      </c>
      <c r="Q33" s="143">
        <f t="shared" si="31"/>
        <v>22436.240000000002</v>
      </c>
      <c r="R33" s="143">
        <f t="shared" si="31"/>
        <v>24904.43</v>
      </c>
      <c r="S33" s="143">
        <f t="shared" si="31"/>
        <v>24904.43</v>
      </c>
      <c r="T33" s="143">
        <f t="shared" si="31"/>
        <v>24904.43</v>
      </c>
      <c r="U33" s="143">
        <f t="shared" si="31"/>
        <v>24904.43</v>
      </c>
    </row>
    <row r="34" spans="1:21" x14ac:dyDescent="0.25">
      <c r="A34" s="154">
        <v>40859</v>
      </c>
      <c r="B34" s="150" t="s">
        <v>773</v>
      </c>
      <c r="C34" s="57" t="s">
        <v>774</v>
      </c>
      <c r="D34" s="57" t="s">
        <v>26</v>
      </c>
      <c r="E34" s="153">
        <v>2</v>
      </c>
      <c r="F34" s="153">
        <v>42.79</v>
      </c>
      <c r="G34" s="164"/>
      <c r="H34" s="164">
        <v>85.58</v>
      </c>
      <c r="I34" s="58">
        <v>53</v>
      </c>
      <c r="K34" s="61" t="s">
        <v>1358</v>
      </c>
      <c r="L34" s="243">
        <f t="shared" si="0"/>
        <v>2513.5</v>
      </c>
      <c r="M34" s="143">
        <f t="shared" ref="M34:U34" si="32">SUMIFS($H:$H,$A:$A,"&lt;"&amp;N$1,$I:$I,$K34)</f>
        <v>0</v>
      </c>
      <c r="N34" s="143">
        <f t="shared" si="32"/>
        <v>1035.5</v>
      </c>
      <c r="O34" s="143">
        <f t="shared" si="32"/>
        <v>1035.5</v>
      </c>
      <c r="P34" s="143">
        <f t="shared" si="32"/>
        <v>1825.5</v>
      </c>
      <c r="Q34" s="143">
        <f t="shared" si="32"/>
        <v>2513.5</v>
      </c>
      <c r="R34" s="143">
        <f t="shared" si="32"/>
        <v>2513.5</v>
      </c>
      <c r="S34" s="143">
        <f t="shared" si="32"/>
        <v>2513.5</v>
      </c>
      <c r="T34" s="143">
        <f t="shared" si="32"/>
        <v>2513.5</v>
      </c>
      <c r="U34" s="143">
        <f t="shared" si="32"/>
        <v>2513.5</v>
      </c>
    </row>
    <row r="35" spans="1:21" x14ac:dyDescent="0.25">
      <c r="A35" s="154">
        <v>40859</v>
      </c>
      <c r="B35" s="150" t="s">
        <v>776</v>
      </c>
      <c r="C35" s="57" t="s">
        <v>8</v>
      </c>
      <c r="D35" s="57" t="s">
        <v>26</v>
      </c>
      <c r="E35" s="153">
        <v>2</v>
      </c>
      <c r="F35" s="153">
        <v>35.35</v>
      </c>
      <c r="G35" s="164"/>
      <c r="H35" s="164">
        <v>70.7</v>
      </c>
      <c r="I35" s="58">
        <v>53</v>
      </c>
      <c r="K35" s="61" t="s">
        <v>550</v>
      </c>
      <c r="L35" s="243">
        <f t="shared" si="0"/>
        <v>6886.8</v>
      </c>
      <c r="M35" s="143">
        <f t="shared" ref="M35:U35" si="33">SUMIFS($H:$H,$A:$A,"&lt;"&amp;N$1,$I:$I,$K35)</f>
        <v>0</v>
      </c>
      <c r="N35" s="143">
        <f t="shared" si="33"/>
        <v>2438.1</v>
      </c>
      <c r="O35" s="143">
        <f t="shared" si="33"/>
        <v>2716.5</v>
      </c>
      <c r="P35" s="143">
        <f t="shared" si="33"/>
        <v>6886.8</v>
      </c>
      <c r="Q35" s="143">
        <f t="shared" si="33"/>
        <v>6886.8</v>
      </c>
      <c r="R35" s="143">
        <f t="shared" si="33"/>
        <v>6886.8</v>
      </c>
      <c r="S35" s="143">
        <f t="shared" si="33"/>
        <v>6886.8</v>
      </c>
      <c r="T35" s="143">
        <f t="shared" si="33"/>
        <v>6886.8</v>
      </c>
      <c r="U35" s="143">
        <f t="shared" si="33"/>
        <v>6886.8</v>
      </c>
    </row>
    <row r="36" spans="1:21" x14ac:dyDescent="0.25">
      <c r="A36" s="154">
        <v>40859</v>
      </c>
      <c r="B36" s="150" t="s">
        <v>780</v>
      </c>
      <c r="C36" s="57" t="s">
        <v>8</v>
      </c>
      <c r="D36" s="57" t="s">
        <v>26</v>
      </c>
      <c r="E36" s="153">
        <v>2</v>
      </c>
      <c r="F36" s="153">
        <v>35.35</v>
      </c>
      <c r="G36" s="164"/>
      <c r="H36" s="164">
        <v>70.7</v>
      </c>
      <c r="I36" s="58">
        <v>53</v>
      </c>
      <c r="K36" s="61" t="s">
        <v>543</v>
      </c>
      <c r="L36" s="243">
        <f t="shared" si="0"/>
        <v>7571.2000000000007</v>
      </c>
      <c r="M36" s="143">
        <f t="shared" ref="M36:U36" si="34">SUMIFS($H:$H,$A:$A,"&lt;"&amp;N$1,$I:$I,$K36)</f>
        <v>0</v>
      </c>
      <c r="N36" s="143">
        <f t="shared" si="34"/>
        <v>7044.6</v>
      </c>
      <c r="O36" s="143">
        <f t="shared" si="34"/>
        <v>7044.6</v>
      </c>
      <c r="P36" s="143">
        <f t="shared" si="34"/>
        <v>7044.6</v>
      </c>
      <c r="Q36" s="143">
        <f t="shared" si="34"/>
        <v>7571.2000000000007</v>
      </c>
      <c r="R36" s="143">
        <f t="shared" si="34"/>
        <v>7571.2000000000007</v>
      </c>
      <c r="S36" s="143">
        <f t="shared" si="34"/>
        <v>7571.2000000000007</v>
      </c>
      <c r="T36" s="143">
        <f t="shared" si="34"/>
        <v>7571.2000000000007</v>
      </c>
      <c r="U36" s="143">
        <f t="shared" si="34"/>
        <v>7571.2000000000007</v>
      </c>
    </row>
    <row r="37" spans="1:21" x14ac:dyDescent="0.25">
      <c r="A37" s="154">
        <v>40859</v>
      </c>
      <c r="B37" s="150" t="s">
        <v>1188</v>
      </c>
      <c r="C37" s="57" t="s">
        <v>775</v>
      </c>
      <c r="D37" s="57" t="s">
        <v>26</v>
      </c>
      <c r="E37" s="153">
        <v>2</v>
      </c>
      <c r="F37" s="153">
        <v>80</v>
      </c>
      <c r="G37" s="164"/>
      <c r="H37" s="164">
        <v>160</v>
      </c>
      <c r="I37" s="58">
        <v>53</v>
      </c>
      <c r="K37" s="61" t="s">
        <v>547</v>
      </c>
      <c r="L37" s="243">
        <f t="shared" si="0"/>
        <v>2177.4</v>
      </c>
      <c r="M37" s="143">
        <f t="shared" ref="M37:U37" si="35">SUMIFS($H:$H,$A:$A,"&lt;"&amp;N$1,$I:$I,$K37)</f>
        <v>0</v>
      </c>
      <c r="N37" s="143">
        <f t="shared" si="35"/>
        <v>0</v>
      </c>
      <c r="O37" s="143">
        <f t="shared" si="35"/>
        <v>0</v>
      </c>
      <c r="P37" s="143">
        <f t="shared" si="35"/>
        <v>0</v>
      </c>
      <c r="Q37" s="143">
        <f t="shared" si="35"/>
        <v>2177.4</v>
      </c>
      <c r="R37" s="143">
        <f t="shared" si="35"/>
        <v>2177.4</v>
      </c>
      <c r="S37" s="143">
        <f t="shared" si="35"/>
        <v>2177.4</v>
      </c>
      <c r="T37" s="143">
        <f t="shared" si="35"/>
        <v>2177.4</v>
      </c>
      <c r="U37" s="143">
        <f t="shared" si="35"/>
        <v>2177.4</v>
      </c>
    </row>
    <row r="38" spans="1:21" x14ac:dyDescent="0.25">
      <c r="A38" s="154">
        <v>40859</v>
      </c>
      <c r="B38" s="150" t="s">
        <v>776</v>
      </c>
      <c r="C38" s="57" t="s">
        <v>8</v>
      </c>
      <c r="D38" s="57" t="s">
        <v>26</v>
      </c>
      <c r="E38" s="153">
        <v>2</v>
      </c>
      <c r="F38" s="153">
        <v>35.35</v>
      </c>
      <c r="G38" s="164"/>
      <c r="H38" s="164">
        <v>70.7</v>
      </c>
      <c r="I38" s="58">
        <v>53</v>
      </c>
      <c r="K38" s="61" t="s">
        <v>546</v>
      </c>
      <c r="L38" s="243">
        <f t="shared" si="0"/>
        <v>20711.157000000003</v>
      </c>
      <c r="M38" s="143">
        <f t="shared" ref="M38:U38" si="36">SUMIFS($H:$H,$A:$A,"&lt;"&amp;N$1,$I:$I,$K38)</f>
        <v>0</v>
      </c>
      <c r="N38" s="143">
        <f t="shared" si="36"/>
        <v>0</v>
      </c>
      <c r="O38" s="143">
        <f t="shared" si="36"/>
        <v>0</v>
      </c>
      <c r="P38" s="143">
        <f t="shared" si="36"/>
        <v>0</v>
      </c>
      <c r="Q38" s="143">
        <f t="shared" si="36"/>
        <v>0</v>
      </c>
      <c r="R38" s="143">
        <f t="shared" si="36"/>
        <v>0</v>
      </c>
      <c r="S38" s="143">
        <f t="shared" si="36"/>
        <v>0</v>
      </c>
      <c r="T38" s="143">
        <f t="shared" si="36"/>
        <v>0</v>
      </c>
      <c r="U38" s="143">
        <f t="shared" si="36"/>
        <v>20711.157000000003</v>
      </c>
    </row>
    <row r="39" spans="1:21" x14ac:dyDescent="0.25">
      <c r="A39" s="154">
        <v>40861</v>
      </c>
      <c r="B39" s="150" t="s">
        <v>776</v>
      </c>
      <c r="C39" s="57" t="s">
        <v>8</v>
      </c>
      <c r="D39" s="57" t="s">
        <v>26</v>
      </c>
      <c r="E39" s="153">
        <v>6.5</v>
      </c>
      <c r="F39" s="153">
        <v>35.35</v>
      </c>
      <c r="G39" s="164"/>
      <c r="H39" s="164">
        <v>229.77500000000001</v>
      </c>
      <c r="I39" s="58">
        <v>53</v>
      </c>
      <c r="K39" s="61" t="s">
        <v>1359</v>
      </c>
      <c r="L39" s="243">
        <f t="shared" si="0"/>
        <v>6711.3200000000006</v>
      </c>
      <c r="M39" s="143">
        <f t="shared" ref="M39:U39" si="37">SUMIFS($H:$H,$A:$A,"&lt;"&amp;N$1,$I:$I,$K39)</f>
        <v>304</v>
      </c>
      <c r="N39" s="143">
        <f t="shared" si="37"/>
        <v>1813.02</v>
      </c>
      <c r="O39" s="143">
        <f t="shared" si="37"/>
        <v>1813.02</v>
      </c>
      <c r="P39" s="143">
        <f t="shared" si="37"/>
        <v>1813.02</v>
      </c>
      <c r="Q39" s="143">
        <f t="shared" si="37"/>
        <v>6711.3200000000006</v>
      </c>
      <c r="R39" s="143">
        <f t="shared" si="37"/>
        <v>6711.3200000000006</v>
      </c>
      <c r="S39" s="143">
        <f t="shared" si="37"/>
        <v>6711.3200000000006</v>
      </c>
      <c r="T39" s="143">
        <f t="shared" si="37"/>
        <v>6711.3200000000006</v>
      </c>
      <c r="U39" s="143">
        <f t="shared" si="37"/>
        <v>6711.3200000000006</v>
      </c>
    </row>
    <row r="40" spans="1:21" x14ac:dyDescent="0.25">
      <c r="A40" s="154">
        <v>40861</v>
      </c>
      <c r="B40" s="150" t="s">
        <v>780</v>
      </c>
      <c r="C40" s="57" t="s">
        <v>8</v>
      </c>
      <c r="D40" s="57" t="s">
        <v>26</v>
      </c>
      <c r="E40" s="153">
        <v>6</v>
      </c>
      <c r="F40" s="153">
        <v>35.35</v>
      </c>
      <c r="G40" s="164"/>
      <c r="H40" s="164">
        <v>212.1</v>
      </c>
      <c r="I40" s="58">
        <v>53</v>
      </c>
      <c r="K40" s="61" t="s">
        <v>548</v>
      </c>
      <c r="L40" s="243">
        <f t="shared" si="0"/>
        <v>5070.29</v>
      </c>
      <c r="M40" s="143">
        <f t="shared" ref="M40:U40" si="38">SUMIFS($H:$H,$A:$A,"&lt;"&amp;N$1,$I:$I,$K40)</f>
        <v>0</v>
      </c>
      <c r="N40" s="143">
        <f t="shared" si="38"/>
        <v>0</v>
      </c>
      <c r="O40" s="143">
        <f t="shared" si="38"/>
        <v>0</v>
      </c>
      <c r="P40" s="143">
        <f t="shared" si="38"/>
        <v>3350.29</v>
      </c>
      <c r="Q40" s="143">
        <f t="shared" si="38"/>
        <v>5070.29</v>
      </c>
      <c r="R40" s="143">
        <f t="shared" si="38"/>
        <v>5070.29</v>
      </c>
      <c r="S40" s="143">
        <f t="shared" si="38"/>
        <v>5070.29</v>
      </c>
      <c r="T40" s="143">
        <f t="shared" si="38"/>
        <v>5070.29</v>
      </c>
      <c r="U40" s="143">
        <f t="shared" si="38"/>
        <v>5070.29</v>
      </c>
    </row>
    <row r="41" spans="1:21" x14ac:dyDescent="0.25">
      <c r="A41" s="154">
        <v>40861</v>
      </c>
      <c r="B41" s="150" t="s">
        <v>773</v>
      </c>
      <c r="C41" s="57" t="s">
        <v>774</v>
      </c>
      <c r="D41" s="57" t="s">
        <v>26</v>
      </c>
      <c r="E41" s="153">
        <v>6.5</v>
      </c>
      <c r="F41" s="153">
        <v>42.79</v>
      </c>
      <c r="G41" s="164"/>
      <c r="H41" s="164">
        <v>278.13499999999999</v>
      </c>
      <c r="I41" s="58">
        <v>53</v>
      </c>
      <c r="K41" s="61" t="s">
        <v>549</v>
      </c>
      <c r="L41" s="243">
        <f t="shared" si="0"/>
        <v>3525</v>
      </c>
      <c r="M41" s="143">
        <f t="shared" ref="M41:U41" si="39">SUMIFS($H:$H,$A:$A,"&lt;"&amp;N$1,$I:$I,$K41)</f>
        <v>0</v>
      </c>
      <c r="N41" s="143">
        <f t="shared" si="39"/>
        <v>0</v>
      </c>
      <c r="O41" s="143">
        <f t="shared" si="39"/>
        <v>0</v>
      </c>
      <c r="P41" s="143">
        <f t="shared" si="39"/>
        <v>3525</v>
      </c>
      <c r="Q41" s="143">
        <f t="shared" si="39"/>
        <v>3525</v>
      </c>
      <c r="R41" s="143">
        <f t="shared" si="39"/>
        <v>3525</v>
      </c>
      <c r="S41" s="143">
        <f t="shared" si="39"/>
        <v>3525</v>
      </c>
      <c r="T41" s="143">
        <f t="shared" si="39"/>
        <v>3525</v>
      </c>
      <c r="U41" s="143">
        <f t="shared" si="39"/>
        <v>3525</v>
      </c>
    </row>
    <row r="42" spans="1:21" x14ac:dyDescent="0.25">
      <c r="A42" s="154">
        <v>40862</v>
      </c>
      <c r="B42" s="150" t="s">
        <v>773</v>
      </c>
      <c r="C42" s="57" t="s">
        <v>774</v>
      </c>
      <c r="D42" s="57" t="s">
        <v>26</v>
      </c>
      <c r="E42" s="153">
        <v>2</v>
      </c>
      <c r="F42" s="153">
        <v>42.79</v>
      </c>
      <c r="G42" s="164"/>
      <c r="H42" s="164">
        <v>85.58</v>
      </c>
      <c r="I42" s="58">
        <v>53</v>
      </c>
      <c r="K42" s="61" t="s">
        <v>539</v>
      </c>
      <c r="L42" s="243">
        <f t="shared" si="0"/>
        <v>36883.199999999997</v>
      </c>
      <c r="M42" s="143">
        <f t="shared" ref="M42:U42" si="40">SUMIFS($H:$H,$A:$A,"&lt;"&amp;N$1,$I:$I,$K42)</f>
        <v>0</v>
      </c>
      <c r="N42" s="143">
        <f t="shared" si="40"/>
        <v>0</v>
      </c>
      <c r="O42" s="143">
        <f t="shared" si="40"/>
        <v>0</v>
      </c>
      <c r="P42" s="143">
        <f t="shared" si="40"/>
        <v>36883.199999999997</v>
      </c>
      <c r="Q42" s="143">
        <f t="shared" si="40"/>
        <v>36883.199999999997</v>
      </c>
      <c r="R42" s="143">
        <f t="shared" si="40"/>
        <v>36883.199999999997</v>
      </c>
      <c r="S42" s="143">
        <f t="shared" si="40"/>
        <v>36883.199999999997</v>
      </c>
      <c r="T42" s="143">
        <f t="shared" si="40"/>
        <v>36883.199999999997</v>
      </c>
      <c r="U42" s="143">
        <f t="shared" si="40"/>
        <v>36883.199999999997</v>
      </c>
    </row>
    <row r="43" spans="1:21" x14ac:dyDescent="0.25">
      <c r="A43" s="154">
        <v>40863</v>
      </c>
      <c r="B43" s="150" t="s">
        <v>1188</v>
      </c>
      <c r="C43" s="57" t="s">
        <v>775</v>
      </c>
      <c r="D43" s="57" t="s">
        <v>26</v>
      </c>
      <c r="E43" s="153">
        <v>3.5</v>
      </c>
      <c r="F43" s="153">
        <v>80</v>
      </c>
      <c r="G43" s="164"/>
      <c r="H43" s="164">
        <v>280</v>
      </c>
      <c r="I43" s="58">
        <v>53</v>
      </c>
      <c r="K43" s="61" t="s">
        <v>540</v>
      </c>
      <c r="L43" s="243">
        <f t="shared" si="0"/>
        <v>6005.268</v>
      </c>
      <c r="M43" s="143">
        <f t="shared" ref="M43:U43" si="41">SUMIFS($H:$H,$A:$A,"&lt;"&amp;N$1,$I:$I,$K43)</f>
        <v>0</v>
      </c>
      <c r="N43" s="143">
        <f t="shared" si="41"/>
        <v>1222.028</v>
      </c>
      <c r="O43" s="143">
        <f t="shared" si="41"/>
        <v>1222.028</v>
      </c>
      <c r="P43" s="143">
        <f t="shared" si="41"/>
        <v>6005.268</v>
      </c>
      <c r="Q43" s="143">
        <f t="shared" si="41"/>
        <v>6005.268</v>
      </c>
      <c r="R43" s="143">
        <f t="shared" si="41"/>
        <v>6005.268</v>
      </c>
      <c r="S43" s="143">
        <f t="shared" si="41"/>
        <v>6005.268</v>
      </c>
      <c r="T43" s="143">
        <f t="shared" si="41"/>
        <v>6005.268</v>
      </c>
      <c r="U43" s="143">
        <f t="shared" si="41"/>
        <v>6005.268</v>
      </c>
    </row>
    <row r="44" spans="1:21" x14ac:dyDescent="0.25">
      <c r="A44" s="154">
        <v>40863</v>
      </c>
      <c r="B44" s="150" t="s">
        <v>780</v>
      </c>
      <c r="C44" s="57" t="s">
        <v>8</v>
      </c>
      <c r="D44" s="57" t="s">
        <v>26</v>
      </c>
      <c r="E44" s="153">
        <v>3.5</v>
      </c>
      <c r="F44" s="153">
        <v>35.35</v>
      </c>
      <c r="G44" s="164"/>
      <c r="H44" s="164">
        <v>123.72499999999999</v>
      </c>
      <c r="I44" s="58">
        <v>53</v>
      </c>
      <c r="K44" s="61" t="s">
        <v>542</v>
      </c>
      <c r="L44" s="243">
        <f t="shared" si="0"/>
        <v>1428.3</v>
      </c>
      <c r="M44" s="143">
        <f t="shared" ref="M44:U44" si="42">SUMIFS($H:$H,$A:$A,"&lt;"&amp;N$1,$I:$I,$K44)</f>
        <v>0</v>
      </c>
      <c r="N44" s="143">
        <f t="shared" si="42"/>
        <v>1428.3</v>
      </c>
      <c r="O44" s="143">
        <f t="shared" si="42"/>
        <v>1428.3</v>
      </c>
      <c r="P44" s="143">
        <f t="shared" si="42"/>
        <v>1428.3</v>
      </c>
      <c r="Q44" s="143">
        <f t="shared" si="42"/>
        <v>1428.3</v>
      </c>
      <c r="R44" s="143">
        <f t="shared" si="42"/>
        <v>1428.3</v>
      </c>
      <c r="S44" s="143">
        <f t="shared" si="42"/>
        <v>1428.3</v>
      </c>
      <c r="T44" s="143">
        <f t="shared" si="42"/>
        <v>1428.3</v>
      </c>
      <c r="U44" s="143">
        <f t="shared" si="42"/>
        <v>1428.3</v>
      </c>
    </row>
    <row r="45" spans="1:21" x14ac:dyDescent="0.25">
      <c r="A45" s="154">
        <v>40863</v>
      </c>
      <c r="B45" s="150" t="s">
        <v>1188</v>
      </c>
      <c r="C45" s="57" t="s">
        <v>775</v>
      </c>
      <c r="D45" s="57" t="s">
        <v>26</v>
      </c>
      <c r="E45" s="153">
        <v>2</v>
      </c>
      <c r="F45" s="153">
        <v>80</v>
      </c>
      <c r="G45" s="164"/>
      <c r="H45" s="164">
        <v>160</v>
      </c>
      <c r="I45" s="58">
        <v>53</v>
      </c>
      <c r="K45" s="61" t="s">
        <v>544</v>
      </c>
      <c r="L45" s="243">
        <f t="shared" si="0"/>
        <v>2909.52</v>
      </c>
      <c r="M45" s="143">
        <f t="shared" ref="M45:U45" si="43">SUMIFS($H:$H,$A:$A,"&lt;"&amp;N$1,$I:$I,$K45)</f>
        <v>0</v>
      </c>
      <c r="N45" s="143">
        <f t="shared" si="43"/>
        <v>2909.52</v>
      </c>
      <c r="O45" s="143">
        <f t="shared" si="43"/>
        <v>2909.52</v>
      </c>
      <c r="P45" s="143">
        <f t="shared" si="43"/>
        <v>2909.52</v>
      </c>
      <c r="Q45" s="143">
        <f t="shared" si="43"/>
        <v>2909.52</v>
      </c>
      <c r="R45" s="143">
        <f t="shared" si="43"/>
        <v>2909.52</v>
      </c>
      <c r="S45" s="143">
        <f t="shared" si="43"/>
        <v>2909.52</v>
      </c>
      <c r="T45" s="143">
        <f t="shared" si="43"/>
        <v>2909.52</v>
      </c>
      <c r="U45" s="143">
        <f t="shared" si="43"/>
        <v>2909.52</v>
      </c>
    </row>
    <row r="46" spans="1:21" x14ac:dyDescent="0.25">
      <c r="A46" s="154">
        <v>40863</v>
      </c>
      <c r="B46" s="150" t="s">
        <v>773</v>
      </c>
      <c r="C46" s="57" t="s">
        <v>774</v>
      </c>
      <c r="D46" s="57" t="s">
        <v>26</v>
      </c>
      <c r="E46" s="153">
        <v>2</v>
      </c>
      <c r="F46" s="153">
        <v>42.79</v>
      </c>
      <c r="G46" s="164"/>
      <c r="H46" s="164">
        <v>85.58</v>
      </c>
      <c r="I46" s="58">
        <v>53</v>
      </c>
      <c r="K46" s="61" t="s">
        <v>545</v>
      </c>
      <c r="L46" s="243">
        <f t="shared" si="0"/>
        <v>20610</v>
      </c>
      <c r="M46" s="143">
        <f t="shared" ref="M46:U46" si="44">SUMIFS($H:$H,$A:$A,"&lt;"&amp;N$1,$I:$I,$K46)</f>
        <v>0</v>
      </c>
      <c r="N46" s="143">
        <f t="shared" si="44"/>
        <v>20610</v>
      </c>
      <c r="O46" s="143">
        <f t="shared" si="44"/>
        <v>20610</v>
      </c>
      <c r="P46" s="143">
        <f t="shared" si="44"/>
        <v>20610</v>
      </c>
      <c r="Q46" s="143">
        <f t="shared" si="44"/>
        <v>20610</v>
      </c>
      <c r="R46" s="143">
        <f t="shared" si="44"/>
        <v>20610</v>
      </c>
      <c r="S46" s="143">
        <f t="shared" si="44"/>
        <v>20610</v>
      </c>
      <c r="T46" s="143">
        <f t="shared" si="44"/>
        <v>20610</v>
      </c>
      <c r="U46" s="143">
        <f t="shared" si="44"/>
        <v>20610</v>
      </c>
    </row>
    <row r="47" spans="1:21" x14ac:dyDescent="0.25">
      <c r="A47" s="154">
        <v>40874</v>
      </c>
      <c r="B47" s="150" t="s">
        <v>780</v>
      </c>
      <c r="C47" s="57" t="s">
        <v>8</v>
      </c>
      <c r="D47" s="57" t="s">
        <v>26</v>
      </c>
      <c r="E47" s="153">
        <v>4</v>
      </c>
      <c r="F47" s="153">
        <v>35.35</v>
      </c>
      <c r="G47" s="164"/>
      <c r="H47" s="164">
        <v>141.4</v>
      </c>
      <c r="I47" s="58">
        <v>53</v>
      </c>
      <c r="K47" s="61" t="s">
        <v>541</v>
      </c>
      <c r="L47" s="243">
        <f t="shared" si="0"/>
        <v>10500.25</v>
      </c>
      <c r="M47" s="143">
        <f t="shared" ref="M47:U47" si="45">SUMIFS($H:$H,$A:$A,"&lt;"&amp;N$1,$I:$I,$K47)</f>
        <v>9270.25</v>
      </c>
      <c r="N47" s="143">
        <f t="shared" si="45"/>
        <v>10500.25</v>
      </c>
      <c r="O47" s="143">
        <f t="shared" si="45"/>
        <v>10500.25</v>
      </c>
      <c r="P47" s="143">
        <f t="shared" si="45"/>
        <v>10500.25</v>
      </c>
      <c r="Q47" s="143">
        <f t="shared" si="45"/>
        <v>10500.25</v>
      </c>
      <c r="R47" s="143">
        <f t="shared" si="45"/>
        <v>10500.25</v>
      </c>
      <c r="S47" s="143">
        <f t="shared" si="45"/>
        <v>10500.25</v>
      </c>
      <c r="T47" s="143">
        <f t="shared" si="45"/>
        <v>10500.25</v>
      </c>
      <c r="U47" s="143">
        <f t="shared" si="45"/>
        <v>10500.25</v>
      </c>
    </row>
    <row r="48" spans="1:21" x14ac:dyDescent="0.25">
      <c r="A48" s="154">
        <v>40874</v>
      </c>
      <c r="B48" s="150" t="s">
        <v>782</v>
      </c>
      <c r="C48" s="57" t="s">
        <v>8</v>
      </c>
      <c r="D48" s="57" t="s">
        <v>26</v>
      </c>
      <c r="E48" s="153">
        <v>2</v>
      </c>
      <c r="F48" s="153">
        <v>35.35</v>
      </c>
      <c r="G48" s="164"/>
      <c r="H48" s="164">
        <v>70.7</v>
      </c>
      <c r="I48" s="58">
        <v>53</v>
      </c>
      <c r="K48" s="143"/>
      <c r="L48" s="243"/>
      <c r="M48" s="143"/>
      <c r="N48" s="143"/>
      <c r="O48" s="143"/>
      <c r="P48" s="143"/>
      <c r="Q48" s="143"/>
      <c r="R48" s="143"/>
      <c r="S48" s="143"/>
      <c r="T48" s="143"/>
      <c r="U48" s="143"/>
    </row>
    <row r="49" spans="1:27" x14ac:dyDescent="0.25">
      <c r="A49" s="154">
        <v>40874</v>
      </c>
      <c r="B49" s="150" t="s">
        <v>1188</v>
      </c>
      <c r="C49" s="57" t="s">
        <v>775</v>
      </c>
      <c r="D49" s="57" t="s">
        <v>26</v>
      </c>
      <c r="E49" s="153">
        <v>4</v>
      </c>
      <c r="F49" s="153">
        <v>80</v>
      </c>
      <c r="G49" s="164"/>
      <c r="H49" s="164">
        <v>320</v>
      </c>
      <c r="I49" s="58">
        <v>53</v>
      </c>
      <c r="K49" s="244" t="s">
        <v>12</v>
      </c>
      <c r="L49" s="245">
        <f t="shared" ref="L49:U49" si="46">SUM(L3:L47)</f>
        <v>1429262.6044999999</v>
      </c>
      <c r="M49" s="245">
        <f t="shared" si="46"/>
        <v>35104.275000000001</v>
      </c>
      <c r="N49" s="245">
        <f t="shared" si="46"/>
        <v>339634.79699999996</v>
      </c>
      <c r="O49" s="245">
        <f t="shared" si="46"/>
        <v>634273.35350000008</v>
      </c>
      <c r="P49" s="245">
        <f t="shared" si="46"/>
        <v>858404.62350000022</v>
      </c>
      <c r="Q49" s="245">
        <f t="shared" si="46"/>
        <v>1214197.5625</v>
      </c>
      <c r="R49" s="245">
        <f t="shared" si="46"/>
        <v>1228795.6184999999</v>
      </c>
      <c r="S49" s="245">
        <f t="shared" si="46"/>
        <v>1230665.9785</v>
      </c>
      <c r="T49" s="245">
        <f t="shared" si="46"/>
        <v>1230665.9785</v>
      </c>
      <c r="U49" s="245">
        <f t="shared" si="46"/>
        <v>1429262.6044999999</v>
      </c>
    </row>
    <row r="50" spans="1:27" x14ac:dyDescent="0.25">
      <c r="A50" s="154">
        <v>40874</v>
      </c>
      <c r="B50" s="150" t="s">
        <v>782</v>
      </c>
      <c r="C50" s="57" t="s">
        <v>8</v>
      </c>
      <c r="D50" s="57" t="s">
        <v>26</v>
      </c>
      <c r="E50" s="153">
        <v>4</v>
      </c>
      <c r="F50" s="153">
        <v>35.35</v>
      </c>
      <c r="G50" s="164"/>
      <c r="H50" s="164">
        <v>141.4</v>
      </c>
      <c r="I50" s="58">
        <v>53</v>
      </c>
      <c r="K50" s="57"/>
    </row>
    <row r="51" spans="1:27" x14ac:dyDescent="0.25">
      <c r="A51" s="154">
        <v>40885</v>
      </c>
      <c r="B51" s="150" t="s">
        <v>780</v>
      </c>
      <c r="C51" s="57" t="s">
        <v>8</v>
      </c>
      <c r="D51" s="57" t="s">
        <v>26</v>
      </c>
      <c r="E51" s="153">
        <v>6</v>
      </c>
      <c r="F51" s="153">
        <v>35.35</v>
      </c>
      <c r="G51" s="164"/>
      <c r="H51" s="164">
        <v>212.1</v>
      </c>
      <c r="I51" s="58">
        <v>53</v>
      </c>
      <c r="K51" s="57"/>
    </row>
    <row r="52" spans="1:27" x14ac:dyDescent="0.25">
      <c r="A52" s="154">
        <v>40885</v>
      </c>
      <c r="B52" s="150" t="s">
        <v>776</v>
      </c>
      <c r="C52" s="57" t="s">
        <v>8</v>
      </c>
      <c r="D52" s="57" t="s">
        <v>26</v>
      </c>
      <c r="E52" s="153">
        <v>5.5</v>
      </c>
      <c r="F52" s="153">
        <v>35.35</v>
      </c>
      <c r="G52" s="164"/>
      <c r="H52" s="164">
        <v>194.42500000000001</v>
      </c>
      <c r="I52" s="58">
        <v>53</v>
      </c>
      <c r="K52" s="57"/>
    </row>
    <row r="53" spans="1:27" x14ac:dyDescent="0.25">
      <c r="A53" s="154">
        <v>40885</v>
      </c>
      <c r="B53" s="150" t="s">
        <v>782</v>
      </c>
      <c r="C53" s="57" t="s">
        <v>8</v>
      </c>
      <c r="D53" s="57" t="s">
        <v>26</v>
      </c>
      <c r="E53" s="153">
        <v>6</v>
      </c>
      <c r="F53" s="153">
        <v>35.35</v>
      </c>
      <c r="G53" s="164"/>
      <c r="H53" s="164">
        <v>212.1</v>
      </c>
      <c r="I53" s="58">
        <v>53</v>
      </c>
      <c r="K53" s="57"/>
    </row>
    <row r="54" spans="1:27" x14ac:dyDescent="0.25">
      <c r="A54" s="154">
        <v>40885</v>
      </c>
      <c r="B54" s="150" t="s">
        <v>1188</v>
      </c>
      <c r="C54" s="57" t="s">
        <v>775</v>
      </c>
      <c r="D54" s="57" t="s">
        <v>26</v>
      </c>
      <c r="E54" s="153">
        <v>6</v>
      </c>
      <c r="F54" s="153">
        <v>80</v>
      </c>
      <c r="G54" s="164"/>
      <c r="H54" s="164">
        <v>480</v>
      </c>
      <c r="I54" s="58">
        <v>53</v>
      </c>
      <c r="K54" s="57"/>
    </row>
    <row r="55" spans="1:27" x14ac:dyDescent="0.25">
      <c r="A55" s="154">
        <v>40885</v>
      </c>
      <c r="B55" s="150" t="s">
        <v>773</v>
      </c>
      <c r="C55" s="57" t="s">
        <v>774</v>
      </c>
      <c r="D55" s="57" t="s">
        <v>26</v>
      </c>
      <c r="E55" s="153">
        <v>5</v>
      </c>
      <c r="F55" s="153">
        <v>42.79</v>
      </c>
      <c r="G55" s="164"/>
      <c r="H55" s="164">
        <v>213.95</v>
      </c>
      <c r="I55" s="58">
        <v>53</v>
      </c>
      <c r="K55" s="57"/>
      <c r="V55" s="160"/>
      <c r="W55" s="160"/>
      <c r="X55" s="160"/>
      <c r="Y55" s="160"/>
      <c r="Z55" s="160"/>
      <c r="AA55" s="160"/>
    </row>
    <row r="56" spans="1:27" x14ac:dyDescent="0.25">
      <c r="A56" s="169" t="s">
        <v>682</v>
      </c>
      <c r="B56" s="170" t="s">
        <v>783</v>
      </c>
      <c r="C56" s="171" t="s">
        <v>682</v>
      </c>
      <c r="D56" s="171" t="s">
        <v>682</v>
      </c>
      <c r="E56" s="172"/>
      <c r="F56" s="172"/>
      <c r="G56" s="173"/>
      <c r="H56" s="173">
        <v>3969.3499999999995</v>
      </c>
      <c r="I56" s="174" t="s">
        <v>682</v>
      </c>
      <c r="K56" s="57"/>
    </row>
    <row r="57" spans="1:27" x14ac:dyDescent="0.25">
      <c r="A57" s="154" t="s">
        <v>682</v>
      </c>
      <c r="B57" s="150" t="s">
        <v>682</v>
      </c>
      <c r="C57" s="57" t="s">
        <v>682</v>
      </c>
      <c r="D57" s="57" t="s">
        <v>682</v>
      </c>
      <c r="E57" s="153"/>
      <c r="F57" s="153"/>
      <c r="G57" s="164"/>
      <c r="H57" s="164"/>
      <c r="I57" s="58" t="s">
        <v>682</v>
      </c>
      <c r="K57" s="57"/>
    </row>
    <row r="58" spans="1:27" x14ac:dyDescent="0.25">
      <c r="A58" s="166" t="s">
        <v>682</v>
      </c>
      <c r="B58" s="165" t="s">
        <v>784</v>
      </c>
      <c r="C58" s="60" t="s">
        <v>682</v>
      </c>
      <c r="D58" s="60" t="s">
        <v>682</v>
      </c>
      <c r="E58" s="167"/>
      <c r="F58" s="167"/>
      <c r="G58" s="168"/>
      <c r="H58" s="168"/>
      <c r="I58" s="46" t="s">
        <v>682</v>
      </c>
      <c r="K58" s="57"/>
    </row>
    <row r="59" spans="1:27" ht="30" x14ac:dyDescent="0.25">
      <c r="A59" s="154">
        <v>40935</v>
      </c>
      <c r="B59" s="150" t="s">
        <v>785</v>
      </c>
      <c r="C59" s="57" t="s">
        <v>786</v>
      </c>
      <c r="D59" s="57" t="s">
        <v>748</v>
      </c>
      <c r="E59" s="153">
        <v>1</v>
      </c>
      <c r="F59" s="153">
        <v>139.69999999999999</v>
      </c>
      <c r="G59" s="164"/>
      <c r="H59" s="164">
        <v>139.69999999999999</v>
      </c>
      <c r="I59" s="58">
        <v>57</v>
      </c>
      <c r="K59" s="57"/>
    </row>
    <row r="60" spans="1:27" x14ac:dyDescent="0.25">
      <c r="A60" s="154">
        <v>40936</v>
      </c>
      <c r="B60" s="150" t="s">
        <v>787</v>
      </c>
      <c r="C60" s="57" t="s">
        <v>8</v>
      </c>
      <c r="D60" s="57" t="s">
        <v>26</v>
      </c>
      <c r="E60" s="153">
        <v>5.5</v>
      </c>
      <c r="F60" s="153">
        <v>40.97</v>
      </c>
      <c r="G60" s="164"/>
      <c r="H60" s="164">
        <v>225.33500000000001</v>
      </c>
      <c r="I60" s="58">
        <v>57</v>
      </c>
      <c r="K60" s="57"/>
    </row>
    <row r="61" spans="1:27" x14ac:dyDescent="0.25">
      <c r="A61" s="154">
        <v>40936</v>
      </c>
      <c r="B61" s="150" t="s">
        <v>1188</v>
      </c>
      <c r="C61" s="57" t="s">
        <v>775</v>
      </c>
      <c r="D61" s="57" t="s">
        <v>26</v>
      </c>
      <c r="E61" s="153">
        <v>5.5</v>
      </c>
      <c r="F61" s="153">
        <v>80</v>
      </c>
      <c r="G61" s="164"/>
      <c r="H61" s="164">
        <v>440</v>
      </c>
      <c r="I61" s="58">
        <v>57</v>
      </c>
      <c r="K61" s="57"/>
    </row>
    <row r="62" spans="1:27" x14ac:dyDescent="0.25">
      <c r="A62" s="154">
        <v>40936</v>
      </c>
      <c r="B62" s="150" t="s">
        <v>451</v>
      </c>
      <c r="C62" s="57" t="s">
        <v>788</v>
      </c>
      <c r="D62" s="57" t="s">
        <v>26</v>
      </c>
      <c r="E62" s="153">
        <v>5.5</v>
      </c>
      <c r="F62" s="153">
        <v>66.069999999999993</v>
      </c>
      <c r="G62" s="164"/>
      <c r="H62" s="164">
        <v>363.38499999999999</v>
      </c>
      <c r="I62" s="58">
        <v>57</v>
      </c>
      <c r="K62" s="57"/>
    </row>
    <row r="63" spans="1:27" x14ac:dyDescent="0.25">
      <c r="A63" s="154">
        <v>40936</v>
      </c>
      <c r="B63" s="150" t="s">
        <v>789</v>
      </c>
      <c r="C63" s="57" t="s">
        <v>790</v>
      </c>
      <c r="D63" s="57" t="s">
        <v>26</v>
      </c>
      <c r="E63" s="153">
        <v>5.5</v>
      </c>
      <c r="F63" s="153">
        <v>50</v>
      </c>
      <c r="G63" s="164"/>
      <c r="H63" s="164">
        <v>275</v>
      </c>
      <c r="I63" s="58">
        <v>57</v>
      </c>
      <c r="K63" s="57"/>
    </row>
    <row r="64" spans="1:27" x14ac:dyDescent="0.25">
      <c r="A64" s="154">
        <v>40936</v>
      </c>
      <c r="B64" s="150" t="s">
        <v>791</v>
      </c>
      <c r="C64" s="57" t="s">
        <v>1189</v>
      </c>
      <c r="D64" s="57" t="s">
        <v>26</v>
      </c>
      <c r="E64" s="153">
        <v>8.5</v>
      </c>
      <c r="F64" s="153">
        <v>130</v>
      </c>
      <c r="G64" s="164"/>
      <c r="H64" s="164">
        <v>1105</v>
      </c>
      <c r="I64" s="58">
        <v>57</v>
      </c>
      <c r="K64" s="57"/>
    </row>
    <row r="65" spans="1:11" x14ac:dyDescent="0.25">
      <c r="A65" s="154">
        <v>40936</v>
      </c>
      <c r="B65" s="150" t="s">
        <v>776</v>
      </c>
      <c r="C65" s="57" t="s">
        <v>8</v>
      </c>
      <c r="D65" s="57" t="s">
        <v>26</v>
      </c>
      <c r="E65" s="153">
        <v>5.5</v>
      </c>
      <c r="F65" s="153">
        <v>35.35</v>
      </c>
      <c r="G65" s="164"/>
      <c r="H65" s="164">
        <v>194.42500000000001</v>
      </c>
      <c r="I65" s="58">
        <v>57</v>
      </c>
      <c r="K65" s="57"/>
    </row>
    <row r="66" spans="1:11" x14ac:dyDescent="0.25">
      <c r="A66" s="154">
        <v>40936</v>
      </c>
      <c r="B66" s="150" t="s">
        <v>782</v>
      </c>
      <c r="C66" s="57" t="s">
        <v>8</v>
      </c>
      <c r="D66" s="57" t="s">
        <v>26</v>
      </c>
      <c r="E66" s="153">
        <v>5.5</v>
      </c>
      <c r="F66" s="153">
        <v>35.35</v>
      </c>
      <c r="G66" s="164"/>
      <c r="H66" s="164">
        <v>194.42500000000001</v>
      </c>
      <c r="I66" s="58">
        <v>57</v>
      </c>
      <c r="K66" s="57"/>
    </row>
    <row r="67" spans="1:11" x14ac:dyDescent="0.25">
      <c r="A67" s="154">
        <v>40936</v>
      </c>
      <c r="B67" s="150" t="s">
        <v>782</v>
      </c>
      <c r="C67" s="57" t="s">
        <v>8</v>
      </c>
      <c r="D67" s="57" t="s">
        <v>26</v>
      </c>
      <c r="E67" s="153">
        <v>5.5</v>
      </c>
      <c r="F67" s="153">
        <v>35.35</v>
      </c>
      <c r="G67" s="164"/>
      <c r="H67" s="164">
        <v>194.42500000000001</v>
      </c>
      <c r="I67" s="58">
        <v>57</v>
      </c>
      <c r="K67" s="57"/>
    </row>
    <row r="68" spans="1:11" x14ac:dyDescent="0.25">
      <c r="A68" s="154">
        <v>40936</v>
      </c>
      <c r="B68" s="150" t="s">
        <v>773</v>
      </c>
      <c r="C68" s="57" t="s">
        <v>774</v>
      </c>
      <c r="D68" s="57" t="s">
        <v>26</v>
      </c>
      <c r="E68" s="153">
        <v>5.5</v>
      </c>
      <c r="F68" s="153">
        <v>42.79</v>
      </c>
      <c r="G68" s="164"/>
      <c r="H68" s="164">
        <v>235.345</v>
      </c>
      <c r="I68" s="58">
        <v>57</v>
      </c>
      <c r="K68" s="57"/>
    </row>
    <row r="69" spans="1:11" x14ac:dyDescent="0.25">
      <c r="A69" s="154">
        <v>40936</v>
      </c>
      <c r="B69" s="150" t="s">
        <v>780</v>
      </c>
      <c r="C69" s="57" t="s">
        <v>8</v>
      </c>
      <c r="D69" s="57" t="s">
        <v>26</v>
      </c>
      <c r="E69" s="153">
        <v>5.5</v>
      </c>
      <c r="F69" s="153">
        <v>35.35</v>
      </c>
      <c r="G69" s="164"/>
      <c r="H69" s="164">
        <v>194.42500000000001</v>
      </c>
      <c r="I69" s="58">
        <v>57</v>
      </c>
      <c r="K69" s="57"/>
    </row>
    <row r="70" spans="1:11" x14ac:dyDescent="0.25">
      <c r="A70" s="154">
        <v>40939</v>
      </c>
      <c r="B70" s="150" t="s">
        <v>792</v>
      </c>
      <c r="C70" s="57" t="s">
        <v>793</v>
      </c>
      <c r="D70" s="57" t="s">
        <v>748</v>
      </c>
      <c r="E70" s="153">
        <v>1</v>
      </c>
      <c r="F70" s="153">
        <v>55</v>
      </c>
      <c r="G70" s="164"/>
      <c r="H70" s="164">
        <v>55</v>
      </c>
      <c r="I70" s="58">
        <v>57</v>
      </c>
      <c r="K70" s="57"/>
    </row>
    <row r="71" spans="1:11" x14ac:dyDescent="0.25">
      <c r="A71" s="154">
        <v>40975</v>
      </c>
      <c r="B71" s="150" t="s">
        <v>776</v>
      </c>
      <c r="C71" s="57" t="s">
        <v>8</v>
      </c>
      <c r="D71" s="57" t="s">
        <v>26</v>
      </c>
      <c r="E71" s="153">
        <v>4</v>
      </c>
      <c r="F71" s="153">
        <v>35.35</v>
      </c>
      <c r="G71" s="164"/>
      <c r="H71" s="164">
        <v>141.4</v>
      </c>
      <c r="I71" s="58">
        <v>57</v>
      </c>
      <c r="K71" s="57"/>
    </row>
    <row r="72" spans="1:11" x14ac:dyDescent="0.25">
      <c r="A72" s="154">
        <v>40975</v>
      </c>
      <c r="B72" s="150" t="s">
        <v>776</v>
      </c>
      <c r="C72" s="57" t="s">
        <v>8</v>
      </c>
      <c r="D72" s="57" t="s">
        <v>26</v>
      </c>
      <c r="E72" s="153">
        <v>4</v>
      </c>
      <c r="F72" s="153">
        <v>35.35</v>
      </c>
      <c r="G72" s="164"/>
      <c r="H72" s="164">
        <v>141.4</v>
      </c>
      <c r="I72" s="58">
        <v>57</v>
      </c>
      <c r="K72" s="57"/>
    </row>
    <row r="73" spans="1:11" x14ac:dyDescent="0.25">
      <c r="A73" s="154">
        <v>40975</v>
      </c>
      <c r="B73" s="150" t="s">
        <v>682</v>
      </c>
      <c r="C73" s="57" t="s">
        <v>794</v>
      </c>
      <c r="D73" s="57" t="s">
        <v>26</v>
      </c>
      <c r="E73" s="153">
        <v>4</v>
      </c>
      <c r="F73" s="153">
        <v>7</v>
      </c>
      <c r="G73" s="164"/>
      <c r="H73" s="164">
        <v>28</v>
      </c>
      <c r="I73" s="58">
        <v>57</v>
      </c>
      <c r="K73" s="57"/>
    </row>
    <row r="74" spans="1:11" x14ac:dyDescent="0.25">
      <c r="A74" s="154">
        <v>40975</v>
      </c>
      <c r="B74" s="150" t="s">
        <v>773</v>
      </c>
      <c r="C74" s="57" t="s">
        <v>774</v>
      </c>
      <c r="D74" s="57" t="s">
        <v>26</v>
      </c>
      <c r="E74" s="153">
        <v>4</v>
      </c>
      <c r="F74" s="153">
        <v>42.79</v>
      </c>
      <c r="G74" s="164"/>
      <c r="H74" s="164">
        <v>171.16</v>
      </c>
      <c r="I74" s="58">
        <v>57</v>
      </c>
      <c r="K74" s="57"/>
    </row>
    <row r="75" spans="1:11" x14ac:dyDescent="0.25">
      <c r="A75" s="154">
        <v>40975</v>
      </c>
      <c r="B75" s="150" t="s">
        <v>780</v>
      </c>
      <c r="C75" s="57" t="s">
        <v>8</v>
      </c>
      <c r="D75" s="57" t="s">
        <v>26</v>
      </c>
      <c r="E75" s="153">
        <v>4</v>
      </c>
      <c r="F75" s="153">
        <v>35.35</v>
      </c>
      <c r="G75" s="164"/>
      <c r="H75" s="164">
        <v>141.4</v>
      </c>
      <c r="I75" s="58">
        <v>57</v>
      </c>
      <c r="K75" s="57"/>
    </row>
    <row r="76" spans="1:11" x14ac:dyDescent="0.25">
      <c r="A76" s="154">
        <v>40975</v>
      </c>
      <c r="B76" s="150" t="s">
        <v>776</v>
      </c>
      <c r="C76" s="57" t="s">
        <v>8</v>
      </c>
      <c r="D76" s="57" t="s">
        <v>26</v>
      </c>
      <c r="E76" s="153">
        <v>4</v>
      </c>
      <c r="F76" s="153">
        <v>35.35</v>
      </c>
      <c r="G76" s="164"/>
      <c r="H76" s="164">
        <v>141.4</v>
      </c>
      <c r="I76" s="58">
        <v>57</v>
      </c>
      <c r="K76" s="57"/>
    </row>
    <row r="77" spans="1:11" x14ac:dyDescent="0.25">
      <c r="A77" s="169" t="s">
        <v>682</v>
      </c>
      <c r="B77" s="170" t="s">
        <v>795</v>
      </c>
      <c r="C77" s="171" t="s">
        <v>682</v>
      </c>
      <c r="D77" s="171" t="s">
        <v>682</v>
      </c>
      <c r="E77" s="172"/>
      <c r="F77" s="172"/>
      <c r="G77" s="173"/>
      <c r="H77" s="173">
        <v>4381.2250000000004</v>
      </c>
      <c r="I77" s="174" t="s">
        <v>682</v>
      </c>
      <c r="K77" s="57"/>
    </row>
    <row r="78" spans="1:11" x14ac:dyDescent="0.25">
      <c r="A78" s="154" t="s">
        <v>682</v>
      </c>
      <c r="B78" s="150" t="s">
        <v>682</v>
      </c>
      <c r="C78" s="57" t="s">
        <v>682</v>
      </c>
      <c r="D78" s="57" t="s">
        <v>682</v>
      </c>
      <c r="E78" s="153"/>
      <c r="F78" s="153"/>
      <c r="G78" s="164"/>
      <c r="H78" s="164"/>
      <c r="I78" s="58" t="s">
        <v>682</v>
      </c>
      <c r="K78" s="57"/>
    </row>
    <row r="79" spans="1:11" x14ac:dyDescent="0.25">
      <c r="A79" s="166" t="s">
        <v>682</v>
      </c>
      <c r="B79" s="165" t="s">
        <v>796</v>
      </c>
      <c r="C79" s="60" t="s">
        <v>682</v>
      </c>
      <c r="D79" s="60" t="s">
        <v>682</v>
      </c>
      <c r="E79" s="167"/>
      <c r="F79" s="167"/>
      <c r="G79" s="168"/>
      <c r="H79" s="168"/>
      <c r="I79" s="46" t="s">
        <v>682</v>
      </c>
      <c r="K79" s="57"/>
    </row>
    <row r="80" spans="1:11" x14ac:dyDescent="0.25">
      <c r="A80" s="154">
        <v>40872</v>
      </c>
      <c r="B80" s="150" t="s">
        <v>1188</v>
      </c>
      <c r="C80" s="57" t="s">
        <v>775</v>
      </c>
      <c r="D80" s="57" t="s">
        <v>26</v>
      </c>
      <c r="E80" s="153">
        <v>3</v>
      </c>
      <c r="F80" s="153">
        <v>80</v>
      </c>
      <c r="G80" s="164"/>
      <c r="H80" s="164">
        <v>240</v>
      </c>
      <c r="I80" s="58">
        <v>59</v>
      </c>
      <c r="K80" s="57"/>
    </row>
    <row r="81" spans="1:11" x14ac:dyDescent="0.25">
      <c r="A81" s="154">
        <v>40872</v>
      </c>
      <c r="B81" s="150" t="s">
        <v>780</v>
      </c>
      <c r="C81" s="57" t="s">
        <v>8</v>
      </c>
      <c r="D81" s="57" t="s">
        <v>26</v>
      </c>
      <c r="E81" s="153">
        <v>3</v>
      </c>
      <c r="F81" s="153">
        <v>35.35</v>
      </c>
      <c r="G81" s="164"/>
      <c r="H81" s="164">
        <v>106.05</v>
      </c>
      <c r="I81" s="58">
        <v>59</v>
      </c>
      <c r="K81" s="57"/>
    </row>
    <row r="82" spans="1:11" x14ac:dyDescent="0.25">
      <c r="A82" s="154">
        <v>40874</v>
      </c>
      <c r="B82" s="150" t="s">
        <v>780</v>
      </c>
      <c r="C82" s="57" t="s">
        <v>8</v>
      </c>
      <c r="D82" s="57" t="s">
        <v>26</v>
      </c>
      <c r="E82" s="153">
        <v>6</v>
      </c>
      <c r="F82" s="153">
        <v>35.35</v>
      </c>
      <c r="G82" s="164"/>
      <c r="H82" s="164">
        <v>212.1</v>
      </c>
      <c r="I82" s="58">
        <v>59</v>
      </c>
      <c r="K82" s="57"/>
    </row>
    <row r="83" spans="1:11" x14ac:dyDescent="0.25">
      <c r="A83" s="154">
        <v>40874</v>
      </c>
      <c r="B83" s="150" t="s">
        <v>782</v>
      </c>
      <c r="C83" s="57" t="s">
        <v>8</v>
      </c>
      <c r="D83" s="57" t="s">
        <v>26</v>
      </c>
      <c r="E83" s="153">
        <v>3</v>
      </c>
      <c r="F83" s="153">
        <v>35.35</v>
      </c>
      <c r="G83" s="164"/>
      <c r="H83" s="164">
        <v>106.05</v>
      </c>
      <c r="I83" s="58">
        <v>59</v>
      </c>
      <c r="K83" s="57"/>
    </row>
    <row r="84" spans="1:11" x14ac:dyDescent="0.25">
      <c r="A84" s="154">
        <v>40874</v>
      </c>
      <c r="B84" s="150" t="s">
        <v>776</v>
      </c>
      <c r="C84" s="57" t="s">
        <v>8</v>
      </c>
      <c r="D84" s="57" t="s">
        <v>26</v>
      </c>
      <c r="E84" s="153">
        <v>3</v>
      </c>
      <c r="F84" s="153">
        <v>35.35</v>
      </c>
      <c r="G84" s="164"/>
      <c r="H84" s="164">
        <v>106.05</v>
      </c>
      <c r="I84" s="58">
        <v>59</v>
      </c>
      <c r="K84" s="57"/>
    </row>
    <row r="85" spans="1:11" x14ac:dyDescent="0.25">
      <c r="A85" s="154">
        <v>40874</v>
      </c>
      <c r="B85" s="150" t="s">
        <v>773</v>
      </c>
      <c r="C85" s="57" t="s">
        <v>774</v>
      </c>
      <c r="D85" s="57" t="s">
        <v>26</v>
      </c>
      <c r="E85" s="153">
        <v>3</v>
      </c>
      <c r="F85" s="153">
        <v>42.79</v>
      </c>
      <c r="G85" s="164"/>
      <c r="H85" s="164">
        <v>128.37</v>
      </c>
      <c r="I85" s="58">
        <v>59</v>
      </c>
      <c r="K85" s="57"/>
    </row>
    <row r="86" spans="1:11" x14ac:dyDescent="0.25">
      <c r="A86" s="154">
        <v>40874</v>
      </c>
      <c r="B86" s="150" t="s">
        <v>1188</v>
      </c>
      <c r="C86" s="57" t="s">
        <v>775</v>
      </c>
      <c r="D86" s="57" t="s">
        <v>26</v>
      </c>
      <c r="E86" s="153">
        <v>6</v>
      </c>
      <c r="F86" s="153">
        <v>80</v>
      </c>
      <c r="G86" s="164"/>
      <c r="H86" s="164">
        <v>480</v>
      </c>
      <c r="I86" s="58">
        <v>59</v>
      </c>
      <c r="K86" s="57"/>
    </row>
    <row r="87" spans="1:11" x14ac:dyDescent="0.25">
      <c r="A87" s="154">
        <v>40874</v>
      </c>
      <c r="B87" s="150" t="s">
        <v>782</v>
      </c>
      <c r="C87" s="57" t="s">
        <v>8</v>
      </c>
      <c r="D87" s="57" t="s">
        <v>26</v>
      </c>
      <c r="E87" s="153">
        <v>8</v>
      </c>
      <c r="F87" s="153">
        <v>35.35</v>
      </c>
      <c r="G87" s="164"/>
      <c r="H87" s="164">
        <v>282.8</v>
      </c>
      <c r="I87" s="58">
        <v>59</v>
      </c>
      <c r="K87" s="57"/>
    </row>
    <row r="88" spans="1:11" x14ac:dyDescent="0.25">
      <c r="A88" s="154">
        <v>40875</v>
      </c>
      <c r="B88" s="150" t="s">
        <v>1188</v>
      </c>
      <c r="C88" s="57" t="s">
        <v>775</v>
      </c>
      <c r="D88" s="57" t="s">
        <v>26</v>
      </c>
      <c r="E88" s="153">
        <v>6.5</v>
      </c>
      <c r="F88" s="153">
        <v>80</v>
      </c>
      <c r="G88" s="164"/>
      <c r="H88" s="164">
        <v>520</v>
      </c>
      <c r="I88" s="58">
        <v>59</v>
      </c>
      <c r="K88" s="57"/>
    </row>
    <row r="89" spans="1:11" x14ac:dyDescent="0.25">
      <c r="A89" s="154">
        <v>40875</v>
      </c>
      <c r="B89" s="150" t="s">
        <v>780</v>
      </c>
      <c r="C89" s="57" t="s">
        <v>8</v>
      </c>
      <c r="D89" s="57" t="s">
        <v>26</v>
      </c>
      <c r="E89" s="153">
        <v>6.5</v>
      </c>
      <c r="F89" s="153">
        <v>35.35</v>
      </c>
      <c r="G89" s="164"/>
      <c r="H89" s="164">
        <v>229.77500000000001</v>
      </c>
      <c r="I89" s="58">
        <v>59</v>
      </c>
      <c r="K89" s="57"/>
    </row>
    <row r="90" spans="1:11" x14ac:dyDescent="0.25">
      <c r="A90" s="154">
        <v>40876</v>
      </c>
      <c r="B90" s="150" t="s">
        <v>1188</v>
      </c>
      <c r="C90" s="57" t="s">
        <v>775</v>
      </c>
      <c r="D90" s="57" t="s">
        <v>26</v>
      </c>
      <c r="E90" s="153">
        <v>6.5</v>
      </c>
      <c r="F90" s="153">
        <v>80</v>
      </c>
      <c r="G90" s="164"/>
      <c r="H90" s="164">
        <v>520</v>
      </c>
      <c r="I90" s="58">
        <v>59</v>
      </c>
      <c r="K90" s="57"/>
    </row>
    <row r="91" spans="1:11" x14ac:dyDescent="0.25">
      <c r="A91" s="154">
        <v>40876</v>
      </c>
      <c r="B91" s="150" t="s">
        <v>782</v>
      </c>
      <c r="C91" s="57" t="s">
        <v>8</v>
      </c>
      <c r="D91" s="57" t="s">
        <v>26</v>
      </c>
      <c r="E91" s="153">
        <v>7.5</v>
      </c>
      <c r="F91" s="153">
        <v>35.35</v>
      </c>
      <c r="G91" s="164"/>
      <c r="H91" s="164">
        <v>265.125</v>
      </c>
      <c r="I91" s="58">
        <v>59</v>
      </c>
      <c r="K91" s="57"/>
    </row>
    <row r="92" spans="1:11" x14ac:dyDescent="0.25">
      <c r="A92" s="154">
        <v>40876</v>
      </c>
      <c r="B92" s="150" t="s">
        <v>780</v>
      </c>
      <c r="C92" s="57" t="s">
        <v>8</v>
      </c>
      <c r="D92" s="57" t="s">
        <v>26</v>
      </c>
      <c r="E92" s="153">
        <v>6.5</v>
      </c>
      <c r="F92" s="153">
        <v>35.35</v>
      </c>
      <c r="G92" s="164"/>
      <c r="H92" s="164">
        <v>229.77500000000001</v>
      </c>
      <c r="I92" s="58">
        <v>59</v>
      </c>
      <c r="K92" s="57"/>
    </row>
    <row r="93" spans="1:11" x14ac:dyDescent="0.25">
      <c r="A93" s="154">
        <v>40877</v>
      </c>
      <c r="B93" s="150" t="s">
        <v>1188</v>
      </c>
      <c r="C93" s="57" t="s">
        <v>775</v>
      </c>
      <c r="D93" s="57" t="s">
        <v>26</v>
      </c>
      <c r="E93" s="153">
        <v>6.5</v>
      </c>
      <c r="F93" s="153">
        <v>80</v>
      </c>
      <c r="G93" s="164"/>
      <c r="H93" s="164">
        <v>520</v>
      </c>
      <c r="I93" s="58">
        <v>59</v>
      </c>
      <c r="K93" s="57"/>
    </row>
    <row r="94" spans="1:11" x14ac:dyDescent="0.25">
      <c r="A94" s="154">
        <v>40877</v>
      </c>
      <c r="B94" s="150" t="s">
        <v>780</v>
      </c>
      <c r="C94" s="57" t="s">
        <v>8</v>
      </c>
      <c r="D94" s="57" t="s">
        <v>26</v>
      </c>
      <c r="E94" s="153">
        <v>6.5</v>
      </c>
      <c r="F94" s="153">
        <v>35.35</v>
      </c>
      <c r="G94" s="164"/>
      <c r="H94" s="164">
        <v>229.77500000000001</v>
      </c>
      <c r="I94" s="58">
        <v>59</v>
      </c>
      <c r="K94" s="57"/>
    </row>
    <row r="95" spans="1:11" x14ac:dyDescent="0.25">
      <c r="A95" s="154">
        <v>40877</v>
      </c>
      <c r="B95" s="150" t="s">
        <v>782</v>
      </c>
      <c r="C95" s="57" t="s">
        <v>8</v>
      </c>
      <c r="D95" s="57" t="s">
        <v>26</v>
      </c>
      <c r="E95" s="153">
        <v>3.5</v>
      </c>
      <c r="F95" s="153">
        <v>35.35</v>
      </c>
      <c r="G95" s="164"/>
      <c r="H95" s="164">
        <v>123.72499999999999</v>
      </c>
      <c r="I95" s="58">
        <v>59</v>
      </c>
      <c r="K95" s="57"/>
    </row>
    <row r="96" spans="1:11" x14ac:dyDescent="0.25">
      <c r="A96" s="154">
        <v>40878</v>
      </c>
      <c r="B96" s="150" t="s">
        <v>780</v>
      </c>
      <c r="C96" s="57" t="s">
        <v>8</v>
      </c>
      <c r="D96" s="57" t="s">
        <v>26</v>
      </c>
      <c r="E96" s="153">
        <v>6</v>
      </c>
      <c r="F96" s="153">
        <v>35.35</v>
      </c>
      <c r="G96" s="164"/>
      <c r="H96" s="164">
        <v>212.1</v>
      </c>
      <c r="I96" s="58">
        <v>59</v>
      </c>
      <c r="K96" s="57"/>
    </row>
    <row r="97" spans="1:11" x14ac:dyDescent="0.25">
      <c r="A97" s="154">
        <v>40878</v>
      </c>
      <c r="B97" s="150" t="s">
        <v>1188</v>
      </c>
      <c r="C97" s="57" t="s">
        <v>775</v>
      </c>
      <c r="D97" s="57" t="s">
        <v>26</v>
      </c>
      <c r="E97" s="153">
        <v>6.5</v>
      </c>
      <c r="F97" s="153">
        <v>80</v>
      </c>
      <c r="G97" s="164"/>
      <c r="H97" s="164">
        <v>520</v>
      </c>
      <c r="I97" s="58">
        <v>59</v>
      </c>
      <c r="K97" s="57"/>
    </row>
    <row r="98" spans="1:11" x14ac:dyDescent="0.25">
      <c r="A98" s="154">
        <v>40883</v>
      </c>
      <c r="B98" s="150" t="s">
        <v>780</v>
      </c>
      <c r="C98" s="57" t="s">
        <v>8</v>
      </c>
      <c r="D98" s="57" t="s">
        <v>26</v>
      </c>
      <c r="E98" s="153">
        <v>5</v>
      </c>
      <c r="F98" s="153">
        <v>35.35</v>
      </c>
      <c r="G98" s="164"/>
      <c r="H98" s="164">
        <v>176.75</v>
      </c>
      <c r="I98" s="58">
        <v>59</v>
      </c>
      <c r="K98" s="57"/>
    </row>
    <row r="99" spans="1:11" x14ac:dyDescent="0.25">
      <c r="A99" s="154">
        <v>40883</v>
      </c>
      <c r="B99" s="150" t="s">
        <v>1188</v>
      </c>
      <c r="C99" s="57" t="s">
        <v>775</v>
      </c>
      <c r="D99" s="57" t="s">
        <v>26</v>
      </c>
      <c r="E99" s="153">
        <v>6</v>
      </c>
      <c r="F99" s="153">
        <v>80</v>
      </c>
      <c r="G99" s="164"/>
      <c r="H99" s="164">
        <v>480</v>
      </c>
      <c r="I99" s="58">
        <v>59</v>
      </c>
      <c r="K99" s="57"/>
    </row>
    <row r="100" spans="1:11" x14ac:dyDescent="0.25">
      <c r="A100" s="154">
        <v>40885</v>
      </c>
      <c r="B100" s="150" t="s">
        <v>1188</v>
      </c>
      <c r="C100" s="57" t="s">
        <v>775</v>
      </c>
      <c r="D100" s="57" t="s">
        <v>26</v>
      </c>
      <c r="E100" s="153">
        <v>4.5</v>
      </c>
      <c r="F100" s="153">
        <v>80</v>
      </c>
      <c r="G100" s="164"/>
      <c r="H100" s="164">
        <v>360</v>
      </c>
      <c r="I100" s="58">
        <v>59</v>
      </c>
      <c r="K100" s="57"/>
    </row>
    <row r="101" spans="1:11" x14ac:dyDescent="0.25">
      <c r="A101" s="154">
        <v>40885</v>
      </c>
      <c r="B101" s="150" t="s">
        <v>780</v>
      </c>
      <c r="C101" s="57" t="s">
        <v>8</v>
      </c>
      <c r="D101" s="57" t="s">
        <v>26</v>
      </c>
      <c r="E101" s="153">
        <v>4.5</v>
      </c>
      <c r="F101" s="153">
        <v>35.35</v>
      </c>
      <c r="G101" s="164"/>
      <c r="H101" s="164">
        <v>159.07499999999999</v>
      </c>
      <c r="I101" s="58">
        <v>59</v>
      </c>
      <c r="K101" s="57"/>
    </row>
    <row r="102" spans="1:11" x14ac:dyDescent="0.25">
      <c r="A102" s="154">
        <v>40886</v>
      </c>
      <c r="B102" s="150" t="s">
        <v>780</v>
      </c>
      <c r="C102" s="57" t="s">
        <v>8</v>
      </c>
      <c r="D102" s="57" t="s">
        <v>26</v>
      </c>
      <c r="E102" s="153">
        <v>2</v>
      </c>
      <c r="F102" s="153">
        <v>35.35</v>
      </c>
      <c r="G102" s="164"/>
      <c r="H102" s="164">
        <v>70.7</v>
      </c>
      <c r="I102" s="58">
        <v>59</v>
      </c>
      <c r="K102" s="57"/>
    </row>
    <row r="103" spans="1:11" x14ac:dyDescent="0.25">
      <c r="A103" s="154">
        <v>40886</v>
      </c>
      <c r="B103" s="150" t="s">
        <v>782</v>
      </c>
      <c r="C103" s="57" t="s">
        <v>8</v>
      </c>
      <c r="D103" s="57" t="s">
        <v>26</v>
      </c>
      <c r="E103" s="153">
        <v>2</v>
      </c>
      <c r="F103" s="153">
        <v>35.35</v>
      </c>
      <c r="G103" s="164"/>
      <c r="H103" s="164">
        <v>70.7</v>
      </c>
      <c r="I103" s="58">
        <v>59</v>
      </c>
      <c r="K103" s="57"/>
    </row>
    <row r="104" spans="1:11" x14ac:dyDescent="0.25">
      <c r="A104" s="154">
        <v>40886</v>
      </c>
      <c r="B104" s="150" t="s">
        <v>1188</v>
      </c>
      <c r="C104" s="57" t="s">
        <v>775</v>
      </c>
      <c r="D104" s="57" t="s">
        <v>26</v>
      </c>
      <c r="E104" s="153">
        <v>2</v>
      </c>
      <c r="F104" s="153">
        <v>80</v>
      </c>
      <c r="G104" s="164"/>
      <c r="H104" s="164">
        <v>160</v>
      </c>
      <c r="I104" s="58">
        <v>59</v>
      </c>
      <c r="K104" s="57"/>
    </row>
    <row r="105" spans="1:11" x14ac:dyDescent="0.25">
      <c r="A105" s="154">
        <v>40888</v>
      </c>
      <c r="B105" s="150" t="s">
        <v>1188</v>
      </c>
      <c r="C105" s="57" t="s">
        <v>775</v>
      </c>
      <c r="D105" s="57" t="s">
        <v>26</v>
      </c>
      <c r="E105" s="153">
        <v>10.5</v>
      </c>
      <c r="F105" s="153">
        <v>80</v>
      </c>
      <c r="G105" s="164"/>
      <c r="H105" s="164">
        <v>840</v>
      </c>
      <c r="I105" s="58">
        <v>59</v>
      </c>
      <c r="K105" s="57"/>
    </row>
    <row r="106" spans="1:11" x14ac:dyDescent="0.25">
      <c r="A106" s="154">
        <v>40888</v>
      </c>
      <c r="B106" s="150" t="s">
        <v>780</v>
      </c>
      <c r="C106" s="57" t="s">
        <v>8</v>
      </c>
      <c r="D106" s="57" t="s">
        <v>26</v>
      </c>
      <c r="E106" s="153">
        <v>10.5</v>
      </c>
      <c r="F106" s="153">
        <v>35.35</v>
      </c>
      <c r="G106" s="164"/>
      <c r="H106" s="164">
        <v>371.17500000000001</v>
      </c>
      <c r="I106" s="58">
        <v>59</v>
      </c>
      <c r="K106" s="57"/>
    </row>
    <row r="107" spans="1:11" x14ac:dyDescent="0.25">
      <c r="A107" s="154">
        <v>40889</v>
      </c>
      <c r="B107" s="150" t="s">
        <v>780</v>
      </c>
      <c r="C107" s="57" t="s">
        <v>8</v>
      </c>
      <c r="D107" s="57" t="s">
        <v>26</v>
      </c>
      <c r="E107" s="153">
        <v>10.5</v>
      </c>
      <c r="F107" s="153">
        <v>35.35</v>
      </c>
      <c r="G107" s="164"/>
      <c r="H107" s="164">
        <v>371.17500000000001</v>
      </c>
      <c r="I107" s="58">
        <v>59</v>
      </c>
      <c r="K107" s="57"/>
    </row>
    <row r="108" spans="1:11" x14ac:dyDescent="0.25">
      <c r="A108" s="154">
        <v>40934</v>
      </c>
      <c r="B108" s="150" t="s">
        <v>1188</v>
      </c>
      <c r="C108" s="57" t="s">
        <v>775</v>
      </c>
      <c r="D108" s="57" t="s">
        <v>26</v>
      </c>
      <c r="E108" s="153">
        <v>10.5</v>
      </c>
      <c r="F108" s="153">
        <v>80</v>
      </c>
      <c r="G108" s="164"/>
      <c r="H108" s="164">
        <v>840</v>
      </c>
      <c r="I108" s="58">
        <v>59</v>
      </c>
      <c r="K108" s="57"/>
    </row>
    <row r="109" spans="1:11" x14ac:dyDescent="0.25">
      <c r="A109" s="154">
        <v>40937</v>
      </c>
      <c r="B109" s="150" t="s">
        <v>1188</v>
      </c>
      <c r="C109" s="57" t="s">
        <v>775</v>
      </c>
      <c r="D109" s="57" t="s">
        <v>26</v>
      </c>
      <c r="E109" s="153">
        <v>10</v>
      </c>
      <c r="F109" s="153">
        <v>80</v>
      </c>
      <c r="G109" s="164"/>
      <c r="H109" s="164">
        <v>800</v>
      </c>
      <c r="I109" s="58">
        <v>59</v>
      </c>
      <c r="K109" s="57"/>
    </row>
    <row r="110" spans="1:11" x14ac:dyDescent="0.25">
      <c r="A110" s="154">
        <v>40937</v>
      </c>
      <c r="B110" s="150" t="s">
        <v>780</v>
      </c>
      <c r="C110" s="57" t="s">
        <v>8</v>
      </c>
      <c r="D110" s="57" t="s">
        <v>26</v>
      </c>
      <c r="E110" s="153">
        <v>10</v>
      </c>
      <c r="F110" s="153">
        <v>35.35</v>
      </c>
      <c r="G110" s="164"/>
      <c r="H110" s="164">
        <v>353.5</v>
      </c>
      <c r="I110" s="58">
        <v>59</v>
      </c>
      <c r="K110" s="57"/>
    </row>
    <row r="111" spans="1:11" x14ac:dyDescent="0.25">
      <c r="A111" s="154">
        <v>40937</v>
      </c>
      <c r="B111" s="150" t="s">
        <v>791</v>
      </c>
      <c r="C111" s="57" t="s">
        <v>1189</v>
      </c>
      <c r="D111" s="57" t="s">
        <v>26</v>
      </c>
      <c r="E111" s="153">
        <v>8.5</v>
      </c>
      <c r="F111" s="153">
        <v>95</v>
      </c>
      <c r="G111" s="164"/>
      <c r="H111" s="164">
        <v>807.5</v>
      </c>
      <c r="I111" s="58">
        <v>59</v>
      </c>
      <c r="K111" s="57"/>
    </row>
    <row r="112" spans="1:11" x14ac:dyDescent="0.25">
      <c r="A112" s="154">
        <v>40938</v>
      </c>
      <c r="B112" s="150" t="s">
        <v>791</v>
      </c>
      <c r="C112" s="57" t="s">
        <v>1189</v>
      </c>
      <c r="D112" s="57" t="s">
        <v>26</v>
      </c>
      <c r="E112" s="153">
        <v>3</v>
      </c>
      <c r="F112" s="153">
        <v>95</v>
      </c>
      <c r="G112" s="164"/>
      <c r="H112" s="164">
        <v>285</v>
      </c>
      <c r="I112" s="58">
        <v>59</v>
      </c>
      <c r="K112" s="57"/>
    </row>
    <row r="113" spans="1:11" x14ac:dyDescent="0.25">
      <c r="A113" s="154">
        <v>40938</v>
      </c>
      <c r="B113" s="150" t="s">
        <v>791</v>
      </c>
      <c r="C113" s="57" t="s">
        <v>1189</v>
      </c>
      <c r="D113" s="57" t="s">
        <v>26</v>
      </c>
      <c r="E113" s="153">
        <v>5.5</v>
      </c>
      <c r="F113" s="153">
        <v>95</v>
      </c>
      <c r="G113" s="164"/>
      <c r="H113" s="164">
        <v>522.5</v>
      </c>
      <c r="I113" s="58">
        <v>59</v>
      </c>
      <c r="K113" s="57"/>
    </row>
    <row r="114" spans="1:11" x14ac:dyDescent="0.25">
      <c r="A114" s="154">
        <v>40938</v>
      </c>
      <c r="B114" s="150" t="s">
        <v>780</v>
      </c>
      <c r="C114" s="57" t="s">
        <v>8</v>
      </c>
      <c r="D114" s="57" t="s">
        <v>26</v>
      </c>
      <c r="E114" s="153">
        <v>10</v>
      </c>
      <c r="F114" s="153">
        <v>35.35</v>
      </c>
      <c r="G114" s="164"/>
      <c r="H114" s="164">
        <v>353.5</v>
      </c>
      <c r="I114" s="58">
        <v>59</v>
      </c>
      <c r="K114" s="57"/>
    </row>
    <row r="115" spans="1:11" x14ac:dyDescent="0.25">
      <c r="A115" s="154">
        <v>40938</v>
      </c>
      <c r="B115" s="150" t="s">
        <v>1188</v>
      </c>
      <c r="C115" s="57" t="s">
        <v>775</v>
      </c>
      <c r="D115" s="57" t="s">
        <v>26</v>
      </c>
      <c r="E115" s="153">
        <v>10</v>
      </c>
      <c r="F115" s="153">
        <v>80</v>
      </c>
      <c r="G115" s="164"/>
      <c r="H115" s="164">
        <v>800</v>
      </c>
      <c r="I115" s="58">
        <v>59</v>
      </c>
      <c r="K115" s="57"/>
    </row>
    <row r="116" spans="1:11" x14ac:dyDescent="0.25">
      <c r="A116" s="154">
        <v>40939</v>
      </c>
      <c r="B116" s="150" t="s">
        <v>797</v>
      </c>
      <c r="C116" s="57" t="s">
        <v>1189</v>
      </c>
      <c r="D116" s="57" t="s">
        <v>26</v>
      </c>
      <c r="E116" s="153">
        <v>5</v>
      </c>
      <c r="F116" s="153">
        <v>45</v>
      </c>
      <c r="G116" s="164"/>
      <c r="H116" s="164">
        <v>225</v>
      </c>
      <c r="I116" s="58">
        <v>59</v>
      </c>
      <c r="K116" s="57"/>
    </row>
    <row r="117" spans="1:11" x14ac:dyDescent="0.25">
      <c r="A117" s="154">
        <v>40939</v>
      </c>
      <c r="B117" s="150" t="s">
        <v>1188</v>
      </c>
      <c r="C117" s="57" t="s">
        <v>775</v>
      </c>
      <c r="D117" s="57" t="s">
        <v>26</v>
      </c>
      <c r="E117" s="153">
        <v>5.5</v>
      </c>
      <c r="F117" s="153">
        <v>80</v>
      </c>
      <c r="G117" s="164"/>
      <c r="H117" s="164">
        <v>440</v>
      </c>
      <c r="I117" s="58">
        <v>59</v>
      </c>
      <c r="K117" s="57"/>
    </row>
    <row r="118" spans="1:11" x14ac:dyDescent="0.25">
      <c r="A118" s="169" t="s">
        <v>682</v>
      </c>
      <c r="B118" s="170" t="s">
        <v>798</v>
      </c>
      <c r="C118" s="171" t="s">
        <v>682</v>
      </c>
      <c r="D118" s="171" t="s">
        <v>682</v>
      </c>
      <c r="E118" s="172"/>
      <c r="F118" s="172"/>
      <c r="G118" s="173"/>
      <c r="H118" s="173">
        <v>13518.27</v>
      </c>
      <c r="I118" s="174" t="s">
        <v>682</v>
      </c>
      <c r="K118" s="57"/>
    </row>
    <row r="119" spans="1:11" x14ac:dyDescent="0.25">
      <c r="A119" s="154" t="s">
        <v>682</v>
      </c>
      <c r="B119" s="150" t="s">
        <v>682</v>
      </c>
      <c r="C119" s="57" t="s">
        <v>682</v>
      </c>
      <c r="D119" s="57" t="s">
        <v>682</v>
      </c>
      <c r="E119" s="153"/>
      <c r="F119" s="153"/>
      <c r="G119" s="164"/>
      <c r="H119" s="164"/>
      <c r="I119" s="58" t="s">
        <v>682</v>
      </c>
      <c r="K119" s="57"/>
    </row>
    <row r="120" spans="1:11" x14ac:dyDescent="0.25">
      <c r="A120" s="166" t="s">
        <v>682</v>
      </c>
      <c r="B120" s="165" t="s">
        <v>799</v>
      </c>
      <c r="C120" s="60" t="s">
        <v>682</v>
      </c>
      <c r="D120" s="60" t="s">
        <v>682</v>
      </c>
      <c r="E120" s="167"/>
      <c r="F120" s="167"/>
      <c r="G120" s="168"/>
      <c r="H120" s="168"/>
      <c r="I120" s="46" t="s">
        <v>682</v>
      </c>
      <c r="K120" s="57"/>
    </row>
    <row r="121" spans="1:11" x14ac:dyDescent="0.25">
      <c r="A121" s="154">
        <v>40860</v>
      </c>
      <c r="B121" s="150" t="s">
        <v>780</v>
      </c>
      <c r="C121" s="57" t="s">
        <v>8</v>
      </c>
      <c r="D121" s="57" t="s">
        <v>26</v>
      </c>
      <c r="E121" s="153">
        <v>2.5</v>
      </c>
      <c r="F121" s="153">
        <v>35.35</v>
      </c>
      <c r="G121" s="164"/>
      <c r="H121" s="164">
        <v>88.375</v>
      </c>
      <c r="I121" s="58">
        <v>61</v>
      </c>
      <c r="K121" s="57"/>
    </row>
    <row r="122" spans="1:11" x14ac:dyDescent="0.25">
      <c r="A122" s="154">
        <v>40860</v>
      </c>
      <c r="B122" s="150" t="s">
        <v>773</v>
      </c>
      <c r="C122" s="57" t="s">
        <v>774</v>
      </c>
      <c r="D122" s="57" t="s">
        <v>26</v>
      </c>
      <c r="E122" s="153">
        <v>3</v>
      </c>
      <c r="F122" s="153">
        <v>42.79</v>
      </c>
      <c r="G122" s="164"/>
      <c r="H122" s="164">
        <v>128.37</v>
      </c>
      <c r="I122" s="58">
        <v>61</v>
      </c>
      <c r="K122" s="57"/>
    </row>
    <row r="123" spans="1:11" x14ac:dyDescent="0.25">
      <c r="A123" s="154">
        <v>40860</v>
      </c>
      <c r="B123" s="150" t="s">
        <v>776</v>
      </c>
      <c r="C123" s="57" t="s">
        <v>8</v>
      </c>
      <c r="D123" s="57" t="s">
        <v>26</v>
      </c>
      <c r="E123" s="153">
        <v>3</v>
      </c>
      <c r="F123" s="153">
        <v>35.35</v>
      </c>
      <c r="G123" s="164"/>
      <c r="H123" s="164">
        <v>106.05</v>
      </c>
      <c r="I123" s="58">
        <v>61</v>
      </c>
      <c r="K123" s="57"/>
    </row>
    <row r="124" spans="1:11" x14ac:dyDescent="0.25">
      <c r="A124" s="154">
        <v>40860</v>
      </c>
      <c r="B124" s="150" t="s">
        <v>1188</v>
      </c>
      <c r="C124" s="57" t="s">
        <v>775</v>
      </c>
      <c r="D124" s="57" t="s">
        <v>26</v>
      </c>
      <c r="E124" s="153">
        <v>3</v>
      </c>
      <c r="F124" s="153">
        <v>80</v>
      </c>
      <c r="G124" s="164"/>
      <c r="H124" s="164">
        <v>240</v>
      </c>
      <c r="I124" s="58">
        <v>61</v>
      </c>
      <c r="K124" s="57"/>
    </row>
    <row r="125" spans="1:11" x14ac:dyDescent="0.25">
      <c r="A125" s="154">
        <v>40860</v>
      </c>
      <c r="B125" s="150" t="s">
        <v>800</v>
      </c>
      <c r="C125" s="57" t="s">
        <v>794</v>
      </c>
      <c r="D125" s="57" t="s">
        <v>26</v>
      </c>
      <c r="E125" s="153">
        <v>3</v>
      </c>
      <c r="F125" s="153">
        <v>7</v>
      </c>
      <c r="G125" s="164"/>
      <c r="H125" s="164">
        <v>21</v>
      </c>
      <c r="I125" s="58">
        <v>61</v>
      </c>
      <c r="K125" s="57"/>
    </row>
    <row r="126" spans="1:11" x14ac:dyDescent="0.25">
      <c r="A126" s="154">
        <v>40860</v>
      </c>
      <c r="B126" s="150" t="s">
        <v>782</v>
      </c>
      <c r="C126" s="57" t="s">
        <v>8</v>
      </c>
      <c r="D126" s="57" t="s">
        <v>26</v>
      </c>
      <c r="E126" s="153">
        <v>2.5</v>
      </c>
      <c r="F126" s="153">
        <v>35.35</v>
      </c>
      <c r="G126" s="164"/>
      <c r="H126" s="164">
        <v>88.375</v>
      </c>
      <c r="I126" s="58">
        <v>61</v>
      </c>
      <c r="K126" s="57"/>
    </row>
    <row r="127" spans="1:11" x14ac:dyDescent="0.25">
      <c r="A127" s="154">
        <v>40860</v>
      </c>
      <c r="B127" s="150" t="s">
        <v>776</v>
      </c>
      <c r="C127" s="57" t="s">
        <v>8</v>
      </c>
      <c r="D127" s="57" t="s">
        <v>26</v>
      </c>
      <c r="E127" s="153">
        <v>2.5</v>
      </c>
      <c r="F127" s="153">
        <v>35.35</v>
      </c>
      <c r="G127" s="164"/>
      <c r="H127" s="164">
        <v>88.375</v>
      </c>
      <c r="I127" s="58">
        <v>61</v>
      </c>
      <c r="K127" s="57"/>
    </row>
    <row r="128" spans="1:11" x14ac:dyDescent="0.25">
      <c r="A128" s="154">
        <v>40861</v>
      </c>
      <c r="B128" s="150" t="s">
        <v>773</v>
      </c>
      <c r="C128" s="57" t="s">
        <v>774</v>
      </c>
      <c r="D128" s="57" t="s">
        <v>26</v>
      </c>
      <c r="E128" s="153">
        <v>3</v>
      </c>
      <c r="F128" s="153">
        <v>42.79</v>
      </c>
      <c r="G128" s="164"/>
      <c r="H128" s="164">
        <v>128.37</v>
      </c>
      <c r="I128" s="58">
        <v>61</v>
      </c>
      <c r="K128" s="57"/>
    </row>
    <row r="129" spans="1:11" x14ac:dyDescent="0.25">
      <c r="A129" s="154">
        <v>40861</v>
      </c>
      <c r="B129" s="150" t="s">
        <v>782</v>
      </c>
      <c r="C129" s="57" t="s">
        <v>8</v>
      </c>
      <c r="D129" s="57" t="s">
        <v>26</v>
      </c>
      <c r="E129" s="153">
        <v>8</v>
      </c>
      <c r="F129" s="153">
        <v>35.35</v>
      </c>
      <c r="G129" s="164"/>
      <c r="H129" s="164">
        <v>282.8</v>
      </c>
      <c r="I129" s="58">
        <v>61</v>
      </c>
      <c r="K129" s="57"/>
    </row>
    <row r="130" spans="1:11" x14ac:dyDescent="0.25">
      <c r="A130" s="154">
        <v>40861</v>
      </c>
      <c r="B130" s="150" t="s">
        <v>776</v>
      </c>
      <c r="C130" s="57" t="s">
        <v>8</v>
      </c>
      <c r="D130" s="57" t="s">
        <v>26</v>
      </c>
      <c r="E130" s="153">
        <v>8</v>
      </c>
      <c r="F130" s="153">
        <v>35.35</v>
      </c>
      <c r="G130" s="164"/>
      <c r="H130" s="164">
        <v>282.8</v>
      </c>
      <c r="I130" s="58">
        <v>61</v>
      </c>
      <c r="K130" s="57"/>
    </row>
    <row r="131" spans="1:11" x14ac:dyDescent="0.25">
      <c r="A131" s="154">
        <v>40861</v>
      </c>
      <c r="B131" s="150" t="s">
        <v>776</v>
      </c>
      <c r="C131" s="57" t="s">
        <v>8</v>
      </c>
      <c r="D131" s="57" t="s">
        <v>26</v>
      </c>
      <c r="E131" s="153">
        <v>3</v>
      </c>
      <c r="F131" s="153">
        <v>35.35</v>
      </c>
      <c r="G131" s="164"/>
      <c r="H131" s="164">
        <v>106.05</v>
      </c>
      <c r="I131" s="58">
        <v>61</v>
      </c>
      <c r="K131" s="57"/>
    </row>
    <row r="132" spans="1:11" x14ac:dyDescent="0.25">
      <c r="A132" s="154">
        <v>40861</v>
      </c>
      <c r="B132" s="150" t="s">
        <v>1188</v>
      </c>
      <c r="C132" s="57" t="s">
        <v>775</v>
      </c>
      <c r="D132" s="57" t="s">
        <v>26</v>
      </c>
      <c r="E132" s="153">
        <v>6</v>
      </c>
      <c r="F132" s="153">
        <v>80</v>
      </c>
      <c r="G132" s="164"/>
      <c r="H132" s="164">
        <v>480</v>
      </c>
      <c r="I132" s="58">
        <v>61</v>
      </c>
      <c r="K132" s="57"/>
    </row>
    <row r="133" spans="1:11" ht="30" x14ac:dyDescent="0.25">
      <c r="A133" s="154">
        <v>40861</v>
      </c>
      <c r="B133" s="150" t="s">
        <v>801</v>
      </c>
      <c r="C133" s="57" t="s">
        <v>802</v>
      </c>
      <c r="D133" s="57" t="s">
        <v>748</v>
      </c>
      <c r="E133" s="153">
        <v>1</v>
      </c>
      <c r="F133" s="153">
        <v>121</v>
      </c>
      <c r="G133" s="164"/>
      <c r="H133" s="164">
        <v>121</v>
      </c>
      <c r="I133" s="58">
        <v>61</v>
      </c>
      <c r="K133" s="57"/>
    </row>
    <row r="134" spans="1:11" x14ac:dyDescent="0.25">
      <c r="A134" s="154">
        <v>40862</v>
      </c>
      <c r="B134" s="150" t="s">
        <v>776</v>
      </c>
      <c r="C134" s="57" t="s">
        <v>8</v>
      </c>
      <c r="D134" s="57" t="s">
        <v>26</v>
      </c>
      <c r="E134" s="153">
        <v>3</v>
      </c>
      <c r="F134" s="153">
        <v>35.35</v>
      </c>
      <c r="G134" s="164"/>
      <c r="H134" s="164">
        <v>106.05</v>
      </c>
      <c r="I134" s="58">
        <v>61</v>
      </c>
      <c r="K134" s="57"/>
    </row>
    <row r="135" spans="1:11" x14ac:dyDescent="0.25">
      <c r="A135" s="154">
        <v>40862</v>
      </c>
      <c r="B135" s="150" t="s">
        <v>803</v>
      </c>
      <c r="C135" s="57" t="s">
        <v>793</v>
      </c>
      <c r="D135" s="57" t="s">
        <v>748</v>
      </c>
      <c r="E135" s="153">
        <v>1</v>
      </c>
      <c r="F135" s="153">
        <v>99</v>
      </c>
      <c r="G135" s="164"/>
      <c r="H135" s="164">
        <v>99</v>
      </c>
      <c r="I135" s="58">
        <v>61</v>
      </c>
      <c r="K135" s="57"/>
    </row>
    <row r="136" spans="1:11" x14ac:dyDescent="0.25">
      <c r="A136" s="154">
        <v>40862</v>
      </c>
      <c r="B136" s="150" t="s">
        <v>782</v>
      </c>
      <c r="C136" s="57" t="s">
        <v>8</v>
      </c>
      <c r="D136" s="57" t="s">
        <v>26</v>
      </c>
      <c r="E136" s="153">
        <v>8</v>
      </c>
      <c r="F136" s="153">
        <v>35.35</v>
      </c>
      <c r="G136" s="164"/>
      <c r="H136" s="164">
        <v>282.8</v>
      </c>
      <c r="I136" s="58">
        <v>61</v>
      </c>
      <c r="K136" s="57"/>
    </row>
    <row r="137" spans="1:11" x14ac:dyDescent="0.25">
      <c r="A137" s="154">
        <v>40862</v>
      </c>
      <c r="B137" s="150" t="s">
        <v>776</v>
      </c>
      <c r="C137" s="57" t="s">
        <v>8</v>
      </c>
      <c r="D137" s="57" t="s">
        <v>26</v>
      </c>
      <c r="E137" s="153">
        <v>2</v>
      </c>
      <c r="F137" s="153">
        <v>35.35</v>
      </c>
      <c r="G137" s="164"/>
      <c r="H137" s="164">
        <v>70.7</v>
      </c>
      <c r="I137" s="58">
        <v>61</v>
      </c>
      <c r="K137" s="57"/>
    </row>
    <row r="138" spans="1:11" x14ac:dyDescent="0.25">
      <c r="A138" s="154">
        <v>40863</v>
      </c>
      <c r="B138" s="150" t="s">
        <v>776</v>
      </c>
      <c r="C138" s="57" t="s">
        <v>8</v>
      </c>
      <c r="D138" s="57" t="s">
        <v>26</v>
      </c>
      <c r="E138" s="153">
        <v>3.5</v>
      </c>
      <c r="F138" s="153">
        <v>35.35</v>
      </c>
      <c r="G138" s="164"/>
      <c r="H138" s="164">
        <v>123.72499999999999</v>
      </c>
      <c r="I138" s="58">
        <v>61</v>
      </c>
      <c r="K138" s="57"/>
    </row>
    <row r="139" spans="1:11" x14ac:dyDescent="0.25">
      <c r="A139" s="154">
        <v>40863</v>
      </c>
      <c r="B139" s="150" t="s">
        <v>776</v>
      </c>
      <c r="C139" s="57" t="s">
        <v>8</v>
      </c>
      <c r="D139" s="57" t="s">
        <v>26</v>
      </c>
      <c r="E139" s="153">
        <v>3</v>
      </c>
      <c r="F139" s="153">
        <v>35.35</v>
      </c>
      <c r="G139" s="164"/>
      <c r="H139" s="164">
        <v>106.05</v>
      </c>
      <c r="I139" s="58">
        <v>61</v>
      </c>
      <c r="K139" s="57"/>
    </row>
    <row r="140" spans="1:11" x14ac:dyDescent="0.25">
      <c r="A140" s="154">
        <v>40869</v>
      </c>
      <c r="B140" s="150" t="s">
        <v>773</v>
      </c>
      <c r="C140" s="57" t="s">
        <v>774</v>
      </c>
      <c r="D140" s="57" t="s">
        <v>26</v>
      </c>
      <c r="E140" s="153">
        <v>5</v>
      </c>
      <c r="F140" s="153">
        <v>42.79</v>
      </c>
      <c r="G140" s="164"/>
      <c r="H140" s="164">
        <v>213.95</v>
      </c>
      <c r="I140" s="58">
        <v>61</v>
      </c>
      <c r="K140" s="57"/>
    </row>
    <row r="141" spans="1:11" x14ac:dyDescent="0.25">
      <c r="A141" s="154">
        <v>40869</v>
      </c>
      <c r="B141" s="150" t="s">
        <v>1188</v>
      </c>
      <c r="C141" s="57" t="s">
        <v>775</v>
      </c>
      <c r="D141" s="57" t="s">
        <v>26</v>
      </c>
      <c r="E141" s="153">
        <v>2</v>
      </c>
      <c r="F141" s="153">
        <v>80</v>
      </c>
      <c r="G141" s="164"/>
      <c r="H141" s="164">
        <v>160</v>
      </c>
      <c r="I141" s="58">
        <v>61</v>
      </c>
      <c r="K141" s="57"/>
    </row>
    <row r="142" spans="1:11" x14ac:dyDescent="0.25">
      <c r="A142" s="154">
        <v>40869</v>
      </c>
      <c r="B142" s="150" t="s">
        <v>776</v>
      </c>
      <c r="C142" s="57" t="s">
        <v>8</v>
      </c>
      <c r="D142" s="57" t="s">
        <v>26</v>
      </c>
      <c r="E142" s="153">
        <v>5</v>
      </c>
      <c r="F142" s="153">
        <v>35.35</v>
      </c>
      <c r="G142" s="164"/>
      <c r="H142" s="164">
        <v>176.75</v>
      </c>
      <c r="I142" s="58">
        <v>61</v>
      </c>
      <c r="K142" s="57"/>
    </row>
    <row r="143" spans="1:11" x14ac:dyDescent="0.25">
      <c r="A143" s="154">
        <v>40869</v>
      </c>
      <c r="B143" s="150" t="s">
        <v>782</v>
      </c>
      <c r="C143" s="57" t="s">
        <v>8</v>
      </c>
      <c r="D143" s="57" t="s">
        <v>26</v>
      </c>
      <c r="E143" s="153">
        <v>5</v>
      </c>
      <c r="F143" s="153">
        <v>35.35</v>
      </c>
      <c r="G143" s="164"/>
      <c r="H143" s="164">
        <v>176.75</v>
      </c>
      <c r="I143" s="58">
        <v>61</v>
      </c>
      <c r="K143" s="57"/>
    </row>
    <row r="144" spans="1:11" x14ac:dyDescent="0.25">
      <c r="A144" s="154">
        <v>40869</v>
      </c>
      <c r="B144" s="150" t="s">
        <v>776</v>
      </c>
      <c r="C144" s="57" t="s">
        <v>8</v>
      </c>
      <c r="D144" s="57" t="s">
        <v>26</v>
      </c>
      <c r="E144" s="153">
        <v>5</v>
      </c>
      <c r="F144" s="153">
        <v>35.35</v>
      </c>
      <c r="G144" s="164"/>
      <c r="H144" s="164">
        <v>176.75</v>
      </c>
      <c r="I144" s="58">
        <v>61</v>
      </c>
      <c r="K144" s="57"/>
    </row>
    <row r="145" spans="1:11" x14ac:dyDescent="0.25">
      <c r="A145" s="154">
        <v>40869</v>
      </c>
      <c r="B145" s="150" t="s">
        <v>782</v>
      </c>
      <c r="C145" s="57" t="s">
        <v>8</v>
      </c>
      <c r="D145" s="57" t="s">
        <v>26</v>
      </c>
      <c r="E145" s="153">
        <v>5</v>
      </c>
      <c r="F145" s="153">
        <v>35.35</v>
      </c>
      <c r="G145" s="164"/>
      <c r="H145" s="164">
        <v>176.75</v>
      </c>
      <c r="I145" s="58">
        <v>61</v>
      </c>
      <c r="K145" s="57"/>
    </row>
    <row r="146" spans="1:11" x14ac:dyDescent="0.25">
      <c r="A146" s="154">
        <v>40869</v>
      </c>
      <c r="B146" s="150" t="s">
        <v>782</v>
      </c>
      <c r="C146" s="57" t="s">
        <v>8</v>
      </c>
      <c r="D146" s="57" t="s">
        <v>26</v>
      </c>
      <c r="E146" s="153">
        <v>2</v>
      </c>
      <c r="F146" s="153">
        <v>35.35</v>
      </c>
      <c r="G146" s="164"/>
      <c r="H146" s="164">
        <v>70.7</v>
      </c>
      <c r="I146" s="58">
        <v>61</v>
      </c>
      <c r="K146" s="57"/>
    </row>
    <row r="147" spans="1:11" x14ac:dyDescent="0.25">
      <c r="A147" s="154">
        <v>40869</v>
      </c>
      <c r="B147" s="150" t="s">
        <v>804</v>
      </c>
      <c r="C147" s="57" t="s">
        <v>8</v>
      </c>
      <c r="D147" s="57" t="s">
        <v>26</v>
      </c>
      <c r="E147" s="153">
        <v>2</v>
      </c>
      <c r="F147" s="153">
        <v>44.2</v>
      </c>
      <c r="G147" s="164"/>
      <c r="H147" s="164">
        <v>88.4</v>
      </c>
      <c r="I147" s="58">
        <v>61</v>
      </c>
      <c r="K147" s="57"/>
    </row>
    <row r="148" spans="1:11" x14ac:dyDescent="0.25">
      <c r="A148" s="154">
        <v>40869</v>
      </c>
      <c r="B148" s="150" t="s">
        <v>780</v>
      </c>
      <c r="C148" s="57" t="s">
        <v>8</v>
      </c>
      <c r="D148" s="57" t="s">
        <v>26</v>
      </c>
      <c r="E148" s="153">
        <v>2</v>
      </c>
      <c r="F148" s="153">
        <v>35.35</v>
      </c>
      <c r="G148" s="164"/>
      <c r="H148" s="164">
        <v>70.7</v>
      </c>
      <c r="I148" s="58">
        <v>61</v>
      </c>
      <c r="K148" s="57"/>
    </row>
    <row r="149" spans="1:11" x14ac:dyDescent="0.25">
      <c r="A149" s="154">
        <v>40870</v>
      </c>
      <c r="B149" s="150" t="s">
        <v>804</v>
      </c>
      <c r="C149" s="57" t="s">
        <v>8</v>
      </c>
      <c r="D149" s="57" t="s">
        <v>26</v>
      </c>
      <c r="E149" s="153">
        <v>4</v>
      </c>
      <c r="F149" s="153">
        <v>44.2</v>
      </c>
      <c r="G149" s="164"/>
      <c r="H149" s="164">
        <v>176.8</v>
      </c>
      <c r="I149" s="58">
        <v>61</v>
      </c>
      <c r="K149" s="57"/>
    </row>
    <row r="150" spans="1:11" x14ac:dyDescent="0.25">
      <c r="A150" s="154">
        <v>40870</v>
      </c>
      <c r="B150" s="150" t="s">
        <v>782</v>
      </c>
      <c r="C150" s="57" t="s">
        <v>8</v>
      </c>
      <c r="D150" s="57" t="s">
        <v>26</v>
      </c>
      <c r="E150" s="153">
        <v>10</v>
      </c>
      <c r="F150" s="153">
        <v>35.35</v>
      </c>
      <c r="G150" s="164"/>
      <c r="H150" s="164">
        <v>353.5</v>
      </c>
      <c r="I150" s="58">
        <v>61</v>
      </c>
      <c r="K150" s="57"/>
    </row>
    <row r="151" spans="1:11" x14ac:dyDescent="0.25">
      <c r="A151" s="154">
        <v>40870</v>
      </c>
      <c r="B151" s="150" t="s">
        <v>780</v>
      </c>
      <c r="C151" s="57" t="s">
        <v>8</v>
      </c>
      <c r="D151" s="57" t="s">
        <v>26</v>
      </c>
      <c r="E151" s="153">
        <v>4</v>
      </c>
      <c r="F151" s="153">
        <v>35.35</v>
      </c>
      <c r="G151" s="164"/>
      <c r="H151" s="164">
        <v>141.4</v>
      </c>
      <c r="I151" s="58">
        <v>61</v>
      </c>
      <c r="K151" s="57"/>
    </row>
    <row r="152" spans="1:11" x14ac:dyDescent="0.25">
      <c r="A152" s="154">
        <v>40870</v>
      </c>
      <c r="B152" s="150" t="s">
        <v>782</v>
      </c>
      <c r="C152" s="57" t="s">
        <v>8</v>
      </c>
      <c r="D152" s="57" t="s">
        <v>26</v>
      </c>
      <c r="E152" s="153">
        <v>2</v>
      </c>
      <c r="F152" s="153">
        <v>35.35</v>
      </c>
      <c r="G152" s="164"/>
      <c r="H152" s="164">
        <v>70.7</v>
      </c>
      <c r="I152" s="58">
        <v>61</v>
      </c>
      <c r="K152" s="57"/>
    </row>
    <row r="153" spans="1:11" x14ac:dyDescent="0.25">
      <c r="A153" s="154">
        <v>40870</v>
      </c>
      <c r="B153" s="150" t="s">
        <v>805</v>
      </c>
      <c r="C153" s="57" t="s">
        <v>806</v>
      </c>
      <c r="D153" s="57" t="s">
        <v>25</v>
      </c>
      <c r="E153" s="153">
        <v>1</v>
      </c>
      <c r="F153" s="153">
        <v>365</v>
      </c>
      <c r="G153" s="164"/>
      <c r="H153" s="164">
        <v>365</v>
      </c>
      <c r="I153" s="58">
        <v>61</v>
      </c>
      <c r="K153" s="57"/>
    </row>
    <row r="154" spans="1:11" x14ac:dyDescent="0.25">
      <c r="A154" s="154">
        <v>40870</v>
      </c>
      <c r="B154" s="150" t="s">
        <v>1188</v>
      </c>
      <c r="C154" s="57" t="s">
        <v>775</v>
      </c>
      <c r="D154" s="57" t="s">
        <v>26</v>
      </c>
      <c r="E154" s="153">
        <v>4</v>
      </c>
      <c r="F154" s="153">
        <v>80</v>
      </c>
      <c r="G154" s="164"/>
      <c r="H154" s="164">
        <v>320</v>
      </c>
      <c r="I154" s="58">
        <v>61</v>
      </c>
      <c r="K154" s="57"/>
    </row>
    <row r="155" spans="1:11" x14ac:dyDescent="0.25">
      <c r="A155" s="154">
        <v>40870</v>
      </c>
      <c r="B155" s="150" t="s">
        <v>773</v>
      </c>
      <c r="C155" s="57" t="s">
        <v>774</v>
      </c>
      <c r="D155" s="57" t="s">
        <v>26</v>
      </c>
      <c r="E155" s="153">
        <v>10</v>
      </c>
      <c r="F155" s="153">
        <v>42.79</v>
      </c>
      <c r="G155" s="164"/>
      <c r="H155" s="164">
        <v>427.9</v>
      </c>
      <c r="I155" s="58">
        <v>61</v>
      </c>
      <c r="K155" s="57"/>
    </row>
    <row r="156" spans="1:11" x14ac:dyDescent="0.25">
      <c r="A156" s="154">
        <v>40870</v>
      </c>
      <c r="B156" s="150" t="s">
        <v>782</v>
      </c>
      <c r="C156" s="57" t="s">
        <v>8</v>
      </c>
      <c r="D156" s="57" t="s">
        <v>26</v>
      </c>
      <c r="E156" s="153">
        <v>4.5</v>
      </c>
      <c r="F156" s="153">
        <v>35.35</v>
      </c>
      <c r="G156" s="164"/>
      <c r="H156" s="164">
        <v>159.07499999999999</v>
      </c>
      <c r="I156" s="58">
        <v>61</v>
      </c>
      <c r="K156" s="57"/>
    </row>
    <row r="157" spans="1:11" x14ac:dyDescent="0.25">
      <c r="A157" s="154">
        <v>40870</v>
      </c>
      <c r="B157" s="150" t="s">
        <v>782</v>
      </c>
      <c r="C157" s="57" t="s">
        <v>8</v>
      </c>
      <c r="D157" s="57" t="s">
        <v>26</v>
      </c>
      <c r="E157" s="153">
        <v>10</v>
      </c>
      <c r="F157" s="153">
        <v>35.35</v>
      </c>
      <c r="G157" s="164"/>
      <c r="H157" s="164">
        <v>353.5</v>
      </c>
      <c r="I157" s="58">
        <v>61</v>
      </c>
      <c r="K157" s="57"/>
    </row>
    <row r="158" spans="1:11" x14ac:dyDescent="0.25">
      <c r="A158" s="154">
        <v>40870</v>
      </c>
      <c r="B158" s="150" t="s">
        <v>776</v>
      </c>
      <c r="C158" s="57" t="s">
        <v>8</v>
      </c>
      <c r="D158" s="57" t="s">
        <v>26</v>
      </c>
      <c r="E158" s="153">
        <v>10</v>
      </c>
      <c r="F158" s="153">
        <v>35.35</v>
      </c>
      <c r="G158" s="164"/>
      <c r="H158" s="164">
        <v>353.5</v>
      </c>
      <c r="I158" s="58">
        <v>61</v>
      </c>
      <c r="K158" s="57"/>
    </row>
    <row r="159" spans="1:11" x14ac:dyDescent="0.25">
      <c r="A159" s="154">
        <v>40871</v>
      </c>
      <c r="B159" s="150" t="s">
        <v>782</v>
      </c>
      <c r="C159" s="57" t="s">
        <v>8</v>
      </c>
      <c r="D159" s="57" t="s">
        <v>26</v>
      </c>
      <c r="E159" s="153">
        <v>8.5</v>
      </c>
      <c r="F159" s="153">
        <v>35.35</v>
      </c>
      <c r="G159" s="164"/>
      <c r="H159" s="164">
        <v>300.47500000000002</v>
      </c>
      <c r="I159" s="58">
        <v>61</v>
      </c>
      <c r="K159" s="57"/>
    </row>
    <row r="160" spans="1:11" x14ac:dyDescent="0.25">
      <c r="A160" s="154">
        <v>40871</v>
      </c>
      <c r="B160" s="150" t="s">
        <v>773</v>
      </c>
      <c r="C160" s="57" t="s">
        <v>774</v>
      </c>
      <c r="D160" s="57" t="s">
        <v>26</v>
      </c>
      <c r="E160" s="153">
        <v>10</v>
      </c>
      <c r="F160" s="153">
        <v>42.79</v>
      </c>
      <c r="G160" s="164"/>
      <c r="H160" s="164">
        <v>427.9</v>
      </c>
      <c r="I160" s="58">
        <v>61</v>
      </c>
      <c r="K160" s="57"/>
    </row>
    <row r="161" spans="1:11" x14ac:dyDescent="0.25">
      <c r="A161" s="154">
        <v>40871</v>
      </c>
      <c r="B161" s="150" t="s">
        <v>776</v>
      </c>
      <c r="C161" s="57" t="s">
        <v>8</v>
      </c>
      <c r="D161" s="57" t="s">
        <v>26</v>
      </c>
      <c r="E161" s="153">
        <v>10</v>
      </c>
      <c r="F161" s="153">
        <v>35.35</v>
      </c>
      <c r="G161" s="164"/>
      <c r="H161" s="164">
        <v>353.5</v>
      </c>
      <c r="I161" s="58">
        <v>61</v>
      </c>
      <c r="K161" s="57"/>
    </row>
    <row r="162" spans="1:11" x14ac:dyDescent="0.25">
      <c r="A162" s="154">
        <v>40871</v>
      </c>
      <c r="B162" s="150" t="s">
        <v>782</v>
      </c>
      <c r="C162" s="57" t="s">
        <v>8</v>
      </c>
      <c r="D162" s="57" t="s">
        <v>26</v>
      </c>
      <c r="E162" s="153">
        <v>10</v>
      </c>
      <c r="F162" s="153">
        <v>35.35</v>
      </c>
      <c r="G162" s="164"/>
      <c r="H162" s="164">
        <v>353.5</v>
      </c>
      <c r="I162" s="58">
        <v>61</v>
      </c>
      <c r="K162" s="57"/>
    </row>
    <row r="163" spans="1:11" x14ac:dyDescent="0.25">
      <c r="A163" s="154">
        <v>40872</v>
      </c>
      <c r="B163" s="150" t="s">
        <v>807</v>
      </c>
      <c r="C163" s="57" t="s">
        <v>808</v>
      </c>
      <c r="D163" s="57" t="s">
        <v>26</v>
      </c>
      <c r="E163" s="153">
        <v>6</v>
      </c>
      <c r="F163" s="153">
        <v>80</v>
      </c>
      <c r="G163" s="164"/>
      <c r="H163" s="164">
        <v>480</v>
      </c>
      <c r="I163" s="58">
        <v>61</v>
      </c>
      <c r="K163" s="57"/>
    </row>
    <row r="164" spans="1:11" x14ac:dyDescent="0.25">
      <c r="A164" s="154">
        <v>40872</v>
      </c>
      <c r="B164" s="150" t="s">
        <v>1188</v>
      </c>
      <c r="C164" s="57" t="s">
        <v>775</v>
      </c>
      <c r="D164" s="57" t="s">
        <v>26</v>
      </c>
      <c r="E164" s="153">
        <v>4.5</v>
      </c>
      <c r="F164" s="153">
        <v>80</v>
      </c>
      <c r="G164" s="164"/>
      <c r="H164" s="164">
        <v>360</v>
      </c>
      <c r="I164" s="58">
        <v>61</v>
      </c>
      <c r="K164" s="57"/>
    </row>
    <row r="165" spans="1:11" x14ac:dyDescent="0.25">
      <c r="A165" s="154">
        <v>40872</v>
      </c>
      <c r="B165" s="150" t="s">
        <v>782</v>
      </c>
      <c r="C165" s="57" t="s">
        <v>8</v>
      </c>
      <c r="D165" s="57" t="s">
        <v>26</v>
      </c>
      <c r="E165" s="153">
        <v>4.5</v>
      </c>
      <c r="F165" s="153">
        <v>35.35</v>
      </c>
      <c r="G165" s="164"/>
      <c r="H165" s="164">
        <v>159.07499999999999</v>
      </c>
      <c r="I165" s="58">
        <v>61</v>
      </c>
      <c r="K165" s="57"/>
    </row>
    <row r="166" spans="1:11" x14ac:dyDescent="0.25">
      <c r="A166" s="154">
        <v>40872</v>
      </c>
      <c r="B166" s="150" t="s">
        <v>780</v>
      </c>
      <c r="C166" s="57" t="s">
        <v>8</v>
      </c>
      <c r="D166" s="57" t="s">
        <v>26</v>
      </c>
      <c r="E166" s="153">
        <v>4.5</v>
      </c>
      <c r="F166" s="153">
        <v>35.35</v>
      </c>
      <c r="G166" s="164"/>
      <c r="H166" s="164">
        <v>159.07499999999999</v>
      </c>
      <c r="I166" s="58">
        <v>61</v>
      </c>
      <c r="K166" s="57"/>
    </row>
    <row r="167" spans="1:11" x14ac:dyDescent="0.25">
      <c r="A167" s="154">
        <v>40873</v>
      </c>
      <c r="B167" s="150" t="s">
        <v>807</v>
      </c>
      <c r="C167" s="57" t="s">
        <v>808</v>
      </c>
      <c r="D167" s="57" t="s">
        <v>26</v>
      </c>
      <c r="E167" s="153">
        <v>2</v>
      </c>
      <c r="F167" s="153">
        <v>80</v>
      </c>
      <c r="G167" s="164"/>
      <c r="H167" s="164">
        <v>160</v>
      </c>
      <c r="I167" s="58">
        <v>61</v>
      </c>
      <c r="K167" s="57"/>
    </row>
    <row r="168" spans="1:11" x14ac:dyDescent="0.25">
      <c r="A168" s="154">
        <v>40874</v>
      </c>
      <c r="B168" s="150" t="s">
        <v>807</v>
      </c>
      <c r="C168" s="57" t="s">
        <v>808</v>
      </c>
      <c r="D168" s="57" t="s">
        <v>26</v>
      </c>
      <c r="E168" s="153">
        <v>6</v>
      </c>
      <c r="F168" s="153">
        <v>80</v>
      </c>
      <c r="G168" s="164"/>
      <c r="H168" s="164">
        <v>480</v>
      </c>
      <c r="I168" s="58">
        <v>61</v>
      </c>
      <c r="K168" s="57"/>
    </row>
    <row r="169" spans="1:11" x14ac:dyDescent="0.25">
      <c r="A169" s="154">
        <v>40875</v>
      </c>
      <c r="B169" s="150" t="s">
        <v>809</v>
      </c>
      <c r="C169" s="57" t="s">
        <v>810</v>
      </c>
      <c r="D169" s="57" t="s">
        <v>25</v>
      </c>
      <c r="E169" s="153">
        <v>1</v>
      </c>
      <c r="F169" s="153">
        <v>2500</v>
      </c>
      <c r="G169" s="164"/>
      <c r="H169" s="164">
        <v>2500</v>
      </c>
      <c r="I169" s="58">
        <v>61</v>
      </c>
      <c r="K169" s="57"/>
    </row>
    <row r="170" spans="1:11" x14ac:dyDescent="0.25">
      <c r="A170" s="154">
        <v>40876</v>
      </c>
      <c r="B170" s="150" t="s">
        <v>807</v>
      </c>
      <c r="C170" s="57" t="s">
        <v>808</v>
      </c>
      <c r="D170" s="57" t="s">
        <v>26</v>
      </c>
      <c r="E170" s="153">
        <v>8</v>
      </c>
      <c r="F170" s="153">
        <v>80</v>
      </c>
      <c r="G170" s="164"/>
      <c r="H170" s="164">
        <v>640</v>
      </c>
      <c r="I170" s="58">
        <v>61</v>
      </c>
      <c r="K170" s="57"/>
    </row>
    <row r="171" spans="1:11" x14ac:dyDescent="0.25">
      <c r="A171" s="154">
        <v>40876</v>
      </c>
      <c r="B171" s="150" t="s">
        <v>809</v>
      </c>
      <c r="C171" s="57" t="s">
        <v>810</v>
      </c>
      <c r="D171" s="57" t="s">
        <v>25</v>
      </c>
      <c r="E171" s="153">
        <v>1</v>
      </c>
      <c r="F171" s="153">
        <v>2500</v>
      </c>
      <c r="G171" s="164"/>
      <c r="H171" s="164">
        <v>2500</v>
      </c>
      <c r="I171" s="58">
        <v>61</v>
      </c>
      <c r="K171" s="57"/>
    </row>
    <row r="172" spans="1:11" ht="30" x14ac:dyDescent="0.25">
      <c r="A172" s="154">
        <v>40877</v>
      </c>
      <c r="B172" s="150" t="s">
        <v>811</v>
      </c>
      <c r="C172" s="57" t="s">
        <v>802</v>
      </c>
      <c r="D172" s="57" t="s">
        <v>748</v>
      </c>
      <c r="E172" s="153">
        <v>1</v>
      </c>
      <c r="F172" s="153">
        <v>283.8</v>
      </c>
      <c r="G172" s="164"/>
      <c r="H172" s="164">
        <v>283.8</v>
      </c>
      <c r="I172" s="58">
        <v>61</v>
      </c>
      <c r="K172" s="57"/>
    </row>
    <row r="173" spans="1:11" ht="30" x14ac:dyDescent="0.25">
      <c r="A173" s="154">
        <v>40877</v>
      </c>
      <c r="B173" s="150" t="s">
        <v>812</v>
      </c>
      <c r="C173" s="57" t="s">
        <v>813</v>
      </c>
      <c r="D173" s="57" t="s">
        <v>748</v>
      </c>
      <c r="E173" s="153">
        <v>1</v>
      </c>
      <c r="F173" s="153">
        <v>72538.48</v>
      </c>
      <c r="G173" s="164"/>
      <c r="H173" s="164">
        <v>72538.48</v>
      </c>
      <c r="I173" s="58">
        <v>61</v>
      </c>
      <c r="K173" s="57"/>
    </row>
    <row r="174" spans="1:11" x14ac:dyDescent="0.25">
      <c r="A174" s="154">
        <v>40877</v>
      </c>
      <c r="B174" s="150" t="s">
        <v>809</v>
      </c>
      <c r="C174" s="57" t="s">
        <v>810</v>
      </c>
      <c r="D174" s="57" t="s">
        <v>25</v>
      </c>
      <c r="E174" s="153">
        <v>1</v>
      </c>
      <c r="F174" s="153">
        <v>2500</v>
      </c>
      <c r="G174" s="164"/>
      <c r="H174" s="164">
        <v>2500</v>
      </c>
      <c r="I174" s="58">
        <v>61</v>
      </c>
      <c r="K174" s="57"/>
    </row>
    <row r="175" spans="1:11" ht="45" x14ac:dyDescent="0.25">
      <c r="A175" s="154">
        <v>40877</v>
      </c>
      <c r="B175" s="150" t="s">
        <v>814</v>
      </c>
      <c r="C175" s="57" t="s">
        <v>786</v>
      </c>
      <c r="D175" s="57" t="s">
        <v>748</v>
      </c>
      <c r="E175" s="153">
        <v>1</v>
      </c>
      <c r="F175" s="153">
        <v>330</v>
      </c>
      <c r="G175" s="164"/>
      <c r="H175" s="164">
        <v>330</v>
      </c>
      <c r="I175" s="58">
        <v>61</v>
      </c>
      <c r="K175" s="57"/>
    </row>
    <row r="176" spans="1:11" ht="30" x14ac:dyDescent="0.25">
      <c r="A176" s="154">
        <v>40877</v>
      </c>
      <c r="B176" s="150" t="s">
        <v>815</v>
      </c>
      <c r="C176" s="57" t="s">
        <v>816</v>
      </c>
      <c r="D176" s="57" t="s">
        <v>748</v>
      </c>
      <c r="E176" s="153">
        <v>1</v>
      </c>
      <c r="F176" s="153">
        <v>12375</v>
      </c>
      <c r="G176" s="164"/>
      <c r="H176" s="164">
        <v>12375</v>
      </c>
      <c r="I176" s="58">
        <v>61</v>
      </c>
      <c r="K176" s="57"/>
    </row>
    <row r="177" spans="1:11" ht="30" x14ac:dyDescent="0.25">
      <c r="A177" s="154">
        <v>40877</v>
      </c>
      <c r="B177" s="150" t="s">
        <v>817</v>
      </c>
      <c r="C177" s="57" t="s">
        <v>793</v>
      </c>
      <c r="D177" s="57" t="s">
        <v>748</v>
      </c>
      <c r="E177" s="153">
        <v>1</v>
      </c>
      <c r="F177" s="153">
        <v>77</v>
      </c>
      <c r="G177" s="164"/>
      <c r="H177" s="164">
        <v>77</v>
      </c>
      <c r="I177" s="58">
        <v>61</v>
      </c>
      <c r="K177" s="57"/>
    </row>
    <row r="178" spans="1:11" x14ac:dyDescent="0.25">
      <c r="A178" s="154">
        <v>40878</v>
      </c>
      <c r="B178" s="150" t="s">
        <v>818</v>
      </c>
      <c r="C178" s="57" t="s">
        <v>816</v>
      </c>
      <c r="D178" s="57" t="s">
        <v>748</v>
      </c>
      <c r="E178" s="153">
        <v>1</v>
      </c>
      <c r="F178" s="153">
        <v>10739.1</v>
      </c>
      <c r="G178" s="164"/>
      <c r="H178" s="164">
        <v>10739.1</v>
      </c>
      <c r="I178" s="58">
        <v>61</v>
      </c>
      <c r="K178" s="57"/>
    </row>
    <row r="179" spans="1:11" x14ac:dyDescent="0.25">
      <c r="A179" s="154">
        <v>40878</v>
      </c>
      <c r="B179" s="150" t="s">
        <v>807</v>
      </c>
      <c r="C179" s="57" t="s">
        <v>808</v>
      </c>
      <c r="D179" s="57" t="s">
        <v>26</v>
      </c>
      <c r="E179" s="153">
        <v>2</v>
      </c>
      <c r="F179" s="153">
        <v>80</v>
      </c>
      <c r="G179" s="164"/>
      <c r="H179" s="164">
        <v>160</v>
      </c>
      <c r="I179" s="58">
        <v>61</v>
      </c>
      <c r="K179" s="57"/>
    </row>
    <row r="180" spans="1:11" x14ac:dyDescent="0.25">
      <c r="A180" s="154">
        <v>40878</v>
      </c>
      <c r="B180" s="150" t="s">
        <v>809</v>
      </c>
      <c r="C180" s="57" t="s">
        <v>810</v>
      </c>
      <c r="D180" s="57" t="s">
        <v>25</v>
      </c>
      <c r="E180" s="153">
        <v>1</v>
      </c>
      <c r="F180" s="153">
        <v>2500</v>
      </c>
      <c r="G180" s="164"/>
      <c r="H180" s="164">
        <v>2500</v>
      </c>
      <c r="I180" s="58">
        <v>61</v>
      </c>
      <c r="K180" s="57"/>
    </row>
    <row r="181" spans="1:11" x14ac:dyDescent="0.25">
      <c r="A181" s="154">
        <v>40879</v>
      </c>
      <c r="B181" s="150" t="s">
        <v>819</v>
      </c>
      <c r="C181" s="57" t="s">
        <v>820</v>
      </c>
      <c r="D181" s="57" t="s">
        <v>748</v>
      </c>
      <c r="E181" s="153">
        <v>1</v>
      </c>
      <c r="F181" s="153">
        <v>751.1</v>
      </c>
      <c r="G181" s="164"/>
      <c r="H181" s="164">
        <v>751.1</v>
      </c>
      <c r="I181" s="58">
        <v>61</v>
      </c>
      <c r="K181" s="57"/>
    </row>
    <row r="182" spans="1:11" ht="30" x14ac:dyDescent="0.25">
      <c r="A182" s="154">
        <v>40883</v>
      </c>
      <c r="B182" s="150" t="s">
        <v>821</v>
      </c>
      <c r="C182" s="57" t="s">
        <v>822</v>
      </c>
      <c r="D182" s="57" t="s">
        <v>748</v>
      </c>
      <c r="E182" s="153">
        <v>1</v>
      </c>
      <c r="F182" s="153">
        <v>1940</v>
      </c>
      <c r="G182" s="164"/>
      <c r="H182" s="164">
        <v>1940</v>
      </c>
      <c r="I182" s="58">
        <v>61</v>
      </c>
      <c r="K182" s="57"/>
    </row>
    <row r="183" spans="1:11" x14ac:dyDescent="0.25">
      <c r="A183" s="154">
        <v>40884</v>
      </c>
      <c r="B183" s="150" t="s">
        <v>823</v>
      </c>
      <c r="C183" s="57" t="s">
        <v>824</v>
      </c>
      <c r="D183" s="57" t="s">
        <v>748</v>
      </c>
      <c r="E183" s="153">
        <v>1</v>
      </c>
      <c r="F183" s="153">
        <v>910</v>
      </c>
      <c r="G183" s="164"/>
      <c r="H183" s="164">
        <v>910</v>
      </c>
      <c r="I183" s="58">
        <v>61</v>
      </c>
      <c r="K183" s="57"/>
    </row>
    <row r="184" spans="1:11" ht="30" x14ac:dyDescent="0.25">
      <c r="A184" s="154">
        <v>40886</v>
      </c>
      <c r="B184" s="150" t="s">
        <v>825</v>
      </c>
      <c r="C184" s="57" t="s">
        <v>793</v>
      </c>
      <c r="D184" s="57" t="s">
        <v>748</v>
      </c>
      <c r="E184" s="153">
        <v>1</v>
      </c>
      <c r="F184" s="153">
        <v>60.5</v>
      </c>
      <c r="G184" s="164"/>
      <c r="H184" s="164">
        <v>60.5</v>
      </c>
      <c r="I184" s="58">
        <v>61</v>
      </c>
      <c r="K184" s="57"/>
    </row>
    <row r="185" spans="1:11" x14ac:dyDescent="0.25">
      <c r="A185" s="154">
        <v>40886</v>
      </c>
      <c r="B185" s="150" t="s">
        <v>451</v>
      </c>
      <c r="C185" s="57" t="s">
        <v>788</v>
      </c>
      <c r="D185" s="57" t="s">
        <v>26</v>
      </c>
      <c r="E185" s="153">
        <v>10</v>
      </c>
      <c r="F185" s="153">
        <v>66.069999999999993</v>
      </c>
      <c r="G185" s="164"/>
      <c r="H185" s="164">
        <v>660.7</v>
      </c>
      <c r="I185" s="58">
        <v>61</v>
      </c>
      <c r="K185" s="57"/>
    </row>
    <row r="186" spans="1:11" x14ac:dyDescent="0.25">
      <c r="A186" s="154">
        <v>40887</v>
      </c>
      <c r="B186" s="150" t="s">
        <v>807</v>
      </c>
      <c r="C186" s="57" t="s">
        <v>808</v>
      </c>
      <c r="D186" s="57" t="s">
        <v>26</v>
      </c>
      <c r="E186" s="153">
        <v>7</v>
      </c>
      <c r="F186" s="153">
        <v>80</v>
      </c>
      <c r="G186" s="164"/>
      <c r="H186" s="164">
        <v>560</v>
      </c>
      <c r="I186" s="58">
        <v>61</v>
      </c>
      <c r="K186" s="57"/>
    </row>
    <row r="187" spans="1:11" x14ac:dyDescent="0.25">
      <c r="A187" s="154">
        <v>40887</v>
      </c>
      <c r="B187" s="150" t="s">
        <v>809</v>
      </c>
      <c r="C187" s="57" t="s">
        <v>810</v>
      </c>
      <c r="D187" s="57" t="s">
        <v>25</v>
      </c>
      <c r="E187" s="153">
        <v>1</v>
      </c>
      <c r="F187" s="153">
        <v>2500</v>
      </c>
      <c r="G187" s="164"/>
      <c r="H187" s="164">
        <v>2500</v>
      </c>
      <c r="I187" s="58">
        <v>61</v>
      </c>
      <c r="K187" s="57"/>
    </row>
    <row r="188" spans="1:11" x14ac:dyDescent="0.25">
      <c r="A188" s="154">
        <v>40888</v>
      </c>
      <c r="B188" s="150" t="s">
        <v>809</v>
      </c>
      <c r="C188" s="57" t="s">
        <v>810</v>
      </c>
      <c r="D188" s="57" t="s">
        <v>25</v>
      </c>
      <c r="E188" s="153">
        <v>1</v>
      </c>
      <c r="F188" s="153">
        <v>2500</v>
      </c>
      <c r="G188" s="164"/>
      <c r="H188" s="164">
        <v>2500</v>
      </c>
      <c r="I188" s="58">
        <v>61</v>
      </c>
      <c r="K188" s="57"/>
    </row>
    <row r="189" spans="1:11" ht="30" x14ac:dyDescent="0.25">
      <c r="A189" s="154">
        <v>40889</v>
      </c>
      <c r="B189" s="150" t="s">
        <v>826</v>
      </c>
      <c r="C189" s="57" t="s">
        <v>793</v>
      </c>
      <c r="D189" s="57" t="s">
        <v>748</v>
      </c>
      <c r="E189" s="153">
        <v>1</v>
      </c>
      <c r="F189" s="153">
        <v>60.5</v>
      </c>
      <c r="G189" s="164"/>
      <c r="H189" s="164">
        <v>60.5</v>
      </c>
      <c r="I189" s="58">
        <v>61</v>
      </c>
      <c r="K189" s="57"/>
    </row>
    <row r="190" spans="1:11" x14ac:dyDescent="0.25">
      <c r="A190" s="154">
        <v>40889</v>
      </c>
      <c r="B190" s="150" t="s">
        <v>807</v>
      </c>
      <c r="C190" s="57" t="s">
        <v>808</v>
      </c>
      <c r="D190" s="57" t="s">
        <v>26</v>
      </c>
      <c r="E190" s="153">
        <v>6</v>
      </c>
      <c r="F190" s="153">
        <v>80</v>
      </c>
      <c r="G190" s="164"/>
      <c r="H190" s="164">
        <v>480</v>
      </c>
      <c r="I190" s="58">
        <v>61</v>
      </c>
      <c r="K190" s="57"/>
    </row>
    <row r="191" spans="1:11" x14ac:dyDescent="0.25">
      <c r="A191" s="154">
        <v>40889</v>
      </c>
      <c r="B191" s="150" t="s">
        <v>809</v>
      </c>
      <c r="C191" s="57" t="s">
        <v>810</v>
      </c>
      <c r="D191" s="57" t="s">
        <v>25</v>
      </c>
      <c r="E191" s="153">
        <v>1</v>
      </c>
      <c r="F191" s="153">
        <v>2500</v>
      </c>
      <c r="G191" s="164"/>
      <c r="H191" s="164">
        <v>2500</v>
      </c>
      <c r="I191" s="58">
        <v>61</v>
      </c>
      <c r="K191" s="57"/>
    </row>
    <row r="192" spans="1:11" ht="30" x14ac:dyDescent="0.25">
      <c r="A192" s="154">
        <v>40889</v>
      </c>
      <c r="B192" s="150" t="s">
        <v>827</v>
      </c>
      <c r="C192" s="57" t="s">
        <v>822</v>
      </c>
      <c r="D192" s="57" t="s">
        <v>748</v>
      </c>
      <c r="E192" s="153">
        <v>1</v>
      </c>
      <c r="F192" s="153">
        <v>1940.01</v>
      </c>
      <c r="G192" s="164"/>
      <c r="H192" s="164">
        <v>1940.01</v>
      </c>
      <c r="I192" s="58">
        <v>61</v>
      </c>
      <c r="K192" s="57"/>
    </row>
    <row r="193" spans="1:11" x14ac:dyDescent="0.25">
      <c r="A193" s="154">
        <v>40889</v>
      </c>
      <c r="B193" s="150" t="s">
        <v>1188</v>
      </c>
      <c r="C193" s="57" t="s">
        <v>775</v>
      </c>
      <c r="D193" s="57" t="s">
        <v>26</v>
      </c>
      <c r="E193" s="153">
        <v>10</v>
      </c>
      <c r="F193" s="153">
        <v>80</v>
      </c>
      <c r="G193" s="164"/>
      <c r="H193" s="164">
        <v>800</v>
      </c>
      <c r="I193" s="58">
        <v>61</v>
      </c>
      <c r="K193" s="57"/>
    </row>
    <row r="194" spans="1:11" x14ac:dyDescent="0.25">
      <c r="A194" s="154">
        <v>40890</v>
      </c>
      <c r="B194" s="150" t="s">
        <v>1188</v>
      </c>
      <c r="C194" s="57" t="s">
        <v>775</v>
      </c>
      <c r="D194" s="57" t="s">
        <v>26</v>
      </c>
      <c r="E194" s="153">
        <v>10.5</v>
      </c>
      <c r="F194" s="153">
        <v>80</v>
      </c>
      <c r="G194" s="164"/>
      <c r="H194" s="164">
        <v>840</v>
      </c>
      <c r="I194" s="58">
        <v>61</v>
      </c>
      <c r="K194" s="57"/>
    </row>
    <row r="195" spans="1:11" ht="30" x14ac:dyDescent="0.25">
      <c r="A195" s="154">
        <v>40891</v>
      </c>
      <c r="B195" s="150" t="s">
        <v>801</v>
      </c>
      <c r="C195" s="57" t="s">
        <v>802</v>
      </c>
      <c r="D195" s="57" t="s">
        <v>748</v>
      </c>
      <c r="E195" s="153">
        <v>1</v>
      </c>
      <c r="F195" s="153">
        <v>204.6</v>
      </c>
      <c r="G195" s="164"/>
      <c r="H195" s="164">
        <v>204.6</v>
      </c>
      <c r="I195" s="58">
        <v>61</v>
      </c>
      <c r="K195" s="57"/>
    </row>
    <row r="196" spans="1:11" ht="30" x14ac:dyDescent="0.25">
      <c r="A196" s="154">
        <v>40893</v>
      </c>
      <c r="B196" s="150" t="s">
        <v>828</v>
      </c>
      <c r="C196" s="57" t="s">
        <v>822</v>
      </c>
      <c r="D196" s="57" t="s">
        <v>748</v>
      </c>
      <c r="E196" s="153">
        <v>1</v>
      </c>
      <c r="F196" s="153">
        <v>776</v>
      </c>
      <c r="G196" s="164"/>
      <c r="H196" s="164">
        <v>776</v>
      </c>
      <c r="I196" s="58">
        <v>61</v>
      </c>
      <c r="K196" s="57"/>
    </row>
    <row r="197" spans="1:11" ht="30" x14ac:dyDescent="0.25">
      <c r="A197" s="154">
        <v>40899</v>
      </c>
      <c r="B197" s="150" t="s">
        <v>829</v>
      </c>
      <c r="C197" s="57" t="s">
        <v>830</v>
      </c>
      <c r="D197" s="57" t="s">
        <v>748</v>
      </c>
      <c r="E197" s="153">
        <v>1</v>
      </c>
      <c r="F197" s="153">
        <v>10739.1</v>
      </c>
      <c r="G197" s="164"/>
      <c r="H197" s="164">
        <v>10739.1</v>
      </c>
      <c r="I197" s="58">
        <v>61</v>
      </c>
      <c r="K197" s="57"/>
    </row>
    <row r="198" spans="1:11" ht="30" x14ac:dyDescent="0.25">
      <c r="A198" s="154">
        <v>40900</v>
      </c>
      <c r="B198" s="150" t="s">
        <v>831</v>
      </c>
      <c r="C198" s="57" t="s">
        <v>813</v>
      </c>
      <c r="D198" s="57" t="s">
        <v>748</v>
      </c>
      <c r="E198" s="153">
        <v>1</v>
      </c>
      <c r="F198" s="153">
        <v>46214.05</v>
      </c>
      <c r="G198" s="164"/>
      <c r="H198" s="164">
        <v>46214.05</v>
      </c>
      <c r="I198" s="58">
        <v>61</v>
      </c>
      <c r="K198" s="57"/>
    </row>
    <row r="199" spans="1:11" x14ac:dyDescent="0.25">
      <c r="A199" s="154">
        <v>40901</v>
      </c>
      <c r="B199" s="150" t="s">
        <v>832</v>
      </c>
      <c r="C199" s="57" t="s">
        <v>833</v>
      </c>
      <c r="D199" s="57" t="s">
        <v>748</v>
      </c>
      <c r="E199" s="153">
        <v>11.9</v>
      </c>
      <c r="F199" s="153">
        <v>33.6</v>
      </c>
      <c r="G199" s="164"/>
      <c r="H199" s="164">
        <v>399.84</v>
      </c>
      <c r="I199" s="58">
        <v>61</v>
      </c>
      <c r="K199" s="57"/>
    </row>
    <row r="200" spans="1:11" ht="30" x14ac:dyDescent="0.25">
      <c r="A200" s="154">
        <v>40908</v>
      </c>
      <c r="B200" s="150" t="s">
        <v>834</v>
      </c>
      <c r="C200" s="57" t="s">
        <v>835</v>
      </c>
      <c r="D200" s="57" t="s">
        <v>748</v>
      </c>
      <c r="E200" s="153">
        <v>1</v>
      </c>
      <c r="F200" s="153">
        <v>5005</v>
      </c>
      <c r="G200" s="164"/>
      <c r="H200" s="164">
        <v>5005</v>
      </c>
      <c r="I200" s="58">
        <v>61</v>
      </c>
      <c r="K200" s="57"/>
    </row>
    <row r="201" spans="1:11" x14ac:dyDescent="0.25">
      <c r="A201" s="154">
        <v>40908</v>
      </c>
      <c r="B201" s="150" t="s">
        <v>836</v>
      </c>
      <c r="C201" s="57" t="s">
        <v>820</v>
      </c>
      <c r="D201" s="57" t="s">
        <v>748</v>
      </c>
      <c r="E201" s="153">
        <v>5</v>
      </c>
      <c r="F201" s="153">
        <v>262.5</v>
      </c>
      <c r="G201" s="164"/>
      <c r="H201" s="164">
        <v>1312.5</v>
      </c>
      <c r="I201" s="58">
        <v>61</v>
      </c>
      <c r="K201" s="57"/>
    </row>
    <row r="202" spans="1:11" ht="30" x14ac:dyDescent="0.25">
      <c r="A202" s="154">
        <v>40939</v>
      </c>
      <c r="B202" s="150" t="s">
        <v>837</v>
      </c>
      <c r="C202" s="57" t="s">
        <v>835</v>
      </c>
      <c r="D202" s="57" t="s">
        <v>748</v>
      </c>
      <c r="E202" s="153">
        <v>1</v>
      </c>
      <c r="F202" s="153">
        <v>4235</v>
      </c>
      <c r="G202" s="164"/>
      <c r="H202" s="164">
        <v>4235</v>
      </c>
      <c r="I202" s="58">
        <v>61</v>
      </c>
      <c r="K202" s="57"/>
    </row>
    <row r="203" spans="1:11" ht="30" x14ac:dyDescent="0.25">
      <c r="A203" s="154">
        <v>40939</v>
      </c>
      <c r="B203" s="150" t="s">
        <v>838</v>
      </c>
      <c r="C203" s="57" t="s">
        <v>839</v>
      </c>
      <c r="D203" s="57" t="s">
        <v>748</v>
      </c>
      <c r="E203" s="153">
        <v>1</v>
      </c>
      <c r="F203" s="153">
        <v>3960</v>
      </c>
      <c r="G203" s="164"/>
      <c r="H203" s="164">
        <v>3960</v>
      </c>
      <c r="I203" s="58">
        <v>61</v>
      </c>
      <c r="K203" s="57"/>
    </row>
    <row r="204" spans="1:11" ht="30" x14ac:dyDescent="0.25">
      <c r="A204" s="154">
        <v>40939</v>
      </c>
      <c r="B204" s="150" t="s">
        <v>840</v>
      </c>
      <c r="C204" s="57" t="s">
        <v>835</v>
      </c>
      <c r="D204" s="57" t="s">
        <v>748</v>
      </c>
      <c r="E204" s="153">
        <v>1</v>
      </c>
      <c r="F204" s="153">
        <v>6930</v>
      </c>
      <c r="G204" s="164"/>
      <c r="H204" s="164">
        <v>6930</v>
      </c>
      <c r="I204" s="58">
        <v>61</v>
      </c>
      <c r="K204" s="57"/>
    </row>
    <row r="205" spans="1:11" x14ac:dyDescent="0.25">
      <c r="A205" s="154">
        <v>40939</v>
      </c>
      <c r="B205" s="150" t="s">
        <v>841</v>
      </c>
      <c r="C205" s="57" t="s">
        <v>786</v>
      </c>
      <c r="D205" s="57" t="s">
        <v>748</v>
      </c>
      <c r="E205" s="153">
        <v>1</v>
      </c>
      <c r="F205" s="153">
        <v>139.69999999999999</v>
      </c>
      <c r="G205" s="164"/>
      <c r="H205" s="164">
        <v>139.69999999999999</v>
      </c>
      <c r="I205" s="58">
        <v>61</v>
      </c>
      <c r="K205" s="57"/>
    </row>
    <row r="206" spans="1:11" x14ac:dyDescent="0.25">
      <c r="A206" s="169" t="s">
        <v>682</v>
      </c>
      <c r="B206" s="170" t="s">
        <v>842</v>
      </c>
      <c r="C206" s="171" t="s">
        <v>682</v>
      </c>
      <c r="D206" s="171" t="s">
        <v>682</v>
      </c>
      <c r="E206" s="172"/>
      <c r="F206" s="172"/>
      <c r="G206" s="173"/>
      <c r="H206" s="173">
        <v>213777.52000000005</v>
      </c>
      <c r="I206" s="174" t="s">
        <v>682</v>
      </c>
      <c r="K206" s="57"/>
    </row>
    <row r="207" spans="1:11" x14ac:dyDescent="0.25">
      <c r="A207" s="154" t="s">
        <v>682</v>
      </c>
      <c r="B207" s="150" t="s">
        <v>682</v>
      </c>
      <c r="C207" s="57" t="s">
        <v>682</v>
      </c>
      <c r="D207" s="57" t="s">
        <v>682</v>
      </c>
      <c r="E207" s="153"/>
      <c r="F207" s="153"/>
      <c r="G207" s="164"/>
      <c r="H207" s="164"/>
      <c r="I207" s="58" t="s">
        <v>682</v>
      </c>
      <c r="K207" s="57"/>
    </row>
    <row r="208" spans="1:11" x14ac:dyDescent="0.25">
      <c r="A208" s="166" t="s">
        <v>682</v>
      </c>
      <c r="B208" s="165" t="s">
        <v>843</v>
      </c>
      <c r="C208" s="60" t="s">
        <v>682</v>
      </c>
      <c r="D208" s="60" t="s">
        <v>682</v>
      </c>
      <c r="E208" s="167"/>
      <c r="F208" s="167"/>
      <c r="G208" s="168"/>
      <c r="H208" s="168"/>
      <c r="I208" s="46" t="s">
        <v>682</v>
      </c>
      <c r="K208" s="57"/>
    </row>
    <row r="209" spans="1:11" x14ac:dyDescent="0.25">
      <c r="A209" s="154">
        <v>40863</v>
      </c>
      <c r="B209" s="150" t="s">
        <v>782</v>
      </c>
      <c r="C209" s="57" t="s">
        <v>8</v>
      </c>
      <c r="D209" s="57" t="s">
        <v>26</v>
      </c>
      <c r="E209" s="153">
        <v>9.5</v>
      </c>
      <c r="F209" s="153">
        <v>35.35</v>
      </c>
      <c r="G209" s="164"/>
      <c r="H209" s="164">
        <v>335.82499999999999</v>
      </c>
      <c r="I209" s="58">
        <v>62</v>
      </c>
      <c r="K209" s="57"/>
    </row>
    <row r="210" spans="1:11" x14ac:dyDescent="0.25">
      <c r="A210" s="154">
        <v>40863</v>
      </c>
      <c r="B210" s="150" t="s">
        <v>776</v>
      </c>
      <c r="C210" s="57" t="s">
        <v>8</v>
      </c>
      <c r="D210" s="57" t="s">
        <v>26</v>
      </c>
      <c r="E210" s="153">
        <v>2</v>
      </c>
      <c r="F210" s="153">
        <v>35.35</v>
      </c>
      <c r="G210" s="164"/>
      <c r="H210" s="164">
        <v>70.7</v>
      </c>
      <c r="I210" s="58">
        <v>62</v>
      </c>
      <c r="K210" s="57"/>
    </row>
    <row r="211" spans="1:11" x14ac:dyDescent="0.25">
      <c r="A211" s="154">
        <v>40863</v>
      </c>
      <c r="B211" s="150" t="s">
        <v>780</v>
      </c>
      <c r="C211" s="57" t="s">
        <v>8</v>
      </c>
      <c r="D211" s="57" t="s">
        <v>26</v>
      </c>
      <c r="E211" s="153">
        <v>2</v>
      </c>
      <c r="F211" s="153">
        <v>35.35</v>
      </c>
      <c r="G211" s="164"/>
      <c r="H211" s="164">
        <v>70.7</v>
      </c>
      <c r="I211" s="58">
        <v>62</v>
      </c>
      <c r="K211" s="57"/>
    </row>
    <row r="212" spans="1:11" x14ac:dyDescent="0.25">
      <c r="A212" s="154">
        <v>40864</v>
      </c>
      <c r="B212" s="150" t="s">
        <v>782</v>
      </c>
      <c r="C212" s="57" t="s">
        <v>8</v>
      </c>
      <c r="D212" s="57" t="s">
        <v>26</v>
      </c>
      <c r="E212" s="153">
        <v>9.5</v>
      </c>
      <c r="F212" s="153">
        <v>35.35</v>
      </c>
      <c r="G212" s="164"/>
      <c r="H212" s="164">
        <v>335.82499999999999</v>
      </c>
      <c r="I212" s="58">
        <v>62</v>
      </c>
      <c r="K212" s="57"/>
    </row>
    <row r="213" spans="1:11" x14ac:dyDescent="0.25">
      <c r="A213" s="154">
        <v>40864</v>
      </c>
      <c r="B213" s="150" t="s">
        <v>1188</v>
      </c>
      <c r="C213" s="57" t="s">
        <v>775</v>
      </c>
      <c r="D213" s="57" t="s">
        <v>26</v>
      </c>
      <c r="E213" s="153">
        <v>4.5</v>
      </c>
      <c r="F213" s="153">
        <v>80</v>
      </c>
      <c r="G213" s="164"/>
      <c r="H213" s="164">
        <v>360</v>
      </c>
      <c r="I213" s="58">
        <v>62</v>
      </c>
      <c r="K213" s="57"/>
    </row>
    <row r="214" spans="1:11" x14ac:dyDescent="0.25">
      <c r="A214" s="154">
        <v>40864</v>
      </c>
      <c r="B214" s="150" t="s">
        <v>776</v>
      </c>
      <c r="C214" s="57" t="s">
        <v>8</v>
      </c>
      <c r="D214" s="57" t="s">
        <v>26</v>
      </c>
      <c r="E214" s="153">
        <v>9.5</v>
      </c>
      <c r="F214" s="153">
        <v>35.35</v>
      </c>
      <c r="G214" s="164"/>
      <c r="H214" s="164">
        <v>335.82499999999999</v>
      </c>
      <c r="I214" s="58">
        <v>62</v>
      </c>
      <c r="K214" s="57"/>
    </row>
    <row r="215" spans="1:11" x14ac:dyDescent="0.25">
      <c r="A215" s="154">
        <v>40864</v>
      </c>
      <c r="B215" s="150" t="s">
        <v>776</v>
      </c>
      <c r="C215" s="57" t="s">
        <v>8</v>
      </c>
      <c r="D215" s="57" t="s">
        <v>26</v>
      </c>
      <c r="E215" s="153">
        <v>9.5</v>
      </c>
      <c r="F215" s="153">
        <v>35.35</v>
      </c>
      <c r="G215" s="164"/>
      <c r="H215" s="164">
        <v>335.82499999999999</v>
      </c>
      <c r="I215" s="58">
        <v>62</v>
      </c>
      <c r="K215" s="57"/>
    </row>
    <row r="216" spans="1:11" x14ac:dyDescent="0.25">
      <c r="A216" s="154">
        <v>40864</v>
      </c>
      <c r="B216" s="150" t="s">
        <v>780</v>
      </c>
      <c r="C216" s="57" t="s">
        <v>8</v>
      </c>
      <c r="D216" s="57" t="s">
        <v>26</v>
      </c>
      <c r="E216" s="153">
        <v>9.5</v>
      </c>
      <c r="F216" s="153">
        <v>35.35</v>
      </c>
      <c r="G216" s="164"/>
      <c r="H216" s="164">
        <v>335.82499999999999</v>
      </c>
      <c r="I216" s="58">
        <v>62</v>
      </c>
      <c r="K216" s="57"/>
    </row>
    <row r="217" spans="1:11" x14ac:dyDescent="0.25">
      <c r="A217" s="154">
        <v>40864</v>
      </c>
      <c r="B217" s="150" t="s">
        <v>782</v>
      </c>
      <c r="C217" s="57" t="s">
        <v>8</v>
      </c>
      <c r="D217" s="57" t="s">
        <v>26</v>
      </c>
      <c r="E217" s="153">
        <v>11</v>
      </c>
      <c r="F217" s="153">
        <v>35.35</v>
      </c>
      <c r="G217" s="164"/>
      <c r="H217" s="164">
        <v>388.85</v>
      </c>
      <c r="I217" s="58">
        <v>62</v>
      </c>
      <c r="K217" s="57"/>
    </row>
    <row r="218" spans="1:11" x14ac:dyDescent="0.25">
      <c r="A218" s="154">
        <v>40864</v>
      </c>
      <c r="B218" s="150" t="s">
        <v>773</v>
      </c>
      <c r="C218" s="57" t="s">
        <v>774</v>
      </c>
      <c r="D218" s="57" t="s">
        <v>26</v>
      </c>
      <c r="E218" s="153">
        <v>6</v>
      </c>
      <c r="F218" s="153">
        <v>42.79</v>
      </c>
      <c r="G218" s="164"/>
      <c r="H218" s="164">
        <v>256.74</v>
      </c>
      <c r="I218" s="58">
        <v>62</v>
      </c>
      <c r="K218" s="57"/>
    </row>
    <row r="219" spans="1:11" x14ac:dyDescent="0.25">
      <c r="A219" s="154">
        <v>40872</v>
      </c>
      <c r="B219" s="150" t="s">
        <v>782</v>
      </c>
      <c r="C219" s="57" t="s">
        <v>8</v>
      </c>
      <c r="D219" s="57" t="s">
        <v>26</v>
      </c>
      <c r="E219" s="153">
        <v>10.5</v>
      </c>
      <c r="F219" s="153">
        <v>35.35</v>
      </c>
      <c r="G219" s="164"/>
      <c r="H219" s="164">
        <v>371.17500000000001</v>
      </c>
      <c r="I219" s="58">
        <v>62</v>
      </c>
      <c r="K219" s="57"/>
    </row>
    <row r="220" spans="1:11" x14ac:dyDescent="0.25">
      <c r="A220" s="154">
        <v>40872</v>
      </c>
      <c r="B220" s="150" t="s">
        <v>776</v>
      </c>
      <c r="C220" s="57" t="s">
        <v>8</v>
      </c>
      <c r="D220" s="57" t="s">
        <v>26</v>
      </c>
      <c r="E220" s="153">
        <v>10.5</v>
      </c>
      <c r="F220" s="153">
        <v>35.35</v>
      </c>
      <c r="G220" s="164"/>
      <c r="H220" s="164">
        <v>371.17500000000001</v>
      </c>
      <c r="I220" s="58">
        <v>62</v>
      </c>
      <c r="K220" s="57"/>
    </row>
    <row r="221" spans="1:11" x14ac:dyDescent="0.25">
      <c r="A221" s="154">
        <v>40872</v>
      </c>
      <c r="B221" s="150" t="s">
        <v>773</v>
      </c>
      <c r="C221" s="57" t="s">
        <v>774</v>
      </c>
      <c r="D221" s="57" t="s">
        <v>26</v>
      </c>
      <c r="E221" s="153">
        <v>10.5</v>
      </c>
      <c r="F221" s="153">
        <v>42.79</v>
      </c>
      <c r="G221" s="164"/>
      <c r="H221" s="164">
        <v>449.29500000000002</v>
      </c>
      <c r="I221" s="58">
        <v>62</v>
      </c>
      <c r="K221" s="57"/>
    </row>
    <row r="222" spans="1:11" x14ac:dyDescent="0.25">
      <c r="A222" s="154">
        <v>40872</v>
      </c>
      <c r="B222" s="150" t="s">
        <v>782</v>
      </c>
      <c r="C222" s="57" t="s">
        <v>8</v>
      </c>
      <c r="D222" s="57" t="s">
        <v>26</v>
      </c>
      <c r="E222" s="153">
        <v>12</v>
      </c>
      <c r="F222" s="153">
        <v>35.35</v>
      </c>
      <c r="G222" s="164"/>
      <c r="H222" s="164">
        <v>424.2</v>
      </c>
      <c r="I222" s="58">
        <v>62</v>
      </c>
      <c r="K222" s="57"/>
    </row>
    <row r="223" spans="1:11" x14ac:dyDescent="0.25">
      <c r="A223" s="154">
        <v>40873</v>
      </c>
      <c r="B223" s="150" t="s">
        <v>780</v>
      </c>
      <c r="C223" s="57" t="s">
        <v>8</v>
      </c>
      <c r="D223" s="57" t="s">
        <v>26</v>
      </c>
      <c r="E223" s="153">
        <v>10.5</v>
      </c>
      <c r="F223" s="153">
        <v>35.35</v>
      </c>
      <c r="G223" s="164"/>
      <c r="H223" s="164">
        <v>371.17500000000001</v>
      </c>
      <c r="I223" s="58">
        <v>62</v>
      </c>
      <c r="K223" s="57"/>
    </row>
    <row r="224" spans="1:11" x14ac:dyDescent="0.25">
      <c r="A224" s="154">
        <v>40873</v>
      </c>
      <c r="B224" s="150" t="s">
        <v>782</v>
      </c>
      <c r="C224" s="57" t="s">
        <v>8</v>
      </c>
      <c r="D224" s="57" t="s">
        <v>26</v>
      </c>
      <c r="E224" s="153">
        <v>10.5</v>
      </c>
      <c r="F224" s="153">
        <v>35.35</v>
      </c>
      <c r="G224" s="164"/>
      <c r="H224" s="164">
        <v>371.17500000000001</v>
      </c>
      <c r="I224" s="58">
        <v>62</v>
      </c>
      <c r="K224" s="57"/>
    </row>
    <row r="225" spans="1:11" x14ac:dyDescent="0.25">
      <c r="A225" s="154">
        <v>40873</v>
      </c>
      <c r="B225" s="150" t="s">
        <v>776</v>
      </c>
      <c r="C225" s="57" t="s">
        <v>8</v>
      </c>
      <c r="D225" s="57" t="s">
        <v>26</v>
      </c>
      <c r="E225" s="153">
        <v>10.5</v>
      </c>
      <c r="F225" s="153">
        <v>35.35</v>
      </c>
      <c r="G225" s="164"/>
      <c r="H225" s="164">
        <v>371.17500000000001</v>
      </c>
      <c r="I225" s="58">
        <v>62</v>
      </c>
      <c r="K225" s="57"/>
    </row>
    <row r="226" spans="1:11" x14ac:dyDescent="0.25">
      <c r="A226" s="154">
        <v>40873</v>
      </c>
      <c r="B226" s="150" t="s">
        <v>782</v>
      </c>
      <c r="C226" s="57" t="s">
        <v>8</v>
      </c>
      <c r="D226" s="57" t="s">
        <v>26</v>
      </c>
      <c r="E226" s="153">
        <v>10.5</v>
      </c>
      <c r="F226" s="153">
        <v>35.35</v>
      </c>
      <c r="G226" s="164"/>
      <c r="H226" s="164">
        <v>371.17500000000001</v>
      </c>
      <c r="I226" s="58">
        <v>62</v>
      </c>
      <c r="K226" s="57"/>
    </row>
    <row r="227" spans="1:11" x14ac:dyDescent="0.25">
      <c r="A227" s="154">
        <v>40873</v>
      </c>
      <c r="B227" s="150" t="s">
        <v>804</v>
      </c>
      <c r="C227" s="57" t="s">
        <v>8</v>
      </c>
      <c r="D227" s="57" t="s">
        <v>26</v>
      </c>
      <c r="E227" s="153">
        <v>10.5</v>
      </c>
      <c r="F227" s="153">
        <v>44.2</v>
      </c>
      <c r="G227" s="164"/>
      <c r="H227" s="164">
        <v>464.1</v>
      </c>
      <c r="I227" s="58">
        <v>62</v>
      </c>
      <c r="K227" s="57"/>
    </row>
    <row r="228" spans="1:11" x14ac:dyDescent="0.25">
      <c r="A228" s="154">
        <v>40873</v>
      </c>
      <c r="B228" s="150" t="s">
        <v>773</v>
      </c>
      <c r="C228" s="57" t="s">
        <v>774</v>
      </c>
      <c r="D228" s="57" t="s">
        <v>26</v>
      </c>
      <c r="E228" s="153">
        <v>10.5</v>
      </c>
      <c r="F228" s="153">
        <v>42.79</v>
      </c>
      <c r="G228" s="164"/>
      <c r="H228" s="164">
        <v>449.29500000000002</v>
      </c>
      <c r="I228" s="58">
        <v>62</v>
      </c>
      <c r="K228" s="57"/>
    </row>
    <row r="229" spans="1:11" x14ac:dyDescent="0.25">
      <c r="A229" s="154">
        <v>40873</v>
      </c>
      <c r="B229" s="150" t="s">
        <v>1188</v>
      </c>
      <c r="C229" s="57" t="s">
        <v>775</v>
      </c>
      <c r="D229" s="57" t="s">
        <v>26</v>
      </c>
      <c r="E229" s="153">
        <v>10.5</v>
      </c>
      <c r="F229" s="153">
        <v>80</v>
      </c>
      <c r="G229" s="164"/>
      <c r="H229" s="164">
        <v>840</v>
      </c>
      <c r="I229" s="58">
        <v>62</v>
      </c>
      <c r="K229" s="57"/>
    </row>
    <row r="230" spans="1:11" x14ac:dyDescent="0.25">
      <c r="A230" s="154">
        <v>40873</v>
      </c>
      <c r="B230" s="150" t="s">
        <v>782</v>
      </c>
      <c r="C230" s="57" t="s">
        <v>8</v>
      </c>
      <c r="D230" s="57" t="s">
        <v>26</v>
      </c>
      <c r="E230" s="153">
        <v>10.5</v>
      </c>
      <c r="F230" s="153">
        <v>35.35</v>
      </c>
      <c r="G230" s="164"/>
      <c r="H230" s="164">
        <v>371.17500000000001</v>
      </c>
      <c r="I230" s="58">
        <v>62</v>
      </c>
      <c r="K230" s="57"/>
    </row>
    <row r="231" spans="1:11" x14ac:dyDescent="0.25">
      <c r="A231" s="154">
        <v>40873</v>
      </c>
      <c r="B231" s="150" t="s">
        <v>782</v>
      </c>
      <c r="C231" s="57" t="s">
        <v>8</v>
      </c>
      <c r="D231" s="57" t="s">
        <v>26</v>
      </c>
      <c r="E231" s="153">
        <v>10.5</v>
      </c>
      <c r="F231" s="153">
        <v>35.35</v>
      </c>
      <c r="G231" s="164"/>
      <c r="H231" s="164">
        <v>371.17500000000001</v>
      </c>
      <c r="I231" s="58">
        <v>62</v>
      </c>
      <c r="K231" s="57"/>
    </row>
    <row r="232" spans="1:11" x14ac:dyDescent="0.25">
      <c r="A232" s="154">
        <v>40874</v>
      </c>
      <c r="B232" s="150" t="s">
        <v>804</v>
      </c>
      <c r="C232" s="57" t="s">
        <v>8</v>
      </c>
      <c r="D232" s="57" t="s">
        <v>26</v>
      </c>
      <c r="E232" s="153">
        <v>10</v>
      </c>
      <c r="F232" s="153">
        <v>44.2</v>
      </c>
      <c r="G232" s="164"/>
      <c r="H232" s="164">
        <v>442</v>
      </c>
      <c r="I232" s="58">
        <v>62</v>
      </c>
      <c r="K232" s="57"/>
    </row>
    <row r="233" spans="1:11" x14ac:dyDescent="0.25">
      <c r="A233" s="154">
        <v>40874</v>
      </c>
      <c r="B233" s="150" t="s">
        <v>782</v>
      </c>
      <c r="C233" s="57" t="s">
        <v>8</v>
      </c>
      <c r="D233" s="57" t="s">
        <v>26</v>
      </c>
      <c r="E233" s="153">
        <v>10</v>
      </c>
      <c r="F233" s="153">
        <v>35.35</v>
      </c>
      <c r="G233" s="164"/>
      <c r="H233" s="164">
        <v>353.5</v>
      </c>
      <c r="I233" s="58">
        <v>62</v>
      </c>
      <c r="K233" s="57"/>
    </row>
    <row r="234" spans="1:11" x14ac:dyDescent="0.25">
      <c r="A234" s="154">
        <v>40874</v>
      </c>
      <c r="B234" s="150" t="s">
        <v>773</v>
      </c>
      <c r="C234" s="57" t="s">
        <v>774</v>
      </c>
      <c r="D234" s="57" t="s">
        <v>26</v>
      </c>
      <c r="E234" s="153">
        <v>7</v>
      </c>
      <c r="F234" s="153">
        <v>42.79</v>
      </c>
      <c r="G234" s="164"/>
      <c r="H234" s="164">
        <v>299.52999999999997</v>
      </c>
      <c r="I234" s="58">
        <v>62</v>
      </c>
      <c r="K234" s="57"/>
    </row>
    <row r="235" spans="1:11" x14ac:dyDescent="0.25">
      <c r="A235" s="154">
        <v>40874</v>
      </c>
      <c r="B235" s="150" t="s">
        <v>782</v>
      </c>
      <c r="C235" s="57" t="s">
        <v>8</v>
      </c>
      <c r="D235" s="57" t="s">
        <v>26</v>
      </c>
      <c r="E235" s="153">
        <v>10</v>
      </c>
      <c r="F235" s="153">
        <v>35.35</v>
      </c>
      <c r="G235" s="164"/>
      <c r="H235" s="164">
        <v>353.5</v>
      </c>
      <c r="I235" s="58">
        <v>62</v>
      </c>
      <c r="K235" s="57"/>
    </row>
    <row r="236" spans="1:11" x14ac:dyDescent="0.25">
      <c r="A236" s="154">
        <v>40874</v>
      </c>
      <c r="B236" s="150" t="s">
        <v>782</v>
      </c>
      <c r="C236" s="57" t="s">
        <v>8</v>
      </c>
      <c r="D236" s="57" t="s">
        <v>26</v>
      </c>
      <c r="E236" s="153">
        <v>3</v>
      </c>
      <c r="F236" s="153">
        <v>35.35</v>
      </c>
      <c r="G236" s="164"/>
      <c r="H236" s="164">
        <v>106.05</v>
      </c>
      <c r="I236" s="58">
        <v>62</v>
      </c>
      <c r="K236" s="57"/>
    </row>
    <row r="237" spans="1:11" x14ac:dyDescent="0.25">
      <c r="A237" s="154">
        <v>40874</v>
      </c>
      <c r="B237" s="150" t="s">
        <v>776</v>
      </c>
      <c r="C237" s="57" t="s">
        <v>8</v>
      </c>
      <c r="D237" s="57" t="s">
        <v>26</v>
      </c>
      <c r="E237" s="153">
        <v>7</v>
      </c>
      <c r="F237" s="153">
        <v>35.35</v>
      </c>
      <c r="G237" s="164"/>
      <c r="H237" s="164">
        <v>247.45</v>
      </c>
      <c r="I237" s="58">
        <v>62</v>
      </c>
      <c r="K237" s="57"/>
    </row>
    <row r="238" spans="1:11" x14ac:dyDescent="0.25">
      <c r="A238" s="154">
        <v>40875</v>
      </c>
      <c r="B238" s="150" t="s">
        <v>782</v>
      </c>
      <c r="C238" s="57" t="s">
        <v>8</v>
      </c>
      <c r="D238" s="57" t="s">
        <v>26</v>
      </c>
      <c r="E238" s="153">
        <v>9.5</v>
      </c>
      <c r="F238" s="153">
        <v>35.35</v>
      </c>
      <c r="G238" s="164"/>
      <c r="H238" s="164">
        <v>335.82499999999999</v>
      </c>
      <c r="I238" s="58">
        <v>62</v>
      </c>
      <c r="K238" s="57"/>
    </row>
    <row r="239" spans="1:11" x14ac:dyDescent="0.25">
      <c r="A239" s="154">
        <v>40875</v>
      </c>
      <c r="B239" s="150" t="s">
        <v>773</v>
      </c>
      <c r="C239" s="57" t="s">
        <v>774</v>
      </c>
      <c r="D239" s="57" t="s">
        <v>26</v>
      </c>
      <c r="E239" s="153">
        <v>10.5</v>
      </c>
      <c r="F239" s="153">
        <v>42.79</v>
      </c>
      <c r="G239" s="164"/>
      <c r="H239" s="164">
        <v>449.29500000000002</v>
      </c>
      <c r="I239" s="58">
        <v>62</v>
      </c>
      <c r="K239" s="57"/>
    </row>
    <row r="240" spans="1:11" x14ac:dyDescent="0.25">
      <c r="A240" s="154">
        <v>40875</v>
      </c>
      <c r="B240" s="150" t="s">
        <v>782</v>
      </c>
      <c r="C240" s="57" t="s">
        <v>8</v>
      </c>
      <c r="D240" s="57" t="s">
        <v>26</v>
      </c>
      <c r="E240" s="153">
        <v>10.5</v>
      </c>
      <c r="F240" s="153">
        <v>35.35</v>
      </c>
      <c r="G240" s="164"/>
      <c r="H240" s="164">
        <v>371.17500000000001</v>
      </c>
      <c r="I240" s="58">
        <v>62</v>
      </c>
      <c r="K240" s="57"/>
    </row>
    <row r="241" spans="1:11" x14ac:dyDescent="0.25">
      <c r="A241" s="154">
        <v>40875</v>
      </c>
      <c r="B241" s="150" t="s">
        <v>804</v>
      </c>
      <c r="C241" s="57" t="s">
        <v>8</v>
      </c>
      <c r="D241" s="57" t="s">
        <v>26</v>
      </c>
      <c r="E241" s="153">
        <v>9.5</v>
      </c>
      <c r="F241" s="153">
        <v>44.2</v>
      </c>
      <c r="G241" s="164"/>
      <c r="H241" s="164">
        <v>419.9</v>
      </c>
      <c r="I241" s="58">
        <v>62</v>
      </c>
      <c r="K241" s="57"/>
    </row>
    <row r="242" spans="1:11" x14ac:dyDescent="0.25">
      <c r="A242" s="154">
        <v>40875</v>
      </c>
      <c r="B242" s="150" t="s">
        <v>782</v>
      </c>
      <c r="C242" s="57" t="s">
        <v>8</v>
      </c>
      <c r="D242" s="57" t="s">
        <v>26</v>
      </c>
      <c r="E242" s="153">
        <v>10.5</v>
      </c>
      <c r="F242" s="153">
        <v>35.35</v>
      </c>
      <c r="G242" s="164"/>
      <c r="H242" s="164">
        <v>371.17500000000001</v>
      </c>
      <c r="I242" s="58">
        <v>62</v>
      </c>
      <c r="K242" s="57"/>
    </row>
    <row r="243" spans="1:11" x14ac:dyDescent="0.25">
      <c r="A243" s="154">
        <v>40875</v>
      </c>
      <c r="B243" s="150" t="s">
        <v>776</v>
      </c>
      <c r="C243" s="57" t="s">
        <v>8</v>
      </c>
      <c r="D243" s="57" t="s">
        <v>26</v>
      </c>
      <c r="E243" s="153">
        <v>10.5</v>
      </c>
      <c r="F243" s="153">
        <v>35.35</v>
      </c>
      <c r="G243" s="164"/>
      <c r="H243" s="164">
        <v>371.17500000000001</v>
      </c>
      <c r="I243" s="58">
        <v>62</v>
      </c>
      <c r="K243" s="57"/>
    </row>
    <row r="244" spans="1:11" x14ac:dyDescent="0.25">
      <c r="A244" s="154">
        <v>40875</v>
      </c>
      <c r="B244" s="150" t="s">
        <v>782</v>
      </c>
      <c r="C244" s="57" t="s">
        <v>8</v>
      </c>
      <c r="D244" s="57" t="s">
        <v>26</v>
      </c>
      <c r="E244" s="153">
        <v>10.5</v>
      </c>
      <c r="F244" s="153">
        <v>35.35</v>
      </c>
      <c r="G244" s="164"/>
      <c r="H244" s="164">
        <v>371.17500000000001</v>
      </c>
      <c r="I244" s="58">
        <v>62</v>
      </c>
      <c r="K244" s="57"/>
    </row>
    <row r="245" spans="1:11" x14ac:dyDescent="0.25">
      <c r="A245" s="154">
        <v>40876</v>
      </c>
      <c r="B245" s="150" t="s">
        <v>1188</v>
      </c>
      <c r="C245" s="57" t="s">
        <v>775</v>
      </c>
      <c r="D245" s="57" t="s">
        <v>26</v>
      </c>
      <c r="E245" s="153">
        <v>2</v>
      </c>
      <c r="F245" s="153">
        <v>80</v>
      </c>
      <c r="G245" s="164"/>
      <c r="H245" s="164">
        <v>160</v>
      </c>
      <c r="I245" s="58">
        <v>62</v>
      </c>
      <c r="K245" s="57"/>
    </row>
    <row r="246" spans="1:11" x14ac:dyDescent="0.25">
      <c r="A246" s="154">
        <v>40876</v>
      </c>
      <c r="B246" s="150" t="s">
        <v>776</v>
      </c>
      <c r="C246" s="57" t="s">
        <v>8</v>
      </c>
      <c r="D246" s="57" t="s">
        <v>26</v>
      </c>
      <c r="E246" s="153">
        <v>10.5</v>
      </c>
      <c r="F246" s="153">
        <v>35.35</v>
      </c>
      <c r="G246" s="164"/>
      <c r="H246" s="164">
        <v>371.17500000000001</v>
      </c>
      <c r="I246" s="58">
        <v>62</v>
      </c>
      <c r="K246" s="57"/>
    </row>
    <row r="247" spans="1:11" x14ac:dyDescent="0.25">
      <c r="A247" s="154">
        <v>40876</v>
      </c>
      <c r="B247" s="150" t="s">
        <v>782</v>
      </c>
      <c r="C247" s="57" t="s">
        <v>8</v>
      </c>
      <c r="D247" s="57" t="s">
        <v>26</v>
      </c>
      <c r="E247" s="153">
        <v>10.5</v>
      </c>
      <c r="F247" s="153">
        <v>35.35</v>
      </c>
      <c r="G247" s="164"/>
      <c r="H247" s="164">
        <v>371.17500000000001</v>
      </c>
      <c r="I247" s="58">
        <v>62</v>
      </c>
      <c r="K247" s="57"/>
    </row>
    <row r="248" spans="1:11" x14ac:dyDescent="0.25">
      <c r="A248" s="154">
        <v>40876</v>
      </c>
      <c r="B248" s="150" t="s">
        <v>782</v>
      </c>
      <c r="C248" s="57" t="s">
        <v>8</v>
      </c>
      <c r="D248" s="57" t="s">
        <v>26</v>
      </c>
      <c r="E248" s="153">
        <v>3</v>
      </c>
      <c r="F248" s="153">
        <v>35.35</v>
      </c>
      <c r="G248" s="164"/>
      <c r="H248" s="164">
        <v>106.05</v>
      </c>
      <c r="I248" s="58">
        <v>62</v>
      </c>
      <c r="K248" s="57"/>
    </row>
    <row r="249" spans="1:11" x14ac:dyDescent="0.25">
      <c r="A249" s="154">
        <v>40876</v>
      </c>
      <c r="B249" s="150" t="s">
        <v>780</v>
      </c>
      <c r="C249" s="57" t="s">
        <v>8</v>
      </c>
      <c r="D249" s="57" t="s">
        <v>26</v>
      </c>
      <c r="E249" s="153">
        <v>2</v>
      </c>
      <c r="F249" s="153">
        <v>35.35</v>
      </c>
      <c r="G249" s="164"/>
      <c r="H249" s="164">
        <v>70.7</v>
      </c>
      <c r="I249" s="58">
        <v>62</v>
      </c>
      <c r="K249" s="57"/>
    </row>
    <row r="250" spans="1:11" x14ac:dyDescent="0.25">
      <c r="A250" s="154">
        <v>40876</v>
      </c>
      <c r="B250" s="150" t="s">
        <v>782</v>
      </c>
      <c r="C250" s="57" t="s">
        <v>8</v>
      </c>
      <c r="D250" s="57" t="s">
        <v>26</v>
      </c>
      <c r="E250" s="153">
        <v>10.5</v>
      </c>
      <c r="F250" s="153">
        <v>35.35</v>
      </c>
      <c r="G250" s="164"/>
      <c r="H250" s="164">
        <v>371.17500000000001</v>
      </c>
      <c r="I250" s="58">
        <v>62</v>
      </c>
      <c r="K250" s="57"/>
    </row>
    <row r="251" spans="1:11" x14ac:dyDescent="0.25">
      <c r="A251" s="154">
        <v>40876</v>
      </c>
      <c r="B251" s="150" t="s">
        <v>773</v>
      </c>
      <c r="C251" s="57" t="s">
        <v>774</v>
      </c>
      <c r="D251" s="57" t="s">
        <v>26</v>
      </c>
      <c r="E251" s="153">
        <v>10.5</v>
      </c>
      <c r="F251" s="153">
        <v>42.79</v>
      </c>
      <c r="G251" s="164"/>
      <c r="H251" s="164">
        <v>449.29500000000002</v>
      </c>
      <c r="I251" s="58">
        <v>62</v>
      </c>
      <c r="K251" s="57"/>
    </row>
    <row r="252" spans="1:11" x14ac:dyDescent="0.25">
      <c r="A252" s="154">
        <v>40876</v>
      </c>
      <c r="B252" s="150" t="s">
        <v>782</v>
      </c>
      <c r="C252" s="57" t="s">
        <v>8</v>
      </c>
      <c r="D252" s="57" t="s">
        <v>26</v>
      </c>
      <c r="E252" s="153">
        <v>10.5</v>
      </c>
      <c r="F252" s="153">
        <v>35.35</v>
      </c>
      <c r="G252" s="164"/>
      <c r="H252" s="164">
        <v>371.17500000000001</v>
      </c>
      <c r="I252" s="58">
        <v>62</v>
      </c>
      <c r="K252" s="57"/>
    </row>
    <row r="253" spans="1:11" x14ac:dyDescent="0.25">
      <c r="A253" s="154">
        <v>40876</v>
      </c>
      <c r="B253" s="150" t="s">
        <v>804</v>
      </c>
      <c r="C253" s="57" t="s">
        <v>8</v>
      </c>
      <c r="D253" s="57" t="s">
        <v>26</v>
      </c>
      <c r="E253" s="153">
        <v>10.5</v>
      </c>
      <c r="F253" s="153">
        <v>44.2</v>
      </c>
      <c r="G253" s="164"/>
      <c r="H253" s="164">
        <v>464.1</v>
      </c>
      <c r="I253" s="58">
        <v>62</v>
      </c>
      <c r="K253" s="57"/>
    </row>
    <row r="254" spans="1:11" x14ac:dyDescent="0.25">
      <c r="A254" s="154">
        <v>40877</v>
      </c>
      <c r="B254" s="150" t="s">
        <v>782</v>
      </c>
      <c r="C254" s="57" t="s">
        <v>8</v>
      </c>
      <c r="D254" s="57" t="s">
        <v>26</v>
      </c>
      <c r="E254" s="153">
        <v>10.5</v>
      </c>
      <c r="F254" s="153">
        <v>35.35</v>
      </c>
      <c r="G254" s="164"/>
      <c r="H254" s="164">
        <v>371.17500000000001</v>
      </c>
      <c r="I254" s="58">
        <v>62</v>
      </c>
      <c r="K254" s="57"/>
    </row>
    <row r="255" spans="1:11" x14ac:dyDescent="0.25">
      <c r="A255" s="154">
        <v>40877</v>
      </c>
      <c r="B255" s="150" t="s">
        <v>782</v>
      </c>
      <c r="C255" s="57" t="s">
        <v>8</v>
      </c>
      <c r="D255" s="57" t="s">
        <v>26</v>
      </c>
      <c r="E255" s="153">
        <v>10.5</v>
      </c>
      <c r="F255" s="153">
        <v>35.35</v>
      </c>
      <c r="G255" s="164"/>
      <c r="H255" s="164">
        <v>371.17500000000001</v>
      </c>
      <c r="I255" s="58">
        <v>62</v>
      </c>
      <c r="K255" s="57"/>
    </row>
    <row r="256" spans="1:11" x14ac:dyDescent="0.25">
      <c r="A256" s="154">
        <v>40877</v>
      </c>
      <c r="B256" s="150" t="s">
        <v>804</v>
      </c>
      <c r="C256" s="57" t="s">
        <v>8</v>
      </c>
      <c r="D256" s="57" t="s">
        <v>26</v>
      </c>
      <c r="E256" s="153">
        <v>10.5</v>
      </c>
      <c r="F256" s="153">
        <v>44.2</v>
      </c>
      <c r="G256" s="164"/>
      <c r="H256" s="164">
        <v>464.1</v>
      </c>
      <c r="I256" s="58">
        <v>62</v>
      </c>
      <c r="K256" s="57"/>
    </row>
    <row r="257" spans="1:11" x14ac:dyDescent="0.25">
      <c r="A257" s="154">
        <v>40877</v>
      </c>
      <c r="B257" s="150" t="s">
        <v>776</v>
      </c>
      <c r="C257" s="57" t="s">
        <v>8</v>
      </c>
      <c r="D257" s="57" t="s">
        <v>26</v>
      </c>
      <c r="E257" s="153">
        <v>10.5</v>
      </c>
      <c r="F257" s="153">
        <v>35.35</v>
      </c>
      <c r="G257" s="164"/>
      <c r="H257" s="164">
        <v>371.17500000000001</v>
      </c>
      <c r="I257" s="58">
        <v>62</v>
      </c>
      <c r="K257" s="57"/>
    </row>
    <row r="258" spans="1:11" x14ac:dyDescent="0.25">
      <c r="A258" s="154">
        <v>40877</v>
      </c>
      <c r="B258" s="150" t="s">
        <v>782</v>
      </c>
      <c r="C258" s="57" t="s">
        <v>8</v>
      </c>
      <c r="D258" s="57" t="s">
        <v>26</v>
      </c>
      <c r="E258" s="153">
        <v>7</v>
      </c>
      <c r="F258" s="153">
        <v>35.35</v>
      </c>
      <c r="G258" s="164"/>
      <c r="H258" s="164">
        <v>247.45</v>
      </c>
      <c r="I258" s="58">
        <v>62</v>
      </c>
      <c r="K258" s="57"/>
    </row>
    <row r="259" spans="1:11" x14ac:dyDescent="0.25">
      <c r="A259" s="154">
        <v>40877</v>
      </c>
      <c r="B259" s="150" t="s">
        <v>780</v>
      </c>
      <c r="C259" s="57" t="s">
        <v>8</v>
      </c>
      <c r="D259" s="57" t="s">
        <v>26</v>
      </c>
      <c r="E259" s="153">
        <v>4</v>
      </c>
      <c r="F259" s="153">
        <v>35.35</v>
      </c>
      <c r="G259" s="164"/>
      <c r="H259" s="164">
        <v>141.4</v>
      </c>
      <c r="I259" s="58">
        <v>62</v>
      </c>
      <c r="K259" s="57"/>
    </row>
    <row r="260" spans="1:11" x14ac:dyDescent="0.25">
      <c r="A260" s="154">
        <v>40877</v>
      </c>
      <c r="B260" s="150" t="s">
        <v>1188</v>
      </c>
      <c r="C260" s="57" t="s">
        <v>775</v>
      </c>
      <c r="D260" s="57" t="s">
        <v>26</v>
      </c>
      <c r="E260" s="153">
        <v>4</v>
      </c>
      <c r="F260" s="153">
        <v>80</v>
      </c>
      <c r="G260" s="164"/>
      <c r="H260" s="164">
        <v>320</v>
      </c>
      <c r="I260" s="58">
        <v>62</v>
      </c>
      <c r="K260" s="57"/>
    </row>
    <row r="261" spans="1:11" x14ac:dyDescent="0.25">
      <c r="A261" s="154">
        <v>40877</v>
      </c>
      <c r="B261" s="150" t="s">
        <v>773</v>
      </c>
      <c r="C261" s="57" t="s">
        <v>774</v>
      </c>
      <c r="D261" s="57" t="s">
        <v>26</v>
      </c>
      <c r="E261" s="153">
        <v>10.5</v>
      </c>
      <c r="F261" s="153">
        <v>42.79</v>
      </c>
      <c r="G261" s="164"/>
      <c r="H261" s="164">
        <v>449.29500000000002</v>
      </c>
      <c r="I261" s="58">
        <v>62</v>
      </c>
      <c r="K261" s="57"/>
    </row>
    <row r="262" spans="1:11" x14ac:dyDescent="0.25">
      <c r="A262" s="154">
        <v>40877</v>
      </c>
      <c r="B262" s="150" t="s">
        <v>782</v>
      </c>
      <c r="C262" s="57" t="s">
        <v>8</v>
      </c>
      <c r="D262" s="57" t="s">
        <v>26</v>
      </c>
      <c r="E262" s="153">
        <v>10.5</v>
      </c>
      <c r="F262" s="153">
        <v>35.35</v>
      </c>
      <c r="G262" s="164"/>
      <c r="H262" s="164">
        <v>371.17500000000001</v>
      </c>
      <c r="I262" s="58">
        <v>62</v>
      </c>
      <c r="K262" s="57"/>
    </row>
    <row r="263" spans="1:11" x14ac:dyDescent="0.25">
      <c r="A263" s="154">
        <v>40878</v>
      </c>
      <c r="B263" s="150" t="s">
        <v>782</v>
      </c>
      <c r="C263" s="57" t="s">
        <v>8</v>
      </c>
      <c r="D263" s="57" t="s">
        <v>26</v>
      </c>
      <c r="E263" s="153">
        <v>6</v>
      </c>
      <c r="F263" s="153">
        <v>35.35</v>
      </c>
      <c r="G263" s="164"/>
      <c r="H263" s="164">
        <v>212.1</v>
      </c>
      <c r="I263" s="58">
        <v>62</v>
      </c>
      <c r="K263" s="57"/>
    </row>
    <row r="264" spans="1:11" x14ac:dyDescent="0.25">
      <c r="A264" s="154">
        <v>40878</v>
      </c>
      <c r="B264" s="150" t="s">
        <v>804</v>
      </c>
      <c r="C264" s="57" t="s">
        <v>8</v>
      </c>
      <c r="D264" s="57" t="s">
        <v>26</v>
      </c>
      <c r="E264" s="153">
        <v>6</v>
      </c>
      <c r="F264" s="153">
        <v>44.2</v>
      </c>
      <c r="G264" s="164"/>
      <c r="H264" s="164">
        <v>265.2</v>
      </c>
      <c r="I264" s="58">
        <v>62</v>
      </c>
      <c r="K264" s="57"/>
    </row>
    <row r="265" spans="1:11" x14ac:dyDescent="0.25">
      <c r="A265" s="154">
        <v>40878</v>
      </c>
      <c r="B265" s="150" t="s">
        <v>773</v>
      </c>
      <c r="C265" s="57" t="s">
        <v>774</v>
      </c>
      <c r="D265" s="57" t="s">
        <v>26</v>
      </c>
      <c r="E265" s="153">
        <v>10.5</v>
      </c>
      <c r="F265" s="153">
        <v>42.79</v>
      </c>
      <c r="G265" s="164"/>
      <c r="H265" s="164">
        <v>449.29500000000002</v>
      </c>
      <c r="I265" s="58">
        <v>62</v>
      </c>
      <c r="K265" s="57"/>
    </row>
    <row r="266" spans="1:11" x14ac:dyDescent="0.25">
      <c r="A266" s="154">
        <v>40878</v>
      </c>
      <c r="B266" s="150" t="s">
        <v>782</v>
      </c>
      <c r="C266" s="57" t="s">
        <v>8</v>
      </c>
      <c r="D266" s="57" t="s">
        <v>26</v>
      </c>
      <c r="E266" s="153">
        <v>6</v>
      </c>
      <c r="F266" s="153">
        <v>35.35</v>
      </c>
      <c r="G266" s="164"/>
      <c r="H266" s="164">
        <v>212.1</v>
      </c>
      <c r="I266" s="58">
        <v>62</v>
      </c>
      <c r="K266" s="57"/>
    </row>
    <row r="267" spans="1:11" x14ac:dyDescent="0.25">
      <c r="A267" s="154">
        <v>40878</v>
      </c>
      <c r="B267" s="150" t="s">
        <v>782</v>
      </c>
      <c r="C267" s="57" t="s">
        <v>8</v>
      </c>
      <c r="D267" s="57" t="s">
        <v>26</v>
      </c>
      <c r="E267" s="153">
        <v>6</v>
      </c>
      <c r="F267" s="153">
        <v>35.35</v>
      </c>
      <c r="G267" s="164"/>
      <c r="H267" s="164">
        <v>212.1</v>
      </c>
      <c r="I267" s="58">
        <v>62</v>
      </c>
      <c r="K267" s="57"/>
    </row>
    <row r="268" spans="1:11" x14ac:dyDescent="0.25">
      <c r="A268" s="154">
        <v>40878</v>
      </c>
      <c r="B268" s="150" t="s">
        <v>776</v>
      </c>
      <c r="C268" s="57" t="s">
        <v>8</v>
      </c>
      <c r="D268" s="57" t="s">
        <v>26</v>
      </c>
      <c r="E268" s="153">
        <v>10.5</v>
      </c>
      <c r="F268" s="153">
        <v>35.35</v>
      </c>
      <c r="G268" s="164"/>
      <c r="H268" s="164">
        <v>371.17500000000001</v>
      </c>
      <c r="I268" s="58">
        <v>62</v>
      </c>
      <c r="K268" s="57"/>
    </row>
    <row r="269" spans="1:11" ht="30" x14ac:dyDescent="0.25">
      <c r="A269" s="154">
        <v>40879</v>
      </c>
      <c r="B269" s="150" t="s">
        <v>844</v>
      </c>
      <c r="C269" s="57" t="s">
        <v>786</v>
      </c>
      <c r="D269" s="57" t="s">
        <v>748</v>
      </c>
      <c r="E269" s="153">
        <v>1</v>
      </c>
      <c r="F269" s="153">
        <v>66</v>
      </c>
      <c r="G269" s="164"/>
      <c r="H269" s="164">
        <v>66</v>
      </c>
      <c r="I269" s="58">
        <v>62</v>
      </c>
      <c r="K269" s="57"/>
    </row>
    <row r="270" spans="1:11" x14ac:dyDescent="0.25">
      <c r="A270" s="154">
        <v>40883</v>
      </c>
      <c r="B270" s="150" t="s">
        <v>787</v>
      </c>
      <c r="C270" s="57" t="s">
        <v>8</v>
      </c>
      <c r="D270" s="57" t="s">
        <v>26</v>
      </c>
      <c r="E270" s="153">
        <v>6</v>
      </c>
      <c r="F270" s="153">
        <v>40.97</v>
      </c>
      <c r="G270" s="164"/>
      <c r="H270" s="164">
        <v>245.82</v>
      </c>
      <c r="I270" s="58">
        <v>62</v>
      </c>
      <c r="K270" s="57"/>
    </row>
    <row r="271" spans="1:11" x14ac:dyDescent="0.25">
      <c r="A271" s="154">
        <v>40883</v>
      </c>
      <c r="B271" s="150" t="s">
        <v>804</v>
      </c>
      <c r="C271" s="57" t="s">
        <v>8</v>
      </c>
      <c r="D271" s="57" t="s">
        <v>26</v>
      </c>
      <c r="E271" s="153">
        <v>5</v>
      </c>
      <c r="F271" s="153">
        <v>44.2</v>
      </c>
      <c r="G271" s="164"/>
      <c r="H271" s="164">
        <v>221</v>
      </c>
      <c r="I271" s="58">
        <v>62</v>
      </c>
      <c r="K271" s="57"/>
    </row>
    <row r="272" spans="1:11" x14ac:dyDescent="0.25">
      <c r="A272" s="154">
        <v>40883</v>
      </c>
      <c r="B272" s="150" t="s">
        <v>773</v>
      </c>
      <c r="C272" s="57" t="s">
        <v>774</v>
      </c>
      <c r="D272" s="57" t="s">
        <v>26</v>
      </c>
      <c r="E272" s="153">
        <v>8.5</v>
      </c>
      <c r="F272" s="153">
        <v>42.79</v>
      </c>
      <c r="G272" s="164"/>
      <c r="H272" s="164">
        <v>363.71499999999997</v>
      </c>
      <c r="I272" s="58">
        <v>62</v>
      </c>
      <c r="K272" s="57"/>
    </row>
    <row r="273" spans="1:11" x14ac:dyDescent="0.25">
      <c r="A273" s="154">
        <v>40883</v>
      </c>
      <c r="B273" s="150" t="s">
        <v>782</v>
      </c>
      <c r="C273" s="57" t="s">
        <v>8</v>
      </c>
      <c r="D273" s="57" t="s">
        <v>26</v>
      </c>
      <c r="E273" s="153">
        <v>5</v>
      </c>
      <c r="F273" s="153">
        <v>35.35</v>
      </c>
      <c r="G273" s="164"/>
      <c r="H273" s="164">
        <v>176.75</v>
      </c>
      <c r="I273" s="58">
        <v>62</v>
      </c>
      <c r="K273" s="57"/>
    </row>
    <row r="274" spans="1:11" x14ac:dyDescent="0.25">
      <c r="A274" s="154">
        <v>40883</v>
      </c>
      <c r="B274" s="150" t="s">
        <v>782</v>
      </c>
      <c r="C274" s="57" t="s">
        <v>8</v>
      </c>
      <c r="D274" s="57" t="s">
        <v>26</v>
      </c>
      <c r="E274" s="153">
        <v>5</v>
      </c>
      <c r="F274" s="153">
        <v>35.35</v>
      </c>
      <c r="G274" s="164"/>
      <c r="H274" s="164">
        <v>176.75</v>
      </c>
      <c r="I274" s="58">
        <v>62</v>
      </c>
      <c r="K274" s="57"/>
    </row>
    <row r="275" spans="1:11" x14ac:dyDescent="0.25">
      <c r="A275" s="154">
        <v>40883</v>
      </c>
      <c r="B275" s="150" t="s">
        <v>845</v>
      </c>
      <c r="C275" s="57" t="s">
        <v>8</v>
      </c>
      <c r="D275" s="57" t="s">
        <v>26</v>
      </c>
      <c r="E275" s="153">
        <v>2.5</v>
      </c>
      <c r="F275" s="153">
        <v>40.97</v>
      </c>
      <c r="G275" s="164"/>
      <c r="H275" s="164">
        <v>102.425</v>
      </c>
      <c r="I275" s="58">
        <v>62</v>
      </c>
      <c r="K275" s="57"/>
    </row>
    <row r="276" spans="1:11" x14ac:dyDescent="0.25">
      <c r="A276" s="154">
        <v>40883</v>
      </c>
      <c r="B276" s="150" t="s">
        <v>845</v>
      </c>
      <c r="C276" s="57" t="s">
        <v>8</v>
      </c>
      <c r="D276" s="57" t="s">
        <v>26</v>
      </c>
      <c r="E276" s="153">
        <v>6.5</v>
      </c>
      <c r="F276" s="153">
        <v>40.97</v>
      </c>
      <c r="G276" s="164"/>
      <c r="H276" s="164">
        <v>266.30500000000001</v>
      </c>
      <c r="I276" s="58">
        <v>62</v>
      </c>
      <c r="K276" s="57"/>
    </row>
    <row r="277" spans="1:11" x14ac:dyDescent="0.25">
      <c r="A277" s="154">
        <v>40883</v>
      </c>
      <c r="B277" s="150" t="s">
        <v>782</v>
      </c>
      <c r="C277" s="57" t="s">
        <v>8</v>
      </c>
      <c r="D277" s="57" t="s">
        <v>26</v>
      </c>
      <c r="E277" s="153">
        <v>5</v>
      </c>
      <c r="F277" s="153">
        <v>35.35</v>
      </c>
      <c r="G277" s="164"/>
      <c r="H277" s="164">
        <v>176.75</v>
      </c>
      <c r="I277" s="58">
        <v>62</v>
      </c>
      <c r="K277" s="57"/>
    </row>
    <row r="278" spans="1:11" x14ac:dyDescent="0.25">
      <c r="A278" s="154">
        <v>40883</v>
      </c>
      <c r="B278" s="150" t="s">
        <v>782</v>
      </c>
      <c r="C278" s="57" t="s">
        <v>8</v>
      </c>
      <c r="D278" s="57" t="s">
        <v>26</v>
      </c>
      <c r="E278" s="153">
        <v>6</v>
      </c>
      <c r="F278" s="153">
        <v>35.35</v>
      </c>
      <c r="G278" s="164"/>
      <c r="H278" s="164">
        <v>212.1</v>
      </c>
      <c r="I278" s="58">
        <v>62</v>
      </c>
      <c r="K278" s="57"/>
    </row>
    <row r="279" spans="1:11" x14ac:dyDescent="0.25">
      <c r="A279" s="154">
        <v>40883</v>
      </c>
      <c r="B279" s="150" t="s">
        <v>776</v>
      </c>
      <c r="C279" s="57" t="s">
        <v>8</v>
      </c>
      <c r="D279" s="57" t="s">
        <v>26</v>
      </c>
      <c r="E279" s="153">
        <v>8.5</v>
      </c>
      <c r="F279" s="153">
        <v>35.35</v>
      </c>
      <c r="G279" s="164"/>
      <c r="H279" s="164">
        <v>300.47500000000002</v>
      </c>
      <c r="I279" s="58">
        <v>62</v>
      </c>
      <c r="K279" s="57"/>
    </row>
    <row r="280" spans="1:11" ht="30" x14ac:dyDescent="0.25">
      <c r="A280" s="154">
        <v>40884</v>
      </c>
      <c r="B280" s="150" t="s">
        <v>846</v>
      </c>
      <c r="C280" s="57" t="s">
        <v>802</v>
      </c>
      <c r="D280" s="57" t="s">
        <v>748</v>
      </c>
      <c r="E280" s="153">
        <v>1</v>
      </c>
      <c r="F280" s="153">
        <v>94.6</v>
      </c>
      <c r="G280" s="164"/>
      <c r="H280" s="164">
        <v>94.6</v>
      </c>
      <c r="I280" s="58">
        <v>62</v>
      </c>
      <c r="K280" s="57"/>
    </row>
    <row r="281" spans="1:11" x14ac:dyDescent="0.25">
      <c r="A281" s="154">
        <v>40884</v>
      </c>
      <c r="B281" s="150" t="s">
        <v>773</v>
      </c>
      <c r="C281" s="57" t="s">
        <v>774</v>
      </c>
      <c r="D281" s="57" t="s">
        <v>26</v>
      </c>
      <c r="E281" s="153">
        <v>5</v>
      </c>
      <c r="F281" s="153">
        <v>42.79</v>
      </c>
      <c r="G281" s="164"/>
      <c r="H281" s="164">
        <v>213.95</v>
      </c>
      <c r="I281" s="58">
        <v>62</v>
      </c>
      <c r="K281" s="57"/>
    </row>
    <row r="282" spans="1:11" x14ac:dyDescent="0.25">
      <c r="A282" s="154">
        <v>40884</v>
      </c>
      <c r="B282" s="150" t="s">
        <v>787</v>
      </c>
      <c r="C282" s="57" t="s">
        <v>8</v>
      </c>
      <c r="D282" s="57" t="s">
        <v>26</v>
      </c>
      <c r="E282" s="153">
        <v>9.5</v>
      </c>
      <c r="F282" s="153">
        <v>40.97</v>
      </c>
      <c r="G282" s="164"/>
      <c r="H282" s="164">
        <v>389.21499999999997</v>
      </c>
      <c r="I282" s="58">
        <v>62</v>
      </c>
      <c r="K282" s="57"/>
    </row>
    <row r="283" spans="1:11" x14ac:dyDescent="0.25">
      <c r="A283" s="154">
        <v>40884</v>
      </c>
      <c r="B283" s="150" t="s">
        <v>804</v>
      </c>
      <c r="C283" s="57" t="s">
        <v>8</v>
      </c>
      <c r="D283" s="57" t="s">
        <v>26</v>
      </c>
      <c r="E283" s="153">
        <v>9.5</v>
      </c>
      <c r="F283" s="153">
        <v>44.2</v>
      </c>
      <c r="G283" s="164"/>
      <c r="H283" s="164">
        <v>419.9</v>
      </c>
      <c r="I283" s="58">
        <v>62</v>
      </c>
      <c r="K283" s="57"/>
    </row>
    <row r="284" spans="1:11" x14ac:dyDescent="0.25">
      <c r="A284" s="154">
        <v>40884</v>
      </c>
      <c r="B284" s="150" t="s">
        <v>776</v>
      </c>
      <c r="C284" s="57" t="s">
        <v>8</v>
      </c>
      <c r="D284" s="57" t="s">
        <v>26</v>
      </c>
      <c r="E284" s="153">
        <v>5</v>
      </c>
      <c r="F284" s="153">
        <v>35.35</v>
      </c>
      <c r="G284" s="164"/>
      <c r="H284" s="164">
        <v>176.75</v>
      </c>
      <c r="I284" s="58">
        <v>62</v>
      </c>
      <c r="K284" s="57"/>
    </row>
    <row r="285" spans="1:11" x14ac:dyDescent="0.25">
      <c r="A285" s="154">
        <v>40884</v>
      </c>
      <c r="B285" s="150" t="s">
        <v>782</v>
      </c>
      <c r="C285" s="57" t="s">
        <v>8</v>
      </c>
      <c r="D285" s="57" t="s">
        <v>26</v>
      </c>
      <c r="E285" s="153">
        <v>9.5</v>
      </c>
      <c r="F285" s="153">
        <v>35.35</v>
      </c>
      <c r="G285" s="164"/>
      <c r="H285" s="164">
        <v>335.82499999999999</v>
      </c>
      <c r="I285" s="58">
        <v>62</v>
      </c>
      <c r="K285" s="57"/>
    </row>
    <row r="286" spans="1:11" x14ac:dyDescent="0.25">
      <c r="A286" s="154">
        <v>40885</v>
      </c>
      <c r="B286" s="150" t="s">
        <v>782</v>
      </c>
      <c r="C286" s="57" t="s">
        <v>8</v>
      </c>
      <c r="D286" s="57" t="s">
        <v>26</v>
      </c>
      <c r="E286" s="153">
        <v>4.5</v>
      </c>
      <c r="F286" s="153">
        <v>35.35</v>
      </c>
      <c r="G286" s="164"/>
      <c r="H286" s="164">
        <v>159.07499999999999</v>
      </c>
      <c r="I286" s="58">
        <v>62</v>
      </c>
      <c r="K286" s="57"/>
    </row>
    <row r="287" spans="1:11" x14ac:dyDescent="0.25">
      <c r="A287" s="154">
        <v>40885</v>
      </c>
      <c r="B287" s="150" t="s">
        <v>773</v>
      </c>
      <c r="C287" s="57" t="s">
        <v>774</v>
      </c>
      <c r="D287" s="57" t="s">
        <v>26</v>
      </c>
      <c r="E287" s="153">
        <v>5</v>
      </c>
      <c r="F287" s="153">
        <v>42.79</v>
      </c>
      <c r="G287" s="164"/>
      <c r="H287" s="164">
        <v>213.95</v>
      </c>
      <c r="I287" s="58">
        <v>62</v>
      </c>
      <c r="K287" s="57"/>
    </row>
    <row r="288" spans="1:11" x14ac:dyDescent="0.25">
      <c r="A288" s="154">
        <v>40885</v>
      </c>
      <c r="B288" s="150" t="s">
        <v>787</v>
      </c>
      <c r="C288" s="57" t="s">
        <v>8</v>
      </c>
      <c r="D288" s="57" t="s">
        <v>26</v>
      </c>
      <c r="E288" s="153">
        <v>10.5</v>
      </c>
      <c r="F288" s="153">
        <v>40.97</v>
      </c>
      <c r="G288" s="164"/>
      <c r="H288" s="164">
        <v>430.185</v>
      </c>
      <c r="I288" s="58">
        <v>62</v>
      </c>
      <c r="K288" s="57"/>
    </row>
    <row r="289" spans="1:11" x14ac:dyDescent="0.25">
      <c r="A289" s="154">
        <v>40885</v>
      </c>
      <c r="B289" s="150" t="s">
        <v>776</v>
      </c>
      <c r="C289" s="57" t="s">
        <v>8</v>
      </c>
      <c r="D289" s="57" t="s">
        <v>26</v>
      </c>
      <c r="E289" s="153">
        <v>5</v>
      </c>
      <c r="F289" s="153">
        <v>35.35</v>
      </c>
      <c r="G289" s="164"/>
      <c r="H289" s="164">
        <v>176.75</v>
      </c>
      <c r="I289" s="58">
        <v>62</v>
      </c>
      <c r="K289" s="57"/>
    </row>
    <row r="290" spans="1:11" x14ac:dyDescent="0.25">
      <c r="A290" s="154">
        <v>40885</v>
      </c>
      <c r="B290" s="150" t="s">
        <v>782</v>
      </c>
      <c r="C290" s="57" t="s">
        <v>8</v>
      </c>
      <c r="D290" s="57" t="s">
        <v>26</v>
      </c>
      <c r="E290" s="153">
        <v>3.5</v>
      </c>
      <c r="F290" s="153">
        <v>35.35</v>
      </c>
      <c r="G290" s="164"/>
      <c r="H290" s="164">
        <v>123.72499999999999</v>
      </c>
      <c r="I290" s="58">
        <v>62</v>
      </c>
      <c r="K290" s="57"/>
    </row>
    <row r="291" spans="1:11" x14ac:dyDescent="0.25">
      <c r="A291" s="154">
        <v>40885</v>
      </c>
      <c r="B291" s="150" t="s">
        <v>782</v>
      </c>
      <c r="C291" s="57" t="s">
        <v>8</v>
      </c>
      <c r="D291" s="57" t="s">
        <v>26</v>
      </c>
      <c r="E291" s="153">
        <v>10.5</v>
      </c>
      <c r="F291" s="153">
        <v>35.35</v>
      </c>
      <c r="G291" s="164"/>
      <c r="H291" s="164">
        <v>371.17500000000001</v>
      </c>
      <c r="I291" s="58">
        <v>62</v>
      </c>
      <c r="K291" s="57"/>
    </row>
    <row r="292" spans="1:11" x14ac:dyDescent="0.25">
      <c r="A292" s="154">
        <v>40886</v>
      </c>
      <c r="B292" s="150" t="s">
        <v>782</v>
      </c>
      <c r="C292" s="57" t="s">
        <v>8</v>
      </c>
      <c r="D292" s="57" t="s">
        <v>26</v>
      </c>
      <c r="E292" s="153">
        <v>4.5</v>
      </c>
      <c r="F292" s="153">
        <v>35.35</v>
      </c>
      <c r="G292" s="164"/>
      <c r="H292" s="164">
        <v>159.07499999999999</v>
      </c>
      <c r="I292" s="58">
        <v>62</v>
      </c>
      <c r="K292" s="57"/>
    </row>
    <row r="293" spans="1:11" x14ac:dyDescent="0.25">
      <c r="A293" s="154">
        <v>40886</v>
      </c>
      <c r="B293" s="150" t="s">
        <v>773</v>
      </c>
      <c r="C293" s="57" t="s">
        <v>774</v>
      </c>
      <c r="D293" s="57" t="s">
        <v>26</v>
      </c>
      <c r="E293" s="153">
        <v>7.5</v>
      </c>
      <c r="F293" s="153">
        <v>42.79</v>
      </c>
      <c r="G293" s="164"/>
      <c r="H293" s="164">
        <v>320.92500000000001</v>
      </c>
      <c r="I293" s="58">
        <v>62</v>
      </c>
      <c r="K293" s="57"/>
    </row>
    <row r="294" spans="1:11" x14ac:dyDescent="0.25">
      <c r="A294" s="154">
        <v>40886</v>
      </c>
      <c r="B294" s="150" t="s">
        <v>787</v>
      </c>
      <c r="C294" s="57" t="s">
        <v>8</v>
      </c>
      <c r="D294" s="57" t="s">
        <v>26</v>
      </c>
      <c r="E294" s="153">
        <v>10.5</v>
      </c>
      <c r="F294" s="153">
        <v>40.97</v>
      </c>
      <c r="G294" s="164"/>
      <c r="H294" s="164">
        <v>430.185</v>
      </c>
      <c r="I294" s="58">
        <v>62</v>
      </c>
      <c r="K294" s="57"/>
    </row>
    <row r="295" spans="1:11" x14ac:dyDescent="0.25">
      <c r="A295" s="154">
        <v>40886</v>
      </c>
      <c r="B295" s="150" t="s">
        <v>776</v>
      </c>
      <c r="C295" s="57" t="s">
        <v>8</v>
      </c>
      <c r="D295" s="57" t="s">
        <v>26</v>
      </c>
      <c r="E295" s="153">
        <v>7.5</v>
      </c>
      <c r="F295" s="153">
        <v>35.35</v>
      </c>
      <c r="G295" s="164"/>
      <c r="H295" s="164">
        <v>265.125</v>
      </c>
      <c r="I295" s="58">
        <v>62</v>
      </c>
      <c r="K295" s="57"/>
    </row>
    <row r="296" spans="1:11" x14ac:dyDescent="0.25">
      <c r="A296" s="154">
        <v>40886</v>
      </c>
      <c r="B296" s="150" t="s">
        <v>782</v>
      </c>
      <c r="C296" s="57" t="s">
        <v>8</v>
      </c>
      <c r="D296" s="57" t="s">
        <v>26</v>
      </c>
      <c r="E296" s="153">
        <v>10.5</v>
      </c>
      <c r="F296" s="153">
        <v>35.35</v>
      </c>
      <c r="G296" s="164"/>
      <c r="H296" s="164">
        <v>371.17500000000001</v>
      </c>
      <c r="I296" s="58">
        <v>62</v>
      </c>
      <c r="K296" s="57"/>
    </row>
    <row r="297" spans="1:11" x14ac:dyDescent="0.25">
      <c r="A297" s="154">
        <v>40886</v>
      </c>
      <c r="B297" s="150" t="s">
        <v>804</v>
      </c>
      <c r="C297" s="57" t="s">
        <v>8</v>
      </c>
      <c r="D297" s="57" t="s">
        <v>26</v>
      </c>
      <c r="E297" s="153">
        <v>10.5</v>
      </c>
      <c r="F297" s="153">
        <v>44.2</v>
      </c>
      <c r="G297" s="164"/>
      <c r="H297" s="164">
        <v>464.1</v>
      </c>
      <c r="I297" s="58">
        <v>62</v>
      </c>
      <c r="K297" s="57"/>
    </row>
    <row r="298" spans="1:11" x14ac:dyDescent="0.25">
      <c r="A298" s="154">
        <v>40887</v>
      </c>
      <c r="B298" s="150" t="s">
        <v>773</v>
      </c>
      <c r="C298" s="57" t="s">
        <v>774</v>
      </c>
      <c r="D298" s="57" t="s">
        <v>26</v>
      </c>
      <c r="E298" s="153">
        <v>10.5</v>
      </c>
      <c r="F298" s="153">
        <v>42.79</v>
      </c>
      <c r="G298" s="164"/>
      <c r="H298" s="164">
        <v>449.29500000000002</v>
      </c>
      <c r="I298" s="58">
        <v>62</v>
      </c>
      <c r="K298" s="57"/>
    </row>
    <row r="299" spans="1:11" x14ac:dyDescent="0.25">
      <c r="A299" s="154">
        <v>40887</v>
      </c>
      <c r="B299" s="150" t="s">
        <v>782</v>
      </c>
      <c r="C299" s="57" t="s">
        <v>8</v>
      </c>
      <c r="D299" s="57" t="s">
        <v>26</v>
      </c>
      <c r="E299" s="153">
        <v>10.5</v>
      </c>
      <c r="F299" s="153">
        <v>35.35</v>
      </c>
      <c r="G299" s="164"/>
      <c r="H299" s="164">
        <v>371.17500000000001</v>
      </c>
      <c r="I299" s="58">
        <v>62</v>
      </c>
      <c r="K299" s="57"/>
    </row>
    <row r="300" spans="1:11" x14ac:dyDescent="0.25">
      <c r="A300" s="154">
        <v>40887</v>
      </c>
      <c r="B300" s="150" t="s">
        <v>1188</v>
      </c>
      <c r="C300" s="57" t="s">
        <v>775</v>
      </c>
      <c r="D300" s="57" t="s">
        <v>26</v>
      </c>
      <c r="E300" s="153">
        <v>10.5</v>
      </c>
      <c r="F300" s="153">
        <v>80</v>
      </c>
      <c r="G300" s="164"/>
      <c r="H300" s="164">
        <v>840</v>
      </c>
      <c r="I300" s="58">
        <v>62</v>
      </c>
      <c r="K300" s="57"/>
    </row>
    <row r="301" spans="1:11" x14ac:dyDescent="0.25">
      <c r="A301" s="154">
        <v>40887</v>
      </c>
      <c r="B301" s="150" t="s">
        <v>787</v>
      </c>
      <c r="C301" s="57" t="s">
        <v>8</v>
      </c>
      <c r="D301" s="57" t="s">
        <v>26</v>
      </c>
      <c r="E301" s="153">
        <v>10.5</v>
      </c>
      <c r="F301" s="153">
        <v>40.97</v>
      </c>
      <c r="G301" s="164"/>
      <c r="H301" s="164">
        <v>430.185</v>
      </c>
      <c r="I301" s="58">
        <v>62</v>
      </c>
      <c r="K301" s="57"/>
    </row>
    <row r="302" spans="1:11" x14ac:dyDescent="0.25">
      <c r="A302" s="154">
        <v>40887</v>
      </c>
      <c r="B302" s="150" t="s">
        <v>451</v>
      </c>
      <c r="C302" s="57" t="s">
        <v>788</v>
      </c>
      <c r="D302" s="57" t="s">
        <v>26</v>
      </c>
      <c r="E302" s="153">
        <v>9.5</v>
      </c>
      <c r="F302" s="153">
        <v>66.069999999999993</v>
      </c>
      <c r="G302" s="164"/>
      <c r="H302" s="164">
        <v>627.66499999999996</v>
      </c>
      <c r="I302" s="58">
        <v>62</v>
      </c>
      <c r="K302" s="57"/>
    </row>
    <row r="303" spans="1:11" x14ac:dyDescent="0.25">
      <c r="A303" s="154">
        <v>40887</v>
      </c>
      <c r="B303" s="150" t="s">
        <v>782</v>
      </c>
      <c r="C303" s="57" t="s">
        <v>8</v>
      </c>
      <c r="D303" s="57" t="s">
        <v>26</v>
      </c>
      <c r="E303" s="153">
        <v>10.5</v>
      </c>
      <c r="F303" s="153">
        <v>35.35</v>
      </c>
      <c r="G303" s="164"/>
      <c r="H303" s="164">
        <v>371.17500000000001</v>
      </c>
      <c r="I303" s="58">
        <v>62</v>
      </c>
      <c r="K303" s="57"/>
    </row>
    <row r="304" spans="1:11" x14ac:dyDescent="0.25">
      <c r="A304" s="154">
        <v>40887</v>
      </c>
      <c r="B304" s="150" t="s">
        <v>782</v>
      </c>
      <c r="C304" s="57" t="s">
        <v>8</v>
      </c>
      <c r="D304" s="57" t="s">
        <v>26</v>
      </c>
      <c r="E304" s="153">
        <v>10.5</v>
      </c>
      <c r="F304" s="153">
        <v>35.35</v>
      </c>
      <c r="G304" s="164"/>
      <c r="H304" s="164">
        <v>371.17500000000001</v>
      </c>
      <c r="I304" s="58">
        <v>62</v>
      </c>
      <c r="K304" s="57"/>
    </row>
    <row r="305" spans="1:11" x14ac:dyDescent="0.25">
      <c r="A305" s="154">
        <v>40887</v>
      </c>
      <c r="B305" s="150" t="s">
        <v>776</v>
      </c>
      <c r="C305" s="57" t="s">
        <v>8</v>
      </c>
      <c r="D305" s="57" t="s">
        <v>26</v>
      </c>
      <c r="E305" s="153">
        <v>10.5</v>
      </c>
      <c r="F305" s="153">
        <v>35.35</v>
      </c>
      <c r="G305" s="164"/>
      <c r="H305" s="164">
        <v>371.17500000000001</v>
      </c>
      <c r="I305" s="58">
        <v>62</v>
      </c>
      <c r="K305" s="57"/>
    </row>
    <row r="306" spans="1:11" x14ac:dyDescent="0.25">
      <c r="A306" s="154">
        <v>40887</v>
      </c>
      <c r="B306" s="150" t="s">
        <v>780</v>
      </c>
      <c r="C306" s="57" t="s">
        <v>8</v>
      </c>
      <c r="D306" s="57" t="s">
        <v>26</v>
      </c>
      <c r="E306" s="153">
        <v>10.5</v>
      </c>
      <c r="F306" s="153">
        <v>35.35</v>
      </c>
      <c r="G306" s="164"/>
      <c r="H306" s="164">
        <v>371.17500000000001</v>
      </c>
      <c r="I306" s="58">
        <v>62</v>
      </c>
      <c r="K306" s="57"/>
    </row>
    <row r="307" spans="1:11" x14ac:dyDescent="0.25">
      <c r="A307" s="154">
        <v>40887</v>
      </c>
      <c r="B307" s="150" t="s">
        <v>804</v>
      </c>
      <c r="C307" s="57" t="s">
        <v>8</v>
      </c>
      <c r="D307" s="57" t="s">
        <v>26</v>
      </c>
      <c r="E307" s="153">
        <v>10.5</v>
      </c>
      <c r="F307" s="153">
        <v>44.2</v>
      </c>
      <c r="G307" s="164"/>
      <c r="H307" s="164">
        <v>464.1</v>
      </c>
      <c r="I307" s="58">
        <v>62</v>
      </c>
      <c r="K307" s="57"/>
    </row>
    <row r="308" spans="1:11" x14ac:dyDescent="0.25">
      <c r="A308" s="154">
        <v>40887</v>
      </c>
      <c r="B308" s="150" t="s">
        <v>782</v>
      </c>
      <c r="C308" s="57" t="s">
        <v>8</v>
      </c>
      <c r="D308" s="57" t="s">
        <v>26</v>
      </c>
      <c r="E308" s="153">
        <v>10.5</v>
      </c>
      <c r="F308" s="153">
        <v>35.35</v>
      </c>
      <c r="G308" s="164"/>
      <c r="H308" s="164">
        <v>371.17500000000001</v>
      </c>
      <c r="I308" s="58">
        <v>62</v>
      </c>
      <c r="K308" s="57"/>
    </row>
    <row r="309" spans="1:11" x14ac:dyDescent="0.25">
      <c r="A309" s="154">
        <v>40888</v>
      </c>
      <c r="B309" s="150" t="s">
        <v>776</v>
      </c>
      <c r="C309" s="57" t="s">
        <v>8</v>
      </c>
      <c r="D309" s="57" t="s">
        <v>26</v>
      </c>
      <c r="E309" s="153">
        <v>10.5</v>
      </c>
      <c r="F309" s="153">
        <v>35.35</v>
      </c>
      <c r="G309" s="164"/>
      <c r="H309" s="164">
        <v>371.17500000000001</v>
      </c>
      <c r="I309" s="58">
        <v>62</v>
      </c>
      <c r="K309" s="57"/>
    </row>
    <row r="310" spans="1:11" x14ac:dyDescent="0.25">
      <c r="A310" s="154">
        <v>40888</v>
      </c>
      <c r="B310" s="150" t="s">
        <v>782</v>
      </c>
      <c r="C310" s="57" t="s">
        <v>8</v>
      </c>
      <c r="D310" s="57" t="s">
        <v>26</v>
      </c>
      <c r="E310" s="153">
        <v>10.5</v>
      </c>
      <c r="F310" s="153">
        <v>35.35</v>
      </c>
      <c r="G310" s="164"/>
      <c r="H310" s="164">
        <v>371.17500000000001</v>
      </c>
      <c r="I310" s="58">
        <v>62</v>
      </c>
      <c r="K310" s="57"/>
    </row>
    <row r="311" spans="1:11" x14ac:dyDescent="0.25">
      <c r="A311" s="154">
        <v>40888</v>
      </c>
      <c r="B311" s="150" t="s">
        <v>773</v>
      </c>
      <c r="C311" s="57" t="s">
        <v>774</v>
      </c>
      <c r="D311" s="57" t="s">
        <v>26</v>
      </c>
      <c r="E311" s="153">
        <v>10.5</v>
      </c>
      <c r="F311" s="153">
        <v>42.79</v>
      </c>
      <c r="G311" s="164"/>
      <c r="H311" s="164">
        <v>449.29500000000002</v>
      </c>
      <c r="I311" s="58">
        <v>62</v>
      </c>
      <c r="K311" s="57"/>
    </row>
    <row r="312" spans="1:11" x14ac:dyDescent="0.25">
      <c r="A312" s="154">
        <v>40888</v>
      </c>
      <c r="B312" s="150" t="s">
        <v>787</v>
      </c>
      <c r="C312" s="57" t="s">
        <v>8</v>
      </c>
      <c r="D312" s="57" t="s">
        <v>26</v>
      </c>
      <c r="E312" s="153">
        <v>10.5</v>
      </c>
      <c r="F312" s="153">
        <v>40.97</v>
      </c>
      <c r="G312" s="164"/>
      <c r="H312" s="164">
        <v>430.185</v>
      </c>
      <c r="I312" s="58">
        <v>62</v>
      </c>
      <c r="K312" s="57"/>
    </row>
    <row r="313" spans="1:11" x14ac:dyDescent="0.25">
      <c r="A313" s="154">
        <v>40888</v>
      </c>
      <c r="B313" s="150" t="s">
        <v>847</v>
      </c>
      <c r="C313" s="57" t="s">
        <v>8</v>
      </c>
      <c r="D313" s="57" t="s">
        <v>26</v>
      </c>
      <c r="E313" s="153">
        <v>2.5</v>
      </c>
      <c r="F313" s="153">
        <v>40.97</v>
      </c>
      <c r="G313" s="164"/>
      <c r="H313" s="164">
        <v>102.425</v>
      </c>
      <c r="I313" s="58">
        <v>62</v>
      </c>
      <c r="K313" s="57"/>
    </row>
    <row r="314" spans="1:11" x14ac:dyDescent="0.25">
      <c r="A314" s="154">
        <v>40888</v>
      </c>
      <c r="B314" s="150" t="s">
        <v>782</v>
      </c>
      <c r="C314" s="57" t="s">
        <v>8</v>
      </c>
      <c r="D314" s="57" t="s">
        <v>26</v>
      </c>
      <c r="E314" s="153">
        <v>10.5</v>
      </c>
      <c r="F314" s="153">
        <v>35.35</v>
      </c>
      <c r="G314" s="164"/>
      <c r="H314" s="164">
        <v>371.17500000000001</v>
      </c>
      <c r="I314" s="58">
        <v>62</v>
      </c>
      <c r="K314" s="57"/>
    </row>
    <row r="315" spans="1:11" x14ac:dyDescent="0.25">
      <c r="A315" s="154">
        <v>40888</v>
      </c>
      <c r="B315" s="150" t="s">
        <v>782</v>
      </c>
      <c r="C315" s="57" t="s">
        <v>8</v>
      </c>
      <c r="D315" s="57" t="s">
        <v>26</v>
      </c>
      <c r="E315" s="153">
        <v>10.5</v>
      </c>
      <c r="F315" s="153">
        <v>35.35</v>
      </c>
      <c r="G315" s="164"/>
      <c r="H315" s="164">
        <v>371.17500000000001</v>
      </c>
      <c r="I315" s="58">
        <v>62</v>
      </c>
      <c r="K315" s="57"/>
    </row>
    <row r="316" spans="1:11" x14ac:dyDescent="0.25">
      <c r="A316" s="154">
        <v>40888</v>
      </c>
      <c r="B316" s="150" t="s">
        <v>804</v>
      </c>
      <c r="C316" s="57" t="s">
        <v>8</v>
      </c>
      <c r="D316" s="57" t="s">
        <v>26</v>
      </c>
      <c r="E316" s="153">
        <v>10.5</v>
      </c>
      <c r="F316" s="153">
        <v>44.2</v>
      </c>
      <c r="G316" s="164"/>
      <c r="H316" s="164">
        <v>464.1</v>
      </c>
      <c r="I316" s="58">
        <v>62</v>
      </c>
      <c r="K316" s="57"/>
    </row>
    <row r="317" spans="1:11" x14ac:dyDescent="0.25">
      <c r="A317" s="154">
        <v>40888</v>
      </c>
      <c r="B317" s="150" t="s">
        <v>782</v>
      </c>
      <c r="C317" s="57" t="s">
        <v>8</v>
      </c>
      <c r="D317" s="57" t="s">
        <v>26</v>
      </c>
      <c r="E317" s="153">
        <v>10.5</v>
      </c>
      <c r="F317" s="153">
        <v>35.35</v>
      </c>
      <c r="G317" s="164"/>
      <c r="H317" s="164">
        <v>371.17500000000001</v>
      </c>
      <c r="I317" s="58">
        <v>62</v>
      </c>
      <c r="K317" s="57"/>
    </row>
    <row r="318" spans="1:11" x14ac:dyDescent="0.25">
      <c r="A318" s="154">
        <v>40889</v>
      </c>
      <c r="B318" s="150" t="s">
        <v>782</v>
      </c>
      <c r="C318" s="57" t="s">
        <v>8</v>
      </c>
      <c r="D318" s="57" t="s">
        <v>26</v>
      </c>
      <c r="E318" s="153">
        <v>10</v>
      </c>
      <c r="F318" s="153">
        <v>35.35</v>
      </c>
      <c r="G318" s="164"/>
      <c r="H318" s="164">
        <v>353.5</v>
      </c>
      <c r="I318" s="58">
        <v>62</v>
      </c>
      <c r="K318" s="57"/>
    </row>
    <row r="319" spans="1:11" x14ac:dyDescent="0.25">
      <c r="A319" s="154">
        <v>40889</v>
      </c>
      <c r="B319" s="150" t="s">
        <v>773</v>
      </c>
      <c r="C319" s="57" t="s">
        <v>774</v>
      </c>
      <c r="D319" s="57" t="s">
        <v>26</v>
      </c>
      <c r="E319" s="153">
        <v>10.5</v>
      </c>
      <c r="F319" s="153">
        <v>42.79</v>
      </c>
      <c r="G319" s="164"/>
      <c r="H319" s="164">
        <v>449.29500000000002</v>
      </c>
      <c r="I319" s="58">
        <v>62</v>
      </c>
      <c r="K319" s="57"/>
    </row>
    <row r="320" spans="1:11" x14ac:dyDescent="0.25">
      <c r="A320" s="154">
        <v>40889</v>
      </c>
      <c r="B320" s="150" t="s">
        <v>787</v>
      </c>
      <c r="C320" s="57" t="s">
        <v>8</v>
      </c>
      <c r="D320" s="57" t="s">
        <v>26</v>
      </c>
      <c r="E320" s="153">
        <v>10</v>
      </c>
      <c r="F320" s="153">
        <v>40.97</v>
      </c>
      <c r="G320" s="164"/>
      <c r="H320" s="164">
        <v>409.7</v>
      </c>
      <c r="I320" s="58">
        <v>62</v>
      </c>
      <c r="K320" s="57"/>
    </row>
    <row r="321" spans="1:11" x14ac:dyDescent="0.25">
      <c r="A321" s="154">
        <v>40889</v>
      </c>
      <c r="B321" s="150" t="s">
        <v>782</v>
      </c>
      <c r="C321" s="57" t="s">
        <v>8</v>
      </c>
      <c r="D321" s="57" t="s">
        <v>26</v>
      </c>
      <c r="E321" s="153">
        <v>10</v>
      </c>
      <c r="F321" s="153">
        <v>35.35</v>
      </c>
      <c r="G321" s="164"/>
      <c r="H321" s="164">
        <v>353.5</v>
      </c>
      <c r="I321" s="58">
        <v>62</v>
      </c>
      <c r="K321" s="57"/>
    </row>
    <row r="322" spans="1:11" x14ac:dyDescent="0.25">
      <c r="A322" s="154">
        <v>40889</v>
      </c>
      <c r="B322" s="150" t="s">
        <v>782</v>
      </c>
      <c r="C322" s="57" t="s">
        <v>8</v>
      </c>
      <c r="D322" s="57" t="s">
        <v>26</v>
      </c>
      <c r="E322" s="153">
        <v>10</v>
      </c>
      <c r="F322" s="153">
        <v>35.35</v>
      </c>
      <c r="G322" s="164"/>
      <c r="H322" s="164">
        <v>353.5</v>
      </c>
      <c r="I322" s="58">
        <v>62</v>
      </c>
      <c r="K322" s="57"/>
    </row>
    <row r="323" spans="1:11" x14ac:dyDescent="0.25">
      <c r="A323" s="154">
        <v>40889</v>
      </c>
      <c r="B323" s="150" t="s">
        <v>776</v>
      </c>
      <c r="C323" s="57" t="s">
        <v>8</v>
      </c>
      <c r="D323" s="57" t="s">
        <v>26</v>
      </c>
      <c r="E323" s="153">
        <v>10.5</v>
      </c>
      <c r="F323" s="153">
        <v>35.35</v>
      </c>
      <c r="G323" s="164"/>
      <c r="H323" s="164">
        <v>371.17500000000001</v>
      </c>
      <c r="I323" s="58">
        <v>62</v>
      </c>
      <c r="K323" s="57"/>
    </row>
    <row r="324" spans="1:11" x14ac:dyDescent="0.25">
      <c r="A324" s="154">
        <v>40889</v>
      </c>
      <c r="B324" s="150" t="s">
        <v>804</v>
      </c>
      <c r="C324" s="57" t="s">
        <v>8</v>
      </c>
      <c r="D324" s="57" t="s">
        <v>26</v>
      </c>
      <c r="E324" s="153">
        <v>10</v>
      </c>
      <c r="F324" s="153">
        <v>44.2</v>
      </c>
      <c r="G324" s="164"/>
      <c r="H324" s="164">
        <v>442</v>
      </c>
      <c r="I324" s="58">
        <v>62</v>
      </c>
      <c r="K324" s="57"/>
    </row>
    <row r="325" spans="1:11" x14ac:dyDescent="0.25">
      <c r="A325" s="154">
        <v>40889</v>
      </c>
      <c r="B325" s="150" t="s">
        <v>782</v>
      </c>
      <c r="C325" s="57" t="s">
        <v>8</v>
      </c>
      <c r="D325" s="57" t="s">
        <v>26</v>
      </c>
      <c r="E325" s="153">
        <v>10</v>
      </c>
      <c r="F325" s="153">
        <v>35.35</v>
      </c>
      <c r="G325" s="164"/>
      <c r="H325" s="164">
        <v>353.5</v>
      </c>
      <c r="I325" s="58">
        <v>62</v>
      </c>
      <c r="K325" s="57"/>
    </row>
    <row r="326" spans="1:11" x14ac:dyDescent="0.25">
      <c r="A326" s="154">
        <v>40890</v>
      </c>
      <c r="B326" s="150" t="s">
        <v>773</v>
      </c>
      <c r="C326" s="57" t="s">
        <v>774</v>
      </c>
      <c r="D326" s="57" t="s">
        <v>26</v>
      </c>
      <c r="E326" s="153">
        <v>6.5</v>
      </c>
      <c r="F326" s="153">
        <v>42.79</v>
      </c>
      <c r="G326" s="164"/>
      <c r="H326" s="164">
        <v>278.13499999999999</v>
      </c>
      <c r="I326" s="58">
        <v>62</v>
      </c>
      <c r="K326" s="57"/>
    </row>
    <row r="327" spans="1:11" x14ac:dyDescent="0.25">
      <c r="A327" s="154">
        <v>40890</v>
      </c>
      <c r="B327" s="150" t="s">
        <v>787</v>
      </c>
      <c r="C327" s="57" t="s">
        <v>8</v>
      </c>
      <c r="D327" s="57" t="s">
        <v>26</v>
      </c>
      <c r="E327" s="153">
        <v>10.5</v>
      </c>
      <c r="F327" s="153">
        <v>40.97</v>
      </c>
      <c r="G327" s="164"/>
      <c r="H327" s="164">
        <v>430.185</v>
      </c>
      <c r="I327" s="58">
        <v>62</v>
      </c>
      <c r="K327" s="57"/>
    </row>
    <row r="328" spans="1:11" x14ac:dyDescent="0.25">
      <c r="A328" s="154">
        <v>40890</v>
      </c>
      <c r="B328" s="150" t="s">
        <v>776</v>
      </c>
      <c r="C328" s="57" t="s">
        <v>8</v>
      </c>
      <c r="D328" s="57" t="s">
        <v>26</v>
      </c>
      <c r="E328" s="153">
        <v>6.5</v>
      </c>
      <c r="F328" s="153">
        <v>35.35</v>
      </c>
      <c r="G328" s="164"/>
      <c r="H328" s="164">
        <v>229.77500000000001</v>
      </c>
      <c r="I328" s="58">
        <v>62</v>
      </c>
      <c r="K328" s="57"/>
    </row>
    <row r="329" spans="1:11" x14ac:dyDescent="0.25">
      <c r="A329" s="154">
        <v>40890</v>
      </c>
      <c r="B329" s="150" t="s">
        <v>782</v>
      </c>
      <c r="C329" s="57" t="s">
        <v>8</v>
      </c>
      <c r="D329" s="57" t="s">
        <v>26</v>
      </c>
      <c r="E329" s="153">
        <v>10</v>
      </c>
      <c r="F329" s="153">
        <v>35.35</v>
      </c>
      <c r="G329" s="164"/>
      <c r="H329" s="164">
        <v>353.5</v>
      </c>
      <c r="I329" s="58">
        <v>62</v>
      </c>
      <c r="K329" s="57"/>
    </row>
    <row r="330" spans="1:11" x14ac:dyDescent="0.25">
      <c r="A330" s="154">
        <v>40891</v>
      </c>
      <c r="B330" s="150" t="s">
        <v>787</v>
      </c>
      <c r="C330" s="57" t="s">
        <v>8</v>
      </c>
      <c r="D330" s="57" t="s">
        <v>26</v>
      </c>
      <c r="E330" s="153">
        <v>10.5</v>
      </c>
      <c r="F330" s="153">
        <v>40.97</v>
      </c>
      <c r="G330" s="164"/>
      <c r="H330" s="164">
        <v>430.185</v>
      </c>
      <c r="I330" s="58">
        <v>62</v>
      </c>
      <c r="K330" s="57"/>
    </row>
    <row r="331" spans="1:11" x14ac:dyDescent="0.25">
      <c r="A331" s="154">
        <v>40891</v>
      </c>
      <c r="B331" s="150" t="s">
        <v>1188</v>
      </c>
      <c r="C331" s="57" t="s">
        <v>775</v>
      </c>
      <c r="D331" s="57" t="s">
        <v>26</v>
      </c>
      <c r="E331" s="153">
        <v>9</v>
      </c>
      <c r="F331" s="153">
        <v>80</v>
      </c>
      <c r="G331" s="164"/>
      <c r="H331" s="164">
        <v>720</v>
      </c>
      <c r="I331" s="58">
        <v>62</v>
      </c>
      <c r="K331" s="57"/>
    </row>
    <row r="332" spans="1:11" x14ac:dyDescent="0.25">
      <c r="A332" s="154">
        <v>40891</v>
      </c>
      <c r="B332" s="150" t="s">
        <v>845</v>
      </c>
      <c r="C332" s="57" t="s">
        <v>8</v>
      </c>
      <c r="D332" s="57" t="s">
        <v>26</v>
      </c>
      <c r="E332" s="153">
        <v>10.5</v>
      </c>
      <c r="F332" s="153">
        <v>40.97</v>
      </c>
      <c r="G332" s="164"/>
      <c r="H332" s="164">
        <v>430.185</v>
      </c>
      <c r="I332" s="58">
        <v>62</v>
      </c>
      <c r="K332" s="57"/>
    </row>
    <row r="333" spans="1:11" x14ac:dyDescent="0.25">
      <c r="A333" s="154">
        <v>40891</v>
      </c>
      <c r="B333" s="150" t="s">
        <v>776</v>
      </c>
      <c r="C333" s="57" t="s">
        <v>8</v>
      </c>
      <c r="D333" s="57" t="s">
        <v>26</v>
      </c>
      <c r="E333" s="153">
        <v>6.5</v>
      </c>
      <c r="F333" s="153">
        <v>35.35</v>
      </c>
      <c r="G333" s="164"/>
      <c r="H333" s="164">
        <v>229.77500000000001</v>
      </c>
      <c r="I333" s="58">
        <v>62</v>
      </c>
      <c r="K333" s="57"/>
    </row>
    <row r="334" spans="1:11" x14ac:dyDescent="0.25">
      <c r="A334" s="154">
        <v>40891</v>
      </c>
      <c r="B334" s="150" t="s">
        <v>773</v>
      </c>
      <c r="C334" s="57" t="s">
        <v>774</v>
      </c>
      <c r="D334" s="57" t="s">
        <v>26</v>
      </c>
      <c r="E334" s="153">
        <v>6.5</v>
      </c>
      <c r="F334" s="153">
        <v>42.79</v>
      </c>
      <c r="G334" s="164"/>
      <c r="H334" s="164">
        <v>278.13499999999999</v>
      </c>
      <c r="I334" s="58">
        <v>62</v>
      </c>
      <c r="K334" s="57"/>
    </row>
    <row r="335" spans="1:11" x14ac:dyDescent="0.25">
      <c r="A335" s="154">
        <v>40892</v>
      </c>
      <c r="B335" s="150" t="s">
        <v>848</v>
      </c>
      <c r="C335" s="57" t="s">
        <v>8</v>
      </c>
      <c r="D335" s="57" t="s">
        <v>26</v>
      </c>
      <c r="E335" s="153">
        <v>2.5</v>
      </c>
      <c r="F335" s="153">
        <v>40.97</v>
      </c>
      <c r="G335" s="164"/>
      <c r="H335" s="164">
        <v>102.425</v>
      </c>
      <c r="I335" s="58">
        <v>62</v>
      </c>
      <c r="K335" s="57"/>
    </row>
    <row r="336" spans="1:11" x14ac:dyDescent="0.25">
      <c r="A336" s="154">
        <v>40892</v>
      </c>
      <c r="B336" s="150" t="s">
        <v>787</v>
      </c>
      <c r="C336" s="57" t="s">
        <v>8</v>
      </c>
      <c r="D336" s="57" t="s">
        <v>26</v>
      </c>
      <c r="E336" s="153">
        <v>10</v>
      </c>
      <c r="F336" s="153">
        <v>40.97</v>
      </c>
      <c r="G336" s="164"/>
      <c r="H336" s="164">
        <v>409.7</v>
      </c>
      <c r="I336" s="58">
        <v>62</v>
      </c>
      <c r="K336" s="57"/>
    </row>
    <row r="337" spans="1:11" x14ac:dyDescent="0.25">
      <c r="A337" s="154">
        <v>40892</v>
      </c>
      <c r="B337" s="150" t="s">
        <v>845</v>
      </c>
      <c r="C337" s="57" t="s">
        <v>8</v>
      </c>
      <c r="D337" s="57" t="s">
        <v>26</v>
      </c>
      <c r="E337" s="153">
        <v>10.5</v>
      </c>
      <c r="F337" s="153">
        <v>40.97</v>
      </c>
      <c r="G337" s="164"/>
      <c r="H337" s="164">
        <v>430.185</v>
      </c>
      <c r="I337" s="58">
        <v>62</v>
      </c>
      <c r="K337" s="57"/>
    </row>
    <row r="338" spans="1:11" x14ac:dyDescent="0.25">
      <c r="A338" s="154">
        <v>40892</v>
      </c>
      <c r="B338" s="150" t="s">
        <v>776</v>
      </c>
      <c r="C338" s="57" t="s">
        <v>8</v>
      </c>
      <c r="D338" s="57" t="s">
        <v>26</v>
      </c>
      <c r="E338" s="153">
        <v>6.5</v>
      </c>
      <c r="F338" s="153">
        <v>35.35</v>
      </c>
      <c r="G338" s="164"/>
      <c r="H338" s="164">
        <v>229.77500000000001</v>
      </c>
      <c r="I338" s="58">
        <v>62</v>
      </c>
      <c r="K338" s="57"/>
    </row>
    <row r="339" spans="1:11" x14ac:dyDescent="0.25">
      <c r="A339" s="154">
        <v>40892</v>
      </c>
      <c r="B339" s="150" t="s">
        <v>773</v>
      </c>
      <c r="C339" s="57" t="s">
        <v>774</v>
      </c>
      <c r="D339" s="57" t="s">
        <v>26</v>
      </c>
      <c r="E339" s="153">
        <v>6.5</v>
      </c>
      <c r="F339" s="153">
        <v>42.79</v>
      </c>
      <c r="G339" s="164"/>
      <c r="H339" s="164">
        <v>278.13499999999999</v>
      </c>
      <c r="I339" s="58">
        <v>62</v>
      </c>
      <c r="K339" s="57"/>
    </row>
    <row r="340" spans="1:11" x14ac:dyDescent="0.25">
      <c r="A340" s="154">
        <v>40892</v>
      </c>
      <c r="B340" s="150" t="s">
        <v>849</v>
      </c>
      <c r="C340" s="57" t="s">
        <v>8</v>
      </c>
      <c r="D340" s="57" t="s">
        <v>26</v>
      </c>
      <c r="E340" s="153">
        <v>2.5</v>
      </c>
      <c r="F340" s="153">
        <v>40.97</v>
      </c>
      <c r="G340" s="164"/>
      <c r="H340" s="164">
        <v>102.425</v>
      </c>
      <c r="I340" s="58">
        <v>62</v>
      </c>
      <c r="K340" s="57"/>
    </row>
    <row r="341" spans="1:11" x14ac:dyDescent="0.25">
      <c r="A341" s="154">
        <v>40893</v>
      </c>
      <c r="B341" s="150" t="s">
        <v>773</v>
      </c>
      <c r="C341" s="57" t="s">
        <v>774</v>
      </c>
      <c r="D341" s="57" t="s">
        <v>26</v>
      </c>
      <c r="E341" s="153">
        <v>3.5</v>
      </c>
      <c r="F341" s="153">
        <v>42.79</v>
      </c>
      <c r="G341" s="164"/>
      <c r="H341" s="164">
        <v>149.76499999999999</v>
      </c>
      <c r="I341" s="58">
        <v>62</v>
      </c>
      <c r="K341" s="57"/>
    </row>
    <row r="342" spans="1:11" x14ac:dyDescent="0.25">
      <c r="A342" s="154">
        <v>40893</v>
      </c>
      <c r="B342" s="150" t="s">
        <v>776</v>
      </c>
      <c r="C342" s="57" t="s">
        <v>8</v>
      </c>
      <c r="D342" s="57" t="s">
        <v>26</v>
      </c>
      <c r="E342" s="153">
        <v>3.5</v>
      </c>
      <c r="F342" s="153">
        <v>35.35</v>
      </c>
      <c r="G342" s="164"/>
      <c r="H342" s="164">
        <v>123.72499999999999</v>
      </c>
      <c r="I342" s="58">
        <v>62</v>
      </c>
      <c r="K342" s="57"/>
    </row>
    <row r="343" spans="1:11" x14ac:dyDescent="0.25">
      <c r="A343" s="154">
        <v>40894</v>
      </c>
      <c r="B343" s="150" t="s">
        <v>773</v>
      </c>
      <c r="C343" s="57" t="s">
        <v>774</v>
      </c>
      <c r="D343" s="57" t="s">
        <v>26</v>
      </c>
      <c r="E343" s="153">
        <v>10.5</v>
      </c>
      <c r="F343" s="153">
        <v>42.79</v>
      </c>
      <c r="G343" s="164"/>
      <c r="H343" s="164">
        <v>449.29500000000002</v>
      </c>
      <c r="I343" s="58">
        <v>62</v>
      </c>
      <c r="K343" s="57"/>
    </row>
    <row r="344" spans="1:11" x14ac:dyDescent="0.25">
      <c r="A344" s="154">
        <v>40917</v>
      </c>
      <c r="B344" s="150" t="s">
        <v>773</v>
      </c>
      <c r="C344" s="57" t="s">
        <v>774</v>
      </c>
      <c r="D344" s="57" t="s">
        <v>26</v>
      </c>
      <c r="E344" s="153">
        <v>10</v>
      </c>
      <c r="F344" s="153">
        <v>42.79</v>
      </c>
      <c r="G344" s="164"/>
      <c r="H344" s="164">
        <v>427.9</v>
      </c>
      <c r="I344" s="58">
        <v>62</v>
      </c>
      <c r="K344" s="57"/>
    </row>
    <row r="345" spans="1:11" x14ac:dyDescent="0.25">
      <c r="A345" s="154">
        <v>40917</v>
      </c>
      <c r="B345" s="150" t="s">
        <v>850</v>
      </c>
      <c r="C345" s="57" t="s">
        <v>8</v>
      </c>
      <c r="D345" s="57" t="s">
        <v>26</v>
      </c>
      <c r="E345" s="153">
        <v>10.5</v>
      </c>
      <c r="F345" s="153">
        <v>40.97</v>
      </c>
      <c r="G345" s="164"/>
      <c r="H345" s="164">
        <v>430.185</v>
      </c>
      <c r="I345" s="58">
        <v>62</v>
      </c>
      <c r="K345" s="57"/>
    </row>
    <row r="346" spans="1:11" x14ac:dyDescent="0.25">
      <c r="A346" s="154">
        <v>40917</v>
      </c>
      <c r="B346" s="150" t="s">
        <v>776</v>
      </c>
      <c r="C346" s="57" t="s">
        <v>8</v>
      </c>
      <c r="D346" s="57" t="s">
        <v>26</v>
      </c>
      <c r="E346" s="153">
        <v>10</v>
      </c>
      <c r="F346" s="153">
        <v>35.35</v>
      </c>
      <c r="G346" s="164"/>
      <c r="H346" s="164">
        <v>353.5</v>
      </c>
      <c r="I346" s="58">
        <v>62</v>
      </c>
      <c r="K346" s="57"/>
    </row>
    <row r="347" spans="1:11" x14ac:dyDescent="0.25">
      <c r="A347" s="154">
        <v>40917</v>
      </c>
      <c r="B347" s="150" t="s">
        <v>782</v>
      </c>
      <c r="C347" s="57" t="s">
        <v>8</v>
      </c>
      <c r="D347" s="57" t="s">
        <v>26</v>
      </c>
      <c r="E347" s="153">
        <v>10.5</v>
      </c>
      <c r="F347" s="153">
        <v>35.35</v>
      </c>
      <c r="G347" s="164"/>
      <c r="H347" s="164">
        <v>371.17500000000001</v>
      </c>
      <c r="I347" s="58">
        <v>62</v>
      </c>
      <c r="K347" s="57"/>
    </row>
    <row r="348" spans="1:11" x14ac:dyDescent="0.25">
      <c r="A348" s="154">
        <v>40917</v>
      </c>
      <c r="B348" s="150" t="s">
        <v>782</v>
      </c>
      <c r="C348" s="57" t="s">
        <v>8</v>
      </c>
      <c r="D348" s="57" t="s">
        <v>26</v>
      </c>
      <c r="E348" s="153">
        <v>7</v>
      </c>
      <c r="F348" s="153">
        <v>35.35</v>
      </c>
      <c r="G348" s="164"/>
      <c r="H348" s="164">
        <v>247.45</v>
      </c>
      <c r="I348" s="58">
        <v>62</v>
      </c>
      <c r="K348" s="57"/>
    </row>
    <row r="349" spans="1:11" x14ac:dyDescent="0.25">
      <c r="A349" s="154">
        <v>40918</v>
      </c>
      <c r="B349" s="150" t="s">
        <v>782</v>
      </c>
      <c r="C349" s="57" t="s">
        <v>8</v>
      </c>
      <c r="D349" s="57" t="s">
        <v>26</v>
      </c>
      <c r="E349" s="153">
        <v>10</v>
      </c>
      <c r="F349" s="153">
        <v>35.35</v>
      </c>
      <c r="G349" s="164"/>
      <c r="H349" s="164">
        <v>353.5</v>
      </c>
      <c r="I349" s="58">
        <v>62</v>
      </c>
      <c r="K349" s="57"/>
    </row>
    <row r="350" spans="1:11" x14ac:dyDescent="0.25">
      <c r="A350" s="154">
        <v>40918</v>
      </c>
      <c r="B350" s="150" t="s">
        <v>782</v>
      </c>
      <c r="C350" s="57" t="s">
        <v>8</v>
      </c>
      <c r="D350" s="57" t="s">
        <v>26</v>
      </c>
      <c r="E350" s="153">
        <v>10</v>
      </c>
      <c r="F350" s="153">
        <v>35.35</v>
      </c>
      <c r="G350" s="164"/>
      <c r="H350" s="164">
        <v>353.5</v>
      </c>
      <c r="I350" s="58">
        <v>62</v>
      </c>
      <c r="K350" s="57"/>
    </row>
    <row r="351" spans="1:11" x14ac:dyDescent="0.25">
      <c r="A351" s="154">
        <v>40918</v>
      </c>
      <c r="B351" s="150" t="s">
        <v>776</v>
      </c>
      <c r="C351" s="57" t="s">
        <v>8</v>
      </c>
      <c r="D351" s="57" t="s">
        <v>26</v>
      </c>
      <c r="E351" s="153">
        <v>10</v>
      </c>
      <c r="F351" s="153">
        <v>35.35</v>
      </c>
      <c r="G351" s="164"/>
      <c r="H351" s="164">
        <v>353.5</v>
      </c>
      <c r="I351" s="58">
        <v>62</v>
      </c>
      <c r="K351" s="57"/>
    </row>
    <row r="352" spans="1:11" x14ac:dyDescent="0.25">
      <c r="A352" s="154">
        <v>40918</v>
      </c>
      <c r="B352" s="150" t="s">
        <v>851</v>
      </c>
      <c r="C352" s="57" t="s">
        <v>8</v>
      </c>
      <c r="D352" s="57" t="s">
        <v>26</v>
      </c>
      <c r="E352" s="153">
        <v>10</v>
      </c>
      <c r="F352" s="153">
        <v>40.97</v>
      </c>
      <c r="G352" s="164"/>
      <c r="H352" s="164">
        <v>409.7</v>
      </c>
      <c r="I352" s="58">
        <v>62</v>
      </c>
      <c r="K352" s="57"/>
    </row>
    <row r="353" spans="1:11" x14ac:dyDescent="0.25">
      <c r="A353" s="154">
        <v>40918</v>
      </c>
      <c r="B353" s="150" t="s">
        <v>850</v>
      </c>
      <c r="C353" s="57" t="s">
        <v>8</v>
      </c>
      <c r="D353" s="57" t="s">
        <v>26</v>
      </c>
      <c r="E353" s="153">
        <v>10.5</v>
      </c>
      <c r="F353" s="153">
        <v>40.97</v>
      </c>
      <c r="G353" s="164"/>
      <c r="H353" s="164">
        <v>430.185</v>
      </c>
      <c r="I353" s="58">
        <v>62</v>
      </c>
      <c r="K353" s="57"/>
    </row>
    <row r="354" spans="1:11" x14ac:dyDescent="0.25">
      <c r="A354" s="154">
        <v>40918</v>
      </c>
      <c r="B354" s="150" t="s">
        <v>773</v>
      </c>
      <c r="C354" s="57" t="s">
        <v>774</v>
      </c>
      <c r="D354" s="57" t="s">
        <v>26</v>
      </c>
      <c r="E354" s="153">
        <v>10</v>
      </c>
      <c r="F354" s="153">
        <v>42.79</v>
      </c>
      <c r="G354" s="164"/>
      <c r="H354" s="164">
        <v>427.9</v>
      </c>
      <c r="I354" s="58">
        <v>62</v>
      </c>
      <c r="K354" s="57"/>
    </row>
    <row r="355" spans="1:11" x14ac:dyDescent="0.25">
      <c r="A355" s="154">
        <v>40919</v>
      </c>
      <c r="B355" s="150" t="s">
        <v>773</v>
      </c>
      <c r="C355" s="57" t="s">
        <v>774</v>
      </c>
      <c r="D355" s="57" t="s">
        <v>26</v>
      </c>
      <c r="E355" s="153">
        <v>10</v>
      </c>
      <c r="F355" s="153">
        <v>42.79</v>
      </c>
      <c r="G355" s="164"/>
      <c r="H355" s="164">
        <v>427.9</v>
      </c>
      <c r="I355" s="58">
        <v>62</v>
      </c>
      <c r="K355" s="57"/>
    </row>
    <row r="356" spans="1:11" x14ac:dyDescent="0.25">
      <c r="A356" s="154">
        <v>40919</v>
      </c>
      <c r="B356" s="150" t="s">
        <v>850</v>
      </c>
      <c r="C356" s="57" t="s">
        <v>8</v>
      </c>
      <c r="D356" s="57" t="s">
        <v>26</v>
      </c>
      <c r="E356" s="153">
        <v>9.5</v>
      </c>
      <c r="F356" s="153">
        <v>40.97</v>
      </c>
      <c r="G356" s="164"/>
      <c r="H356" s="164">
        <v>389.21499999999997</v>
      </c>
      <c r="I356" s="58">
        <v>62</v>
      </c>
      <c r="K356" s="57"/>
    </row>
    <row r="357" spans="1:11" x14ac:dyDescent="0.25">
      <c r="A357" s="154">
        <v>40919</v>
      </c>
      <c r="B357" s="150" t="s">
        <v>850</v>
      </c>
      <c r="C357" s="57" t="s">
        <v>8</v>
      </c>
      <c r="D357" s="57" t="s">
        <v>26</v>
      </c>
      <c r="E357" s="153">
        <v>9.5</v>
      </c>
      <c r="F357" s="153">
        <v>40.97</v>
      </c>
      <c r="G357" s="164"/>
      <c r="H357" s="164">
        <v>389.21499999999997</v>
      </c>
      <c r="I357" s="58">
        <v>62</v>
      </c>
      <c r="K357" s="57"/>
    </row>
    <row r="358" spans="1:11" x14ac:dyDescent="0.25">
      <c r="A358" s="154">
        <v>40919</v>
      </c>
      <c r="B358" s="150" t="s">
        <v>782</v>
      </c>
      <c r="C358" s="57" t="s">
        <v>8</v>
      </c>
      <c r="D358" s="57" t="s">
        <v>26</v>
      </c>
      <c r="E358" s="153">
        <v>10</v>
      </c>
      <c r="F358" s="153">
        <v>35.35</v>
      </c>
      <c r="G358" s="164"/>
      <c r="H358" s="164">
        <v>353.5</v>
      </c>
      <c r="I358" s="58">
        <v>62</v>
      </c>
      <c r="K358" s="57"/>
    </row>
    <row r="359" spans="1:11" x14ac:dyDescent="0.25">
      <c r="A359" s="154">
        <v>40919</v>
      </c>
      <c r="B359" s="150" t="s">
        <v>852</v>
      </c>
      <c r="C359" s="57" t="s">
        <v>853</v>
      </c>
      <c r="D359" s="57" t="s">
        <v>748</v>
      </c>
      <c r="E359" s="153">
        <v>23.87</v>
      </c>
      <c r="F359" s="153">
        <v>33.5</v>
      </c>
      <c r="G359" s="164"/>
      <c r="H359" s="164">
        <v>799.64499999999998</v>
      </c>
      <c r="I359" s="58">
        <v>62</v>
      </c>
      <c r="K359" s="57"/>
    </row>
    <row r="360" spans="1:11" x14ac:dyDescent="0.25">
      <c r="A360" s="154">
        <v>40919</v>
      </c>
      <c r="B360" s="150" t="s">
        <v>776</v>
      </c>
      <c r="C360" s="57" t="s">
        <v>8</v>
      </c>
      <c r="D360" s="57" t="s">
        <v>26</v>
      </c>
      <c r="E360" s="153">
        <v>10</v>
      </c>
      <c r="F360" s="153">
        <v>35.35</v>
      </c>
      <c r="G360" s="164"/>
      <c r="H360" s="164">
        <v>353.5</v>
      </c>
      <c r="I360" s="58">
        <v>62</v>
      </c>
      <c r="K360" s="57"/>
    </row>
    <row r="361" spans="1:11" x14ac:dyDescent="0.25">
      <c r="A361" s="154">
        <v>40919</v>
      </c>
      <c r="B361" s="150" t="s">
        <v>782</v>
      </c>
      <c r="C361" s="57" t="s">
        <v>8</v>
      </c>
      <c r="D361" s="57" t="s">
        <v>26</v>
      </c>
      <c r="E361" s="153">
        <v>10</v>
      </c>
      <c r="F361" s="153">
        <v>35.35</v>
      </c>
      <c r="G361" s="164"/>
      <c r="H361" s="164">
        <v>353.5</v>
      </c>
      <c r="I361" s="58">
        <v>62</v>
      </c>
      <c r="K361" s="57"/>
    </row>
    <row r="362" spans="1:11" x14ac:dyDescent="0.25">
      <c r="A362" s="154">
        <v>40920</v>
      </c>
      <c r="B362" s="150" t="s">
        <v>773</v>
      </c>
      <c r="C362" s="57" t="s">
        <v>774</v>
      </c>
      <c r="D362" s="57" t="s">
        <v>26</v>
      </c>
      <c r="E362" s="153">
        <v>10</v>
      </c>
      <c r="F362" s="153">
        <v>42.79</v>
      </c>
      <c r="G362" s="164"/>
      <c r="H362" s="164">
        <v>427.9</v>
      </c>
      <c r="I362" s="58">
        <v>62</v>
      </c>
      <c r="K362" s="57"/>
    </row>
    <row r="363" spans="1:11" x14ac:dyDescent="0.25">
      <c r="A363" s="154">
        <v>40920</v>
      </c>
      <c r="B363" s="150" t="s">
        <v>850</v>
      </c>
      <c r="C363" s="57" t="s">
        <v>8</v>
      </c>
      <c r="D363" s="57" t="s">
        <v>26</v>
      </c>
      <c r="E363" s="153">
        <v>10.5</v>
      </c>
      <c r="F363" s="153">
        <v>40.97</v>
      </c>
      <c r="G363" s="164"/>
      <c r="H363" s="164">
        <v>430.185</v>
      </c>
      <c r="I363" s="58">
        <v>62</v>
      </c>
      <c r="K363" s="57"/>
    </row>
    <row r="364" spans="1:11" x14ac:dyDescent="0.25">
      <c r="A364" s="154">
        <v>40920</v>
      </c>
      <c r="B364" s="150" t="s">
        <v>851</v>
      </c>
      <c r="C364" s="57" t="s">
        <v>8</v>
      </c>
      <c r="D364" s="57" t="s">
        <v>26</v>
      </c>
      <c r="E364" s="153">
        <v>10.5</v>
      </c>
      <c r="F364" s="153">
        <v>40.97</v>
      </c>
      <c r="G364" s="164"/>
      <c r="H364" s="164">
        <v>430.185</v>
      </c>
      <c r="I364" s="58">
        <v>62</v>
      </c>
      <c r="K364" s="57"/>
    </row>
    <row r="365" spans="1:11" x14ac:dyDescent="0.25">
      <c r="A365" s="154">
        <v>40920</v>
      </c>
      <c r="B365" s="150" t="s">
        <v>776</v>
      </c>
      <c r="C365" s="57" t="s">
        <v>8</v>
      </c>
      <c r="D365" s="57" t="s">
        <v>26</v>
      </c>
      <c r="E365" s="153">
        <v>10.5</v>
      </c>
      <c r="F365" s="153">
        <v>35.35</v>
      </c>
      <c r="G365" s="164"/>
      <c r="H365" s="164">
        <v>371.17500000000001</v>
      </c>
      <c r="I365" s="58">
        <v>62</v>
      </c>
      <c r="K365" s="57"/>
    </row>
    <row r="366" spans="1:11" x14ac:dyDescent="0.25">
      <c r="A366" s="154">
        <v>40920</v>
      </c>
      <c r="B366" s="150" t="s">
        <v>782</v>
      </c>
      <c r="C366" s="57" t="s">
        <v>8</v>
      </c>
      <c r="D366" s="57" t="s">
        <v>26</v>
      </c>
      <c r="E366" s="153">
        <v>10.5</v>
      </c>
      <c r="F366" s="153">
        <v>35.35</v>
      </c>
      <c r="G366" s="164"/>
      <c r="H366" s="164">
        <v>371.17500000000001</v>
      </c>
      <c r="I366" s="58">
        <v>62</v>
      </c>
      <c r="K366" s="57"/>
    </row>
    <row r="367" spans="1:11" x14ac:dyDescent="0.25">
      <c r="A367" s="154">
        <v>40920</v>
      </c>
      <c r="B367" s="150" t="s">
        <v>782</v>
      </c>
      <c r="C367" s="57" t="s">
        <v>8</v>
      </c>
      <c r="D367" s="57" t="s">
        <v>26</v>
      </c>
      <c r="E367" s="153">
        <v>10.5</v>
      </c>
      <c r="F367" s="153">
        <v>35.35</v>
      </c>
      <c r="G367" s="164"/>
      <c r="H367" s="164">
        <v>371.17500000000001</v>
      </c>
      <c r="I367" s="58">
        <v>62</v>
      </c>
      <c r="K367" s="57"/>
    </row>
    <row r="368" spans="1:11" x14ac:dyDescent="0.25">
      <c r="A368" s="154">
        <v>40921</v>
      </c>
      <c r="B368" s="150" t="s">
        <v>773</v>
      </c>
      <c r="C368" s="57" t="s">
        <v>774</v>
      </c>
      <c r="D368" s="57" t="s">
        <v>26</v>
      </c>
      <c r="E368" s="153">
        <v>10.5</v>
      </c>
      <c r="F368" s="153">
        <v>42.79</v>
      </c>
      <c r="G368" s="164"/>
      <c r="H368" s="164">
        <v>449.29500000000002</v>
      </c>
      <c r="I368" s="58">
        <v>62</v>
      </c>
      <c r="K368" s="57"/>
    </row>
    <row r="369" spans="1:11" x14ac:dyDescent="0.25">
      <c r="A369" s="154">
        <v>40921</v>
      </c>
      <c r="B369" s="150" t="s">
        <v>850</v>
      </c>
      <c r="C369" s="57" t="s">
        <v>8</v>
      </c>
      <c r="D369" s="57" t="s">
        <v>26</v>
      </c>
      <c r="E369" s="153">
        <v>10.5</v>
      </c>
      <c r="F369" s="153">
        <v>40.97</v>
      </c>
      <c r="G369" s="164"/>
      <c r="H369" s="164">
        <v>430.185</v>
      </c>
      <c r="I369" s="58">
        <v>62</v>
      </c>
      <c r="K369" s="57"/>
    </row>
    <row r="370" spans="1:11" x14ac:dyDescent="0.25">
      <c r="A370" s="154">
        <v>40921</v>
      </c>
      <c r="B370" s="150" t="s">
        <v>850</v>
      </c>
      <c r="C370" s="57" t="s">
        <v>8</v>
      </c>
      <c r="D370" s="57" t="s">
        <v>26</v>
      </c>
      <c r="E370" s="153">
        <v>10.5</v>
      </c>
      <c r="F370" s="153">
        <v>40.97</v>
      </c>
      <c r="G370" s="164"/>
      <c r="H370" s="164">
        <v>430.185</v>
      </c>
      <c r="I370" s="58">
        <v>62</v>
      </c>
      <c r="K370" s="57"/>
    </row>
    <row r="371" spans="1:11" x14ac:dyDescent="0.25">
      <c r="A371" s="154">
        <v>40921</v>
      </c>
      <c r="B371" s="150" t="s">
        <v>776</v>
      </c>
      <c r="C371" s="57" t="s">
        <v>8</v>
      </c>
      <c r="D371" s="57" t="s">
        <v>26</v>
      </c>
      <c r="E371" s="153">
        <v>11</v>
      </c>
      <c r="F371" s="153">
        <v>35.35</v>
      </c>
      <c r="G371" s="164"/>
      <c r="H371" s="164">
        <v>388.85</v>
      </c>
      <c r="I371" s="58">
        <v>62</v>
      </c>
      <c r="K371" s="57"/>
    </row>
    <row r="372" spans="1:11" x14ac:dyDescent="0.25">
      <c r="A372" s="154">
        <v>40921</v>
      </c>
      <c r="B372" s="150" t="s">
        <v>782</v>
      </c>
      <c r="C372" s="57" t="s">
        <v>8</v>
      </c>
      <c r="D372" s="57" t="s">
        <v>26</v>
      </c>
      <c r="E372" s="153">
        <v>11</v>
      </c>
      <c r="F372" s="153">
        <v>35.35</v>
      </c>
      <c r="G372" s="164"/>
      <c r="H372" s="164">
        <v>388.85</v>
      </c>
      <c r="I372" s="58">
        <v>62</v>
      </c>
      <c r="K372" s="57"/>
    </row>
    <row r="373" spans="1:11" x14ac:dyDescent="0.25">
      <c r="A373" s="154">
        <v>40921</v>
      </c>
      <c r="B373" s="150" t="s">
        <v>782</v>
      </c>
      <c r="C373" s="57" t="s">
        <v>8</v>
      </c>
      <c r="D373" s="57" t="s">
        <v>26</v>
      </c>
      <c r="E373" s="153">
        <v>11</v>
      </c>
      <c r="F373" s="153">
        <v>35.35</v>
      </c>
      <c r="G373" s="164"/>
      <c r="H373" s="164">
        <v>388.85</v>
      </c>
      <c r="I373" s="58">
        <v>62</v>
      </c>
      <c r="K373" s="57"/>
    </row>
    <row r="374" spans="1:11" x14ac:dyDescent="0.25">
      <c r="A374" s="154">
        <v>40922</v>
      </c>
      <c r="B374" s="150" t="s">
        <v>773</v>
      </c>
      <c r="C374" s="57" t="s">
        <v>774</v>
      </c>
      <c r="D374" s="57" t="s">
        <v>26</v>
      </c>
      <c r="E374" s="153">
        <v>6.5</v>
      </c>
      <c r="F374" s="153">
        <v>42.79</v>
      </c>
      <c r="G374" s="164"/>
      <c r="H374" s="164">
        <v>278.13499999999999</v>
      </c>
      <c r="I374" s="58">
        <v>62</v>
      </c>
      <c r="K374" s="57"/>
    </row>
    <row r="375" spans="1:11" x14ac:dyDescent="0.25">
      <c r="A375" s="154">
        <v>40922</v>
      </c>
      <c r="B375" s="150" t="s">
        <v>854</v>
      </c>
      <c r="C375" s="57" t="s">
        <v>8</v>
      </c>
      <c r="D375" s="57" t="s">
        <v>26</v>
      </c>
      <c r="E375" s="153">
        <v>2.5</v>
      </c>
      <c r="F375" s="153">
        <v>40.97</v>
      </c>
      <c r="G375" s="164"/>
      <c r="H375" s="164">
        <v>102.425</v>
      </c>
      <c r="I375" s="58">
        <v>62</v>
      </c>
      <c r="K375" s="57"/>
    </row>
    <row r="376" spans="1:11" x14ac:dyDescent="0.25">
      <c r="A376" s="154">
        <v>40922</v>
      </c>
      <c r="B376" s="150" t="s">
        <v>782</v>
      </c>
      <c r="C376" s="57" t="s">
        <v>8</v>
      </c>
      <c r="D376" s="57" t="s">
        <v>26</v>
      </c>
      <c r="E376" s="153">
        <v>6.5</v>
      </c>
      <c r="F376" s="153">
        <v>35.35</v>
      </c>
      <c r="G376" s="164"/>
      <c r="H376" s="164">
        <v>229.77500000000001</v>
      </c>
      <c r="I376" s="58">
        <v>62</v>
      </c>
      <c r="K376" s="57"/>
    </row>
    <row r="377" spans="1:11" x14ac:dyDescent="0.25">
      <c r="A377" s="154">
        <v>40922</v>
      </c>
      <c r="B377" s="150" t="s">
        <v>776</v>
      </c>
      <c r="C377" s="57" t="s">
        <v>8</v>
      </c>
      <c r="D377" s="57" t="s">
        <v>26</v>
      </c>
      <c r="E377" s="153">
        <v>6.5</v>
      </c>
      <c r="F377" s="153">
        <v>35.35</v>
      </c>
      <c r="G377" s="164"/>
      <c r="H377" s="164">
        <v>229.77500000000001</v>
      </c>
      <c r="I377" s="58">
        <v>62</v>
      </c>
      <c r="K377" s="57"/>
    </row>
    <row r="378" spans="1:11" x14ac:dyDescent="0.25">
      <c r="A378" s="154">
        <v>40922</v>
      </c>
      <c r="B378" s="150" t="s">
        <v>782</v>
      </c>
      <c r="C378" s="57" t="s">
        <v>8</v>
      </c>
      <c r="D378" s="57" t="s">
        <v>26</v>
      </c>
      <c r="E378" s="153">
        <v>6.5</v>
      </c>
      <c r="F378" s="153">
        <v>35.35</v>
      </c>
      <c r="G378" s="164"/>
      <c r="H378" s="164">
        <v>229.77500000000001</v>
      </c>
      <c r="I378" s="58">
        <v>62</v>
      </c>
      <c r="K378" s="57"/>
    </row>
    <row r="379" spans="1:11" x14ac:dyDescent="0.25">
      <c r="A379" s="154">
        <v>40922</v>
      </c>
      <c r="B379" s="150" t="s">
        <v>787</v>
      </c>
      <c r="C379" s="57" t="s">
        <v>8</v>
      </c>
      <c r="D379" s="57" t="s">
        <v>26</v>
      </c>
      <c r="E379" s="153">
        <v>6.5</v>
      </c>
      <c r="F379" s="153">
        <v>40.97</v>
      </c>
      <c r="G379" s="164"/>
      <c r="H379" s="164">
        <v>266.30500000000001</v>
      </c>
      <c r="I379" s="58">
        <v>62</v>
      </c>
      <c r="K379" s="57"/>
    </row>
    <row r="380" spans="1:11" x14ac:dyDescent="0.25">
      <c r="A380" s="154">
        <v>40922</v>
      </c>
      <c r="B380" s="150" t="s">
        <v>845</v>
      </c>
      <c r="C380" s="57" t="s">
        <v>8</v>
      </c>
      <c r="D380" s="57" t="s">
        <v>26</v>
      </c>
      <c r="E380" s="153">
        <v>6.5</v>
      </c>
      <c r="F380" s="153">
        <v>40.97</v>
      </c>
      <c r="G380" s="164"/>
      <c r="H380" s="164">
        <v>266.30500000000001</v>
      </c>
      <c r="I380" s="58">
        <v>62</v>
      </c>
      <c r="K380" s="57"/>
    </row>
    <row r="381" spans="1:11" x14ac:dyDescent="0.25">
      <c r="A381" s="154">
        <v>40923</v>
      </c>
      <c r="B381" s="150" t="s">
        <v>776</v>
      </c>
      <c r="C381" s="57" t="s">
        <v>8</v>
      </c>
      <c r="D381" s="57" t="s">
        <v>26</v>
      </c>
      <c r="E381" s="153">
        <v>6.5</v>
      </c>
      <c r="F381" s="153">
        <v>35.35</v>
      </c>
      <c r="G381" s="164"/>
      <c r="H381" s="164">
        <v>229.77500000000001</v>
      </c>
      <c r="I381" s="58">
        <v>62</v>
      </c>
      <c r="K381" s="57"/>
    </row>
    <row r="382" spans="1:11" x14ac:dyDescent="0.25">
      <c r="A382" s="154">
        <v>40923</v>
      </c>
      <c r="B382" s="150" t="s">
        <v>782</v>
      </c>
      <c r="C382" s="57" t="s">
        <v>8</v>
      </c>
      <c r="D382" s="57" t="s">
        <v>26</v>
      </c>
      <c r="E382" s="153">
        <v>3.5</v>
      </c>
      <c r="F382" s="153">
        <v>35.35</v>
      </c>
      <c r="G382" s="164"/>
      <c r="H382" s="164">
        <v>123.72499999999999</v>
      </c>
      <c r="I382" s="58">
        <v>62</v>
      </c>
      <c r="K382" s="57"/>
    </row>
    <row r="383" spans="1:11" x14ac:dyDescent="0.25">
      <c r="A383" s="154">
        <v>40923</v>
      </c>
      <c r="B383" s="150" t="s">
        <v>782</v>
      </c>
      <c r="C383" s="57" t="s">
        <v>8</v>
      </c>
      <c r="D383" s="57" t="s">
        <v>26</v>
      </c>
      <c r="E383" s="153">
        <v>4</v>
      </c>
      <c r="F383" s="153">
        <v>35.35</v>
      </c>
      <c r="G383" s="164"/>
      <c r="H383" s="164">
        <v>141.4</v>
      </c>
      <c r="I383" s="58">
        <v>62</v>
      </c>
      <c r="K383" s="57"/>
    </row>
    <row r="384" spans="1:11" x14ac:dyDescent="0.25">
      <c r="A384" s="154">
        <v>40924</v>
      </c>
      <c r="B384" s="150" t="s">
        <v>782</v>
      </c>
      <c r="C384" s="57" t="s">
        <v>8</v>
      </c>
      <c r="D384" s="57" t="s">
        <v>26</v>
      </c>
      <c r="E384" s="153">
        <v>5.5</v>
      </c>
      <c r="F384" s="153">
        <v>35.35</v>
      </c>
      <c r="G384" s="164"/>
      <c r="H384" s="164">
        <v>194.42500000000001</v>
      </c>
      <c r="I384" s="58">
        <v>62</v>
      </c>
      <c r="K384" s="57"/>
    </row>
    <row r="385" spans="1:11" x14ac:dyDescent="0.25">
      <c r="A385" s="154">
        <v>40924</v>
      </c>
      <c r="B385" s="150" t="s">
        <v>782</v>
      </c>
      <c r="C385" s="57" t="s">
        <v>8</v>
      </c>
      <c r="D385" s="57" t="s">
        <v>26</v>
      </c>
      <c r="E385" s="153">
        <v>5.5</v>
      </c>
      <c r="F385" s="153">
        <v>35.35</v>
      </c>
      <c r="G385" s="164"/>
      <c r="H385" s="164">
        <v>194.42500000000001</v>
      </c>
      <c r="I385" s="58">
        <v>62</v>
      </c>
      <c r="K385" s="57"/>
    </row>
    <row r="386" spans="1:11" x14ac:dyDescent="0.25">
      <c r="A386" s="154">
        <v>40924</v>
      </c>
      <c r="B386" s="150" t="s">
        <v>776</v>
      </c>
      <c r="C386" s="57" t="s">
        <v>8</v>
      </c>
      <c r="D386" s="57" t="s">
        <v>26</v>
      </c>
      <c r="E386" s="153">
        <v>9</v>
      </c>
      <c r="F386" s="153">
        <v>35.35</v>
      </c>
      <c r="G386" s="164"/>
      <c r="H386" s="164">
        <v>318.14999999999998</v>
      </c>
      <c r="I386" s="58">
        <v>62</v>
      </c>
      <c r="K386" s="57"/>
    </row>
    <row r="387" spans="1:11" x14ac:dyDescent="0.25">
      <c r="A387" s="154">
        <v>40925</v>
      </c>
      <c r="B387" s="150" t="s">
        <v>776</v>
      </c>
      <c r="C387" s="57" t="s">
        <v>8</v>
      </c>
      <c r="D387" s="57" t="s">
        <v>26</v>
      </c>
      <c r="E387" s="153">
        <v>10.5</v>
      </c>
      <c r="F387" s="153">
        <v>35.35</v>
      </c>
      <c r="G387" s="164"/>
      <c r="H387" s="164">
        <v>371.17500000000001</v>
      </c>
      <c r="I387" s="58">
        <v>62</v>
      </c>
      <c r="K387" s="57"/>
    </row>
    <row r="388" spans="1:11" x14ac:dyDescent="0.25">
      <c r="A388" s="154">
        <v>40927</v>
      </c>
      <c r="B388" s="150" t="s">
        <v>776</v>
      </c>
      <c r="C388" s="57" t="s">
        <v>8</v>
      </c>
      <c r="D388" s="57" t="s">
        <v>26</v>
      </c>
      <c r="E388" s="153">
        <v>9</v>
      </c>
      <c r="F388" s="153">
        <v>35.35</v>
      </c>
      <c r="G388" s="164"/>
      <c r="H388" s="164">
        <v>318.14999999999998</v>
      </c>
      <c r="I388" s="58">
        <v>62</v>
      </c>
      <c r="K388" s="57"/>
    </row>
    <row r="389" spans="1:11" x14ac:dyDescent="0.25">
      <c r="A389" s="154">
        <v>40927</v>
      </c>
      <c r="B389" s="150" t="s">
        <v>809</v>
      </c>
      <c r="C389" s="57" t="s">
        <v>810</v>
      </c>
      <c r="D389" s="57" t="s">
        <v>25</v>
      </c>
      <c r="E389" s="153">
        <v>1</v>
      </c>
      <c r="F389" s="153">
        <v>2500</v>
      </c>
      <c r="G389" s="164"/>
      <c r="H389" s="164">
        <v>2500</v>
      </c>
      <c r="I389" s="58">
        <v>62</v>
      </c>
      <c r="K389" s="57"/>
    </row>
    <row r="390" spans="1:11" x14ac:dyDescent="0.25">
      <c r="A390" s="154">
        <v>40927</v>
      </c>
      <c r="B390" s="150" t="s">
        <v>782</v>
      </c>
      <c r="C390" s="57" t="s">
        <v>8</v>
      </c>
      <c r="D390" s="57" t="s">
        <v>26</v>
      </c>
      <c r="E390" s="153">
        <v>7</v>
      </c>
      <c r="F390" s="153">
        <v>35.35</v>
      </c>
      <c r="G390" s="164"/>
      <c r="H390" s="164">
        <v>247.45</v>
      </c>
      <c r="I390" s="58">
        <v>62</v>
      </c>
      <c r="K390" s="57"/>
    </row>
    <row r="391" spans="1:11" x14ac:dyDescent="0.25">
      <c r="A391" s="154">
        <v>40927</v>
      </c>
      <c r="B391" s="150" t="s">
        <v>782</v>
      </c>
      <c r="C391" s="57" t="s">
        <v>8</v>
      </c>
      <c r="D391" s="57" t="s">
        <v>26</v>
      </c>
      <c r="E391" s="153">
        <v>7</v>
      </c>
      <c r="F391" s="153">
        <v>35.35</v>
      </c>
      <c r="G391" s="164"/>
      <c r="H391" s="164">
        <v>247.45</v>
      </c>
      <c r="I391" s="58">
        <v>62</v>
      </c>
      <c r="K391" s="57"/>
    </row>
    <row r="392" spans="1:11" x14ac:dyDescent="0.25">
      <c r="A392" s="154">
        <v>40928</v>
      </c>
      <c r="B392" s="150" t="s">
        <v>809</v>
      </c>
      <c r="C392" s="57" t="s">
        <v>810</v>
      </c>
      <c r="D392" s="57" t="s">
        <v>25</v>
      </c>
      <c r="E392" s="153">
        <v>1</v>
      </c>
      <c r="F392" s="153">
        <v>2500</v>
      </c>
      <c r="G392" s="164"/>
      <c r="H392" s="164">
        <v>2500</v>
      </c>
      <c r="I392" s="58">
        <v>62</v>
      </c>
      <c r="K392" s="57"/>
    </row>
    <row r="393" spans="1:11" x14ac:dyDescent="0.25">
      <c r="A393" s="154">
        <v>40931</v>
      </c>
      <c r="B393" s="150" t="s">
        <v>809</v>
      </c>
      <c r="C393" s="57" t="s">
        <v>810</v>
      </c>
      <c r="D393" s="57" t="s">
        <v>25</v>
      </c>
      <c r="E393" s="153">
        <v>1</v>
      </c>
      <c r="F393" s="153">
        <v>2500</v>
      </c>
      <c r="G393" s="164"/>
      <c r="H393" s="164">
        <v>2500</v>
      </c>
      <c r="I393" s="58">
        <v>62</v>
      </c>
      <c r="K393" s="57"/>
    </row>
    <row r="394" spans="1:11" x14ac:dyDescent="0.25">
      <c r="A394" s="154">
        <v>40932</v>
      </c>
      <c r="B394" s="150" t="s">
        <v>809</v>
      </c>
      <c r="C394" s="57" t="s">
        <v>810</v>
      </c>
      <c r="D394" s="57" t="s">
        <v>25</v>
      </c>
      <c r="E394" s="153">
        <v>1</v>
      </c>
      <c r="F394" s="153">
        <v>2500</v>
      </c>
      <c r="G394" s="164"/>
      <c r="H394" s="164">
        <v>2500</v>
      </c>
      <c r="I394" s="58">
        <v>62</v>
      </c>
      <c r="K394" s="57"/>
    </row>
    <row r="395" spans="1:11" x14ac:dyDescent="0.25">
      <c r="A395" s="154">
        <v>40933</v>
      </c>
      <c r="B395" s="150" t="s">
        <v>855</v>
      </c>
      <c r="C395" s="57" t="s">
        <v>1189</v>
      </c>
      <c r="D395" s="57" t="s">
        <v>26</v>
      </c>
      <c r="E395" s="153">
        <v>6</v>
      </c>
      <c r="F395" s="153">
        <v>130</v>
      </c>
      <c r="G395" s="164"/>
      <c r="H395" s="164">
        <v>780</v>
      </c>
      <c r="I395" s="58">
        <v>62</v>
      </c>
      <c r="K395" s="57"/>
    </row>
    <row r="396" spans="1:11" x14ac:dyDescent="0.25">
      <c r="A396" s="154">
        <v>40933</v>
      </c>
      <c r="B396" s="150" t="s">
        <v>809</v>
      </c>
      <c r="C396" s="57" t="s">
        <v>810</v>
      </c>
      <c r="D396" s="57" t="s">
        <v>25</v>
      </c>
      <c r="E396" s="153">
        <v>1</v>
      </c>
      <c r="F396" s="153">
        <v>2500</v>
      </c>
      <c r="G396" s="164"/>
      <c r="H396" s="164">
        <v>2500</v>
      </c>
      <c r="I396" s="58">
        <v>62</v>
      </c>
      <c r="K396" s="57"/>
    </row>
    <row r="397" spans="1:11" x14ac:dyDescent="0.25">
      <c r="A397" s="154">
        <v>40933</v>
      </c>
      <c r="B397" s="150" t="s">
        <v>855</v>
      </c>
      <c r="C397" s="57" t="s">
        <v>1189</v>
      </c>
      <c r="D397" s="57" t="s">
        <v>26</v>
      </c>
      <c r="E397" s="153">
        <v>3</v>
      </c>
      <c r="F397" s="153">
        <v>95</v>
      </c>
      <c r="G397" s="164"/>
      <c r="H397" s="164">
        <v>285</v>
      </c>
      <c r="I397" s="58">
        <v>62</v>
      </c>
      <c r="K397" s="57"/>
    </row>
    <row r="398" spans="1:11" x14ac:dyDescent="0.25">
      <c r="A398" s="154">
        <v>40934</v>
      </c>
      <c r="B398" s="150" t="s">
        <v>809</v>
      </c>
      <c r="C398" s="57" t="s">
        <v>810</v>
      </c>
      <c r="D398" s="57" t="s">
        <v>25</v>
      </c>
      <c r="E398" s="153">
        <v>1</v>
      </c>
      <c r="F398" s="153">
        <v>2500</v>
      </c>
      <c r="G398" s="164"/>
      <c r="H398" s="164">
        <v>2500</v>
      </c>
      <c r="I398" s="58">
        <v>62</v>
      </c>
      <c r="K398" s="57"/>
    </row>
    <row r="399" spans="1:11" x14ac:dyDescent="0.25">
      <c r="A399" s="154">
        <v>40934</v>
      </c>
      <c r="B399" s="150" t="s">
        <v>773</v>
      </c>
      <c r="C399" s="57" t="s">
        <v>774</v>
      </c>
      <c r="D399" s="57" t="s">
        <v>26</v>
      </c>
      <c r="E399" s="153">
        <v>10.5</v>
      </c>
      <c r="F399" s="153">
        <v>42.79</v>
      </c>
      <c r="G399" s="164"/>
      <c r="H399" s="164">
        <v>449.29500000000002</v>
      </c>
      <c r="I399" s="58">
        <v>62</v>
      </c>
      <c r="K399" s="57"/>
    </row>
    <row r="400" spans="1:11" x14ac:dyDescent="0.25">
      <c r="A400" s="154">
        <v>40934</v>
      </c>
      <c r="B400" s="150" t="s">
        <v>856</v>
      </c>
      <c r="C400" s="57" t="s">
        <v>8</v>
      </c>
      <c r="D400" s="57" t="s">
        <v>26</v>
      </c>
      <c r="E400" s="153">
        <v>10.5</v>
      </c>
      <c r="F400" s="153">
        <v>40.97</v>
      </c>
      <c r="G400" s="164"/>
      <c r="H400" s="164">
        <v>430.185</v>
      </c>
      <c r="I400" s="58">
        <v>62</v>
      </c>
      <c r="K400" s="57"/>
    </row>
    <row r="401" spans="1:11" x14ac:dyDescent="0.25">
      <c r="A401" s="154">
        <v>40934</v>
      </c>
      <c r="B401" s="150" t="s">
        <v>857</v>
      </c>
      <c r="C401" s="57" t="s">
        <v>8</v>
      </c>
      <c r="D401" s="57" t="s">
        <v>26</v>
      </c>
      <c r="E401" s="153">
        <v>13</v>
      </c>
      <c r="F401" s="153">
        <v>40.97</v>
      </c>
      <c r="G401" s="164"/>
      <c r="H401" s="164">
        <v>532.61</v>
      </c>
      <c r="I401" s="58">
        <v>62</v>
      </c>
      <c r="K401" s="57"/>
    </row>
    <row r="402" spans="1:11" x14ac:dyDescent="0.25">
      <c r="A402" s="154">
        <v>40934</v>
      </c>
      <c r="B402" s="150" t="s">
        <v>791</v>
      </c>
      <c r="C402" s="57" t="s">
        <v>1189</v>
      </c>
      <c r="D402" s="57" t="s">
        <v>26</v>
      </c>
      <c r="E402" s="153">
        <v>4</v>
      </c>
      <c r="F402" s="153">
        <v>130</v>
      </c>
      <c r="G402" s="164"/>
      <c r="H402" s="164">
        <v>520</v>
      </c>
      <c r="I402" s="58">
        <v>62</v>
      </c>
      <c r="K402" s="57"/>
    </row>
    <row r="403" spans="1:11" x14ac:dyDescent="0.25">
      <c r="A403" s="154">
        <v>40934</v>
      </c>
      <c r="B403" s="150" t="s">
        <v>782</v>
      </c>
      <c r="C403" s="57" t="s">
        <v>8</v>
      </c>
      <c r="D403" s="57" t="s">
        <v>26</v>
      </c>
      <c r="E403" s="153">
        <v>10.5</v>
      </c>
      <c r="F403" s="153">
        <v>35.35</v>
      </c>
      <c r="G403" s="164"/>
      <c r="H403" s="164">
        <v>371.17500000000001</v>
      </c>
      <c r="I403" s="58">
        <v>62</v>
      </c>
      <c r="K403" s="57"/>
    </row>
    <row r="404" spans="1:11" x14ac:dyDescent="0.25">
      <c r="A404" s="154">
        <v>40934</v>
      </c>
      <c r="B404" s="150" t="s">
        <v>791</v>
      </c>
      <c r="C404" s="57" t="s">
        <v>1189</v>
      </c>
      <c r="D404" s="57" t="s">
        <v>26</v>
      </c>
      <c r="E404" s="153">
        <v>6</v>
      </c>
      <c r="F404" s="153">
        <v>95</v>
      </c>
      <c r="G404" s="164"/>
      <c r="H404" s="164">
        <v>570</v>
      </c>
      <c r="I404" s="58">
        <v>62</v>
      </c>
      <c r="K404" s="57"/>
    </row>
    <row r="405" spans="1:11" x14ac:dyDescent="0.25">
      <c r="A405" s="154">
        <v>40934</v>
      </c>
      <c r="B405" s="150" t="s">
        <v>782</v>
      </c>
      <c r="C405" s="57" t="s">
        <v>8</v>
      </c>
      <c r="D405" s="57" t="s">
        <v>26</v>
      </c>
      <c r="E405" s="153">
        <v>10.5</v>
      </c>
      <c r="F405" s="153">
        <v>35.35</v>
      </c>
      <c r="G405" s="164"/>
      <c r="H405" s="164">
        <v>371.17500000000001</v>
      </c>
      <c r="I405" s="58">
        <v>62</v>
      </c>
      <c r="K405" s="57"/>
    </row>
    <row r="406" spans="1:11" x14ac:dyDescent="0.25">
      <c r="A406" s="154">
        <v>40934</v>
      </c>
      <c r="B406" s="150" t="s">
        <v>776</v>
      </c>
      <c r="C406" s="57" t="s">
        <v>8</v>
      </c>
      <c r="D406" s="57" t="s">
        <v>26</v>
      </c>
      <c r="E406" s="153">
        <v>10.5</v>
      </c>
      <c r="F406" s="153">
        <v>35.35</v>
      </c>
      <c r="G406" s="164"/>
      <c r="H406" s="164">
        <v>371.17500000000001</v>
      </c>
      <c r="I406" s="58">
        <v>62</v>
      </c>
      <c r="K406" s="57"/>
    </row>
    <row r="407" spans="1:11" x14ac:dyDescent="0.25">
      <c r="A407" s="154">
        <v>40934</v>
      </c>
      <c r="B407" s="150" t="s">
        <v>780</v>
      </c>
      <c r="C407" s="57" t="s">
        <v>8</v>
      </c>
      <c r="D407" s="57" t="s">
        <v>26</v>
      </c>
      <c r="E407" s="153">
        <v>10.5</v>
      </c>
      <c r="F407" s="153">
        <v>35.35</v>
      </c>
      <c r="G407" s="164"/>
      <c r="H407" s="164">
        <v>371.17500000000001</v>
      </c>
      <c r="I407" s="58">
        <v>62</v>
      </c>
      <c r="K407" s="57"/>
    </row>
    <row r="408" spans="1:11" x14ac:dyDescent="0.25">
      <c r="A408" s="154">
        <v>40935</v>
      </c>
      <c r="B408" s="150" t="s">
        <v>858</v>
      </c>
      <c r="C408" s="57" t="s">
        <v>859</v>
      </c>
      <c r="D408" s="57" t="s">
        <v>25</v>
      </c>
      <c r="E408" s="153">
        <v>1</v>
      </c>
      <c r="F408" s="153">
        <v>365</v>
      </c>
      <c r="G408" s="164"/>
      <c r="H408" s="164">
        <v>365</v>
      </c>
      <c r="I408" s="58">
        <v>62</v>
      </c>
      <c r="K408" s="57"/>
    </row>
    <row r="409" spans="1:11" x14ac:dyDescent="0.25">
      <c r="A409" s="154">
        <v>40935</v>
      </c>
      <c r="B409" s="150" t="s">
        <v>809</v>
      </c>
      <c r="C409" s="57" t="s">
        <v>810</v>
      </c>
      <c r="D409" s="57" t="s">
        <v>25</v>
      </c>
      <c r="E409" s="153">
        <v>1</v>
      </c>
      <c r="F409" s="153">
        <v>2500</v>
      </c>
      <c r="G409" s="164"/>
      <c r="H409" s="164">
        <v>2500</v>
      </c>
      <c r="I409" s="58">
        <v>62</v>
      </c>
      <c r="K409" s="57"/>
    </row>
    <row r="410" spans="1:11" ht="30" x14ac:dyDescent="0.25">
      <c r="A410" s="154">
        <v>40938</v>
      </c>
      <c r="B410" s="150" t="s">
        <v>860</v>
      </c>
      <c r="C410" s="57" t="s">
        <v>816</v>
      </c>
      <c r="D410" s="57" t="s">
        <v>748</v>
      </c>
      <c r="E410" s="153">
        <v>1</v>
      </c>
      <c r="F410" s="153">
        <v>10739.1</v>
      </c>
      <c r="G410" s="164"/>
      <c r="H410" s="164">
        <v>10739.1</v>
      </c>
      <c r="I410" s="58">
        <v>62</v>
      </c>
      <c r="K410" s="57"/>
    </row>
    <row r="411" spans="1:11" ht="30" x14ac:dyDescent="0.25">
      <c r="A411" s="154">
        <v>40938</v>
      </c>
      <c r="B411" s="150" t="s">
        <v>861</v>
      </c>
      <c r="C411" s="57" t="s">
        <v>862</v>
      </c>
      <c r="D411" s="57" t="s">
        <v>748</v>
      </c>
      <c r="E411" s="153">
        <v>6</v>
      </c>
      <c r="F411" s="153">
        <v>1000</v>
      </c>
      <c r="G411" s="164"/>
      <c r="H411" s="164">
        <v>6000</v>
      </c>
      <c r="I411" s="58">
        <v>62</v>
      </c>
      <c r="K411" s="57"/>
    </row>
    <row r="412" spans="1:11" x14ac:dyDescent="0.25">
      <c r="A412" s="154">
        <v>40942</v>
      </c>
      <c r="B412" s="150" t="s">
        <v>780</v>
      </c>
      <c r="C412" s="57" t="s">
        <v>8</v>
      </c>
      <c r="D412" s="57" t="s">
        <v>26</v>
      </c>
      <c r="E412" s="153">
        <v>8</v>
      </c>
      <c r="F412" s="153">
        <v>35.35</v>
      </c>
      <c r="G412" s="164"/>
      <c r="H412" s="164">
        <v>282.8</v>
      </c>
      <c r="I412" s="58">
        <v>62</v>
      </c>
      <c r="K412" s="57"/>
    </row>
    <row r="413" spans="1:11" x14ac:dyDescent="0.25">
      <c r="A413" s="154">
        <v>40942</v>
      </c>
      <c r="B413" s="150" t="s">
        <v>776</v>
      </c>
      <c r="C413" s="57" t="s">
        <v>8</v>
      </c>
      <c r="D413" s="57" t="s">
        <v>26</v>
      </c>
      <c r="E413" s="153">
        <v>5</v>
      </c>
      <c r="F413" s="153">
        <v>35.35</v>
      </c>
      <c r="G413" s="164"/>
      <c r="H413" s="164">
        <v>176.75</v>
      </c>
      <c r="I413" s="58">
        <v>62</v>
      </c>
      <c r="K413" s="57"/>
    </row>
    <row r="414" spans="1:11" x14ac:dyDescent="0.25">
      <c r="A414" s="154">
        <v>40942</v>
      </c>
      <c r="B414" s="150" t="s">
        <v>773</v>
      </c>
      <c r="C414" s="57" t="s">
        <v>774</v>
      </c>
      <c r="D414" s="57" t="s">
        <v>26</v>
      </c>
      <c r="E414" s="153">
        <v>4.5</v>
      </c>
      <c r="F414" s="153">
        <v>42.79</v>
      </c>
      <c r="G414" s="164"/>
      <c r="H414" s="164">
        <v>192.55500000000001</v>
      </c>
      <c r="I414" s="58">
        <v>62</v>
      </c>
      <c r="K414" s="57"/>
    </row>
    <row r="415" spans="1:11" x14ac:dyDescent="0.25">
      <c r="A415" s="154">
        <v>40946</v>
      </c>
      <c r="B415" s="150" t="s">
        <v>773</v>
      </c>
      <c r="C415" s="57" t="s">
        <v>774</v>
      </c>
      <c r="D415" s="57" t="s">
        <v>26</v>
      </c>
      <c r="E415" s="153">
        <v>4.5</v>
      </c>
      <c r="F415" s="153">
        <v>42.79</v>
      </c>
      <c r="G415" s="164"/>
      <c r="H415" s="164">
        <v>192.55500000000001</v>
      </c>
      <c r="I415" s="58">
        <v>62</v>
      </c>
      <c r="K415" s="57"/>
    </row>
    <row r="416" spans="1:11" x14ac:dyDescent="0.25">
      <c r="A416" s="154">
        <v>40946</v>
      </c>
      <c r="B416" s="150" t="s">
        <v>776</v>
      </c>
      <c r="C416" s="57" t="s">
        <v>8</v>
      </c>
      <c r="D416" s="57" t="s">
        <v>26</v>
      </c>
      <c r="E416" s="153">
        <v>4</v>
      </c>
      <c r="F416" s="153">
        <v>35.35</v>
      </c>
      <c r="G416" s="164"/>
      <c r="H416" s="164">
        <v>141.4</v>
      </c>
      <c r="I416" s="58">
        <v>62</v>
      </c>
      <c r="K416" s="57"/>
    </row>
    <row r="417" spans="1:11" x14ac:dyDescent="0.25">
      <c r="A417" s="154">
        <v>40946</v>
      </c>
      <c r="B417" s="150" t="s">
        <v>850</v>
      </c>
      <c r="C417" s="57" t="s">
        <v>8</v>
      </c>
      <c r="D417" s="57" t="s">
        <v>26</v>
      </c>
      <c r="E417" s="153">
        <v>6.5</v>
      </c>
      <c r="F417" s="153">
        <v>40.97</v>
      </c>
      <c r="G417" s="164"/>
      <c r="H417" s="164">
        <v>266.30500000000001</v>
      </c>
      <c r="I417" s="58">
        <v>62</v>
      </c>
      <c r="K417" s="57"/>
    </row>
    <row r="418" spans="1:11" x14ac:dyDescent="0.25">
      <c r="A418" s="154">
        <v>40946</v>
      </c>
      <c r="B418" s="150" t="s">
        <v>1188</v>
      </c>
      <c r="C418" s="57" t="s">
        <v>775</v>
      </c>
      <c r="D418" s="57" t="s">
        <v>26</v>
      </c>
      <c r="E418" s="153">
        <v>5</v>
      </c>
      <c r="F418" s="153">
        <v>80</v>
      </c>
      <c r="G418" s="164"/>
      <c r="H418" s="164">
        <v>400</v>
      </c>
      <c r="I418" s="58">
        <v>62</v>
      </c>
      <c r="K418" s="57"/>
    </row>
    <row r="419" spans="1:11" x14ac:dyDescent="0.25">
      <c r="A419" s="154">
        <v>40946</v>
      </c>
      <c r="B419" s="150" t="s">
        <v>780</v>
      </c>
      <c r="C419" s="57" t="s">
        <v>8</v>
      </c>
      <c r="D419" s="57" t="s">
        <v>26</v>
      </c>
      <c r="E419" s="153">
        <v>5</v>
      </c>
      <c r="F419" s="153">
        <v>35.35</v>
      </c>
      <c r="G419" s="164"/>
      <c r="H419" s="164">
        <v>176.75</v>
      </c>
      <c r="I419" s="58">
        <v>62</v>
      </c>
      <c r="K419" s="57"/>
    </row>
    <row r="420" spans="1:11" x14ac:dyDescent="0.25">
      <c r="A420" s="154">
        <v>40946</v>
      </c>
      <c r="B420" s="150" t="s">
        <v>776</v>
      </c>
      <c r="C420" s="57" t="s">
        <v>8</v>
      </c>
      <c r="D420" s="57" t="s">
        <v>26</v>
      </c>
      <c r="E420" s="153">
        <v>5.5</v>
      </c>
      <c r="F420" s="153">
        <v>35.35</v>
      </c>
      <c r="G420" s="164"/>
      <c r="H420" s="164">
        <v>194.42500000000001</v>
      </c>
      <c r="I420" s="58">
        <v>62</v>
      </c>
      <c r="K420" s="57"/>
    </row>
    <row r="421" spans="1:11" x14ac:dyDescent="0.25">
      <c r="A421" s="169" t="s">
        <v>682</v>
      </c>
      <c r="B421" s="170" t="s">
        <v>863</v>
      </c>
      <c r="C421" s="171" t="s">
        <v>682</v>
      </c>
      <c r="D421" s="171" t="s">
        <v>682</v>
      </c>
      <c r="E421" s="172"/>
      <c r="F421" s="172"/>
      <c r="G421" s="173"/>
      <c r="H421" s="173">
        <v>102754.36999999998</v>
      </c>
      <c r="I421" s="174" t="s">
        <v>682</v>
      </c>
      <c r="K421" s="57"/>
    </row>
    <row r="422" spans="1:11" x14ac:dyDescent="0.25">
      <c r="A422" s="154" t="s">
        <v>682</v>
      </c>
      <c r="B422" s="150" t="s">
        <v>682</v>
      </c>
      <c r="C422" s="57" t="s">
        <v>682</v>
      </c>
      <c r="D422" s="57" t="s">
        <v>682</v>
      </c>
      <c r="E422" s="153"/>
      <c r="F422" s="153"/>
      <c r="G422" s="164"/>
      <c r="H422" s="164"/>
      <c r="I422" s="58" t="s">
        <v>682</v>
      </c>
      <c r="K422" s="57"/>
    </row>
    <row r="423" spans="1:11" x14ac:dyDescent="0.25">
      <c r="A423" s="166" t="s">
        <v>682</v>
      </c>
      <c r="B423" s="165" t="s">
        <v>864</v>
      </c>
      <c r="C423" s="60" t="s">
        <v>682</v>
      </c>
      <c r="D423" s="60" t="s">
        <v>682</v>
      </c>
      <c r="E423" s="167"/>
      <c r="F423" s="167"/>
      <c r="G423" s="168"/>
      <c r="H423" s="168"/>
      <c r="I423" s="46" t="s">
        <v>682</v>
      </c>
      <c r="K423" s="57"/>
    </row>
    <row r="424" spans="1:11" x14ac:dyDescent="0.25">
      <c r="A424" s="154">
        <v>40925</v>
      </c>
      <c r="B424" s="150" t="s">
        <v>782</v>
      </c>
      <c r="C424" s="57" t="s">
        <v>8</v>
      </c>
      <c r="D424" s="57" t="s">
        <v>26</v>
      </c>
      <c r="E424" s="153">
        <v>11.5</v>
      </c>
      <c r="F424" s="153">
        <v>35.35</v>
      </c>
      <c r="G424" s="164"/>
      <c r="H424" s="164">
        <v>406.52499999999998</v>
      </c>
      <c r="I424" s="58">
        <v>63</v>
      </c>
      <c r="K424" s="57"/>
    </row>
    <row r="425" spans="1:11" x14ac:dyDescent="0.25">
      <c r="A425" s="154">
        <v>40925</v>
      </c>
      <c r="B425" s="150" t="s">
        <v>782</v>
      </c>
      <c r="C425" s="57" t="s">
        <v>8</v>
      </c>
      <c r="D425" s="57" t="s">
        <v>26</v>
      </c>
      <c r="E425" s="153">
        <v>11</v>
      </c>
      <c r="F425" s="153">
        <v>35.35</v>
      </c>
      <c r="G425" s="164"/>
      <c r="H425" s="164">
        <v>388.85</v>
      </c>
      <c r="I425" s="58">
        <v>63</v>
      </c>
      <c r="K425" s="57"/>
    </row>
    <row r="426" spans="1:11" x14ac:dyDescent="0.25">
      <c r="A426" s="154">
        <v>40925</v>
      </c>
      <c r="B426" s="150" t="s">
        <v>856</v>
      </c>
      <c r="C426" s="57" t="s">
        <v>8</v>
      </c>
      <c r="D426" s="57" t="s">
        <v>26</v>
      </c>
      <c r="E426" s="153">
        <v>11</v>
      </c>
      <c r="F426" s="153">
        <v>40.97</v>
      </c>
      <c r="G426" s="164"/>
      <c r="H426" s="164">
        <v>450.67</v>
      </c>
      <c r="I426" s="58">
        <v>63</v>
      </c>
      <c r="K426" s="57"/>
    </row>
    <row r="427" spans="1:11" x14ac:dyDescent="0.25">
      <c r="A427" s="154">
        <v>40925</v>
      </c>
      <c r="B427" s="150" t="s">
        <v>787</v>
      </c>
      <c r="C427" s="57" t="s">
        <v>8</v>
      </c>
      <c r="D427" s="57" t="s">
        <v>26</v>
      </c>
      <c r="E427" s="153">
        <v>11</v>
      </c>
      <c r="F427" s="153">
        <v>40.97</v>
      </c>
      <c r="G427" s="164"/>
      <c r="H427" s="164">
        <v>450.67</v>
      </c>
      <c r="I427" s="58">
        <v>63</v>
      </c>
      <c r="K427" s="57"/>
    </row>
    <row r="428" spans="1:11" x14ac:dyDescent="0.25">
      <c r="A428" s="154">
        <v>40925</v>
      </c>
      <c r="B428" s="150" t="s">
        <v>773</v>
      </c>
      <c r="C428" s="57" t="s">
        <v>774</v>
      </c>
      <c r="D428" s="57" t="s">
        <v>26</v>
      </c>
      <c r="E428" s="153">
        <v>7</v>
      </c>
      <c r="F428" s="153">
        <v>42.79</v>
      </c>
      <c r="G428" s="164"/>
      <c r="H428" s="164">
        <v>299.52999999999997</v>
      </c>
      <c r="I428" s="58">
        <v>63</v>
      </c>
      <c r="K428" s="57"/>
    </row>
    <row r="429" spans="1:11" x14ac:dyDescent="0.25">
      <c r="A429" s="154">
        <v>40925</v>
      </c>
      <c r="B429" s="150" t="s">
        <v>807</v>
      </c>
      <c r="C429" s="57" t="s">
        <v>808</v>
      </c>
      <c r="D429" s="57" t="s">
        <v>26</v>
      </c>
      <c r="E429" s="153">
        <v>9</v>
      </c>
      <c r="F429" s="153">
        <v>80</v>
      </c>
      <c r="G429" s="164"/>
      <c r="H429" s="164">
        <v>720</v>
      </c>
      <c r="I429" s="58">
        <v>63</v>
      </c>
      <c r="K429" s="57"/>
    </row>
    <row r="430" spans="1:11" x14ac:dyDescent="0.25">
      <c r="A430" s="154">
        <v>40926</v>
      </c>
      <c r="B430" s="150" t="s">
        <v>782</v>
      </c>
      <c r="C430" s="57" t="s">
        <v>8</v>
      </c>
      <c r="D430" s="57" t="s">
        <v>26</v>
      </c>
      <c r="E430" s="153">
        <v>10</v>
      </c>
      <c r="F430" s="153">
        <v>35.35</v>
      </c>
      <c r="G430" s="164"/>
      <c r="H430" s="164">
        <v>353.5</v>
      </c>
      <c r="I430" s="58">
        <v>63</v>
      </c>
      <c r="K430" s="57"/>
    </row>
    <row r="431" spans="1:11" x14ac:dyDescent="0.25">
      <c r="A431" s="154">
        <v>40926</v>
      </c>
      <c r="B431" s="150" t="s">
        <v>776</v>
      </c>
      <c r="C431" s="57" t="s">
        <v>8</v>
      </c>
      <c r="D431" s="57" t="s">
        <v>26</v>
      </c>
      <c r="E431" s="153">
        <v>10</v>
      </c>
      <c r="F431" s="153">
        <v>35.35</v>
      </c>
      <c r="G431" s="164"/>
      <c r="H431" s="164">
        <v>353.5</v>
      </c>
      <c r="I431" s="58">
        <v>63</v>
      </c>
      <c r="K431" s="57"/>
    </row>
    <row r="432" spans="1:11" x14ac:dyDescent="0.25">
      <c r="A432" s="154">
        <v>40926</v>
      </c>
      <c r="B432" s="150" t="s">
        <v>782</v>
      </c>
      <c r="C432" s="57" t="s">
        <v>8</v>
      </c>
      <c r="D432" s="57" t="s">
        <v>26</v>
      </c>
      <c r="E432" s="153">
        <v>10</v>
      </c>
      <c r="F432" s="153">
        <v>35.35</v>
      </c>
      <c r="G432" s="164"/>
      <c r="H432" s="164">
        <v>353.5</v>
      </c>
      <c r="I432" s="58">
        <v>63</v>
      </c>
      <c r="K432" s="57"/>
    </row>
    <row r="433" spans="1:11" x14ac:dyDescent="0.25">
      <c r="A433" s="154">
        <v>40926</v>
      </c>
      <c r="B433" s="150" t="s">
        <v>809</v>
      </c>
      <c r="C433" s="57" t="s">
        <v>810</v>
      </c>
      <c r="D433" s="57" t="s">
        <v>25</v>
      </c>
      <c r="E433" s="153">
        <v>1</v>
      </c>
      <c r="F433" s="153">
        <v>2500</v>
      </c>
      <c r="G433" s="164"/>
      <c r="H433" s="164">
        <v>2500</v>
      </c>
      <c r="I433" s="58">
        <v>63</v>
      </c>
      <c r="K433" s="57"/>
    </row>
    <row r="434" spans="1:11" x14ac:dyDescent="0.25">
      <c r="A434" s="154">
        <v>40926</v>
      </c>
      <c r="B434" s="150" t="s">
        <v>773</v>
      </c>
      <c r="C434" s="57" t="s">
        <v>774</v>
      </c>
      <c r="D434" s="57" t="s">
        <v>26</v>
      </c>
      <c r="E434" s="153">
        <v>10</v>
      </c>
      <c r="F434" s="153">
        <v>42.79</v>
      </c>
      <c r="G434" s="164"/>
      <c r="H434" s="164">
        <v>427.9</v>
      </c>
      <c r="I434" s="58">
        <v>63</v>
      </c>
      <c r="K434" s="57"/>
    </row>
    <row r="435" spans="1:11" x14ac:dyDescent="0.25">
      <c r="A435" s="154">
        <v>40936</v>
      </c>
      <c r="B435" s="150" t="s">
        <v>451</v>
      </c>
      <c r="C435" s="57" t="s">
        <v>788</v>
      </c>
      <c r="D435" s="57" t="s">
        <v>26</v>
      </c>
      <c r="E435" s="153">
        <v>3.5</v>
      </c>
      <c r="F435" s="153">
        <v>66.069999999999993</v>
      </c>
      <c r="G435" s="164"/>
      <c r="H435" s="164">
        <v>231.245</v>
      </c>
      <c r="I435" s="58">
        <v>63</v>
      </c>
      <c r="K435" s="57"/>
    </row>
    <row r="436" spans="1:11" x14ac:dyDescent="0.25">
      <c r="A436" s="154">
        <v>40936</v>
      </c>
      <c r="B436" s="150" t="s">
        <v>1188</v>
      </c>
      <c r="C436" s="57" t="s">
        <v>775</v>
      </c>
      <c r="D436" s="57" t="s">
        <v>26</v>
      </c>
      <c r="E436" s="153">
        <v>4</v>
      </c>
      <c r="F436" s="153">
        <v>80</v>
      </c>
      <c r="G436" s="164"/>
      <c r="H436" s="164">
        <v>320</v>
      </c>
      <c r="I436" s="58">
        <v>63</v>
      </c>
      <c r="K436" s="57"/>
    </row>
    <row r="437" spans="1:11" x14ac:dyDescent="0.25">
      <c r="A437" s="154">
        <v>40936</v>
      </c>
      <c r="B437" s="150" t="s">
        <v>789</v>
      </c>
      <c r="C437" s="57" t="s">
        <v>790</v>
      </c>
      <c r="D437" s="57" t="s">
        <v>26</v>
      </c>
      <c r="E437" s="153">
        <v>3.5</v>
      </c>
      <c r="F437" s="153">
        <v>50</v>
      </c>
      <c r="G437" s="164"/>
      <c r="H437" s="164">
        <v>175</v>
      </c>
      <c r="I437" s="58">
        <v>63</v>
      </c>
      <c r="K437" s="57"/>
    </row>
    <row r="438" spans="1:11" x14ac:dyDescent="0.25">
      <c r="A438" s="154">
        <v>40936</v>
      </c>
      <c r="B438" s="150" t="s">
        <v>787</v>
      </c>
      <c r="C438" s="57" t="s">
        <v>8</v>
      </c>
      <c r="D438" s="57" t="s">
        <v>26</v>
      </c>
      <c r="E438" s="153">
        <v>3.5</v>
      </c>
      <c r="F438" s="153">
        <v>40.97</v>
      </c>
      <c r="G438" s="164"/>
      <c r="H438" s="164">
        <v>143.39500000000001</v>
      </c>
      <c r="I438" s="58">
        <v>63</v>
      </c>
      <c r="K438" s="57"/>
    </row>
    <row r="439" spans="1:11" x14ac:dyDescent="0.25">
      <c r="A439" s="154">
        <v>40936</v>
      </c>
      <c r="B439" s="150" t="s">
        <v>773</v>
      </c>
      <c r="C439" s="57" t="s">
        <v>774</v>
      </c>
      <c r="D439" s="57" t="s">
        <v>26</v>
      </c>
      <c r="E439" s="153">
        <v>3.5</v>
      </c>
      <c r="F439" s="153">
        <v>42.79</v>
      </c>
      <c r="G439" s="164"/>
      <c r="H439" s="164">
        <v>149.76499999999999</v>
      </c>
      <c r="I439" s="58">
        <v>63</v>
      </c>
      <c r="K439" s="57"/>
    </row>
    <row r="440" spans="1:11" x14ac:dyDescent="0.25">
      <c r="A440" s="154">
        <v>40936</v>
      </c>
      <c r="B440" s="150" t="s">
        <v>782</v>
      </c>
      <c r="C440" s="57" t="s">
        <v>8</v>
      </c>
      <c r="D440" s="57" t="s">
        <v>26</v>
      </c>
      <c r="E440" s="153">
        <v>3.5</v>
      </c>
      <c r="F440" s="153">
        <v>35.35</v>
      </c>
      <c r="G440" s="164"/>
      <c r="H440" s="164">
        <v>123.72499999999999</v>
      </c>
      <c r="I440" s="58">
        <v>63</v>
      </c>
      <c r="K440" s="57"/>
    </row>
    <row r="441" spans="1:11" x14ac:dyDescent="0.25">
      <c r="A441" s="154">
        <v>40936</v>
      </c>
      <c r="B441" s="150" t="s">
        <v>776</v>
      </c>
      <c r="C441" s="57" t="s">
        <v>8</v>
      </c>
      <c r="D441" s="57" t="s">
        <v>26</v>
      </c>
      <c r="E441" s="153">
        <v>4</v>
      </c>
      <c r="F441" s="153">
        <v>35.35</v>
      </c>
      <c r="G441" s="164"/>
      <c r="H441" s="164">
        <v>141.4</v>
      </c>
      <c r="I441" s="58">
        <v>63</v>
      </c>
      <c r="K441" s="57"/>
    </row>
    <row r="442" spans="1:11" x14ac:dyDescent="0.25">
      <c r="A442" s="154">
        <v>40936</v>
      </c>
      <c r="B442" s="150" t="s">
        <v>782</v>
      </c>
      <c r="C442" s="57" t="s">
        <v>8</v>
      </c>
      <c r="D442" s="57" t="s">
        <v>26</v>
      </c>
      <c r="E442" s="153">
        <v>4</v>
      </c>
      <c r="F442" s="153">
        <v>35.35</v>
      </c>
      <c r="G442" s="164"/>
      <c r="H442" s="164">
        <v>141.4</v>
      </c>
      <c r="I442" s="58">
        <v>63</v>
      </c>
      <c r="K442" s="57"/>
    </row>
    <row r="443" spans="1:11" x14ac:dyDescent="0.25">
      <c r="A443" s="154">
        <v>40936</v>
      </c>
      <c r="B443" s="150" t="s">
        <v>780</v>
      </c>
      <c r="C443" s="57" t="s">
        <v>8</v>
      </c>
      <c r="D443" s="57" t="s">
        <v>26</v>
      </c>
      <c r="E443" s="153">
        <v>4</v>
      </c>
      <c r="F443" s="153">
        <v>35.35</v>
      </c>
      <c r="G443" s="164"/>
      <c r="H443" s="164">
        <v>141.4</v>
      </c>
      <c r="I443" s="58">
        <v>63</v>
      </c>
      <c r="K443" s="57"/>
    </row>
    <row r="444" spans="1:11" x14ac:dyDescent="0.25">
      <c r="A444" s="154">
        <v>40937</v>
      </c>
      <c r="B444" s="150" t="s">
        <v>782</v>
      </c>
      <c r="C444" s="57" t="s">
        <v>8</v>
      </c>
      <c r="D444" s="57" t="s">
        <v>26</v>
      </c>
      <c r="E444" s="153">
        <v>10</v>
      </c>
      <c r="F444" s="153">
        <v>35.35</v>
      </c>
      <c r="G444" s="164"/>
      <c r="H444" s="164">
        <v>353.5</v>
      </c>
      <c r="I444" s="58">
        <v>63</v>
      </c>
      <c r="K444" s="57"/>
    </row>
    <row r="445" spans="1:11" x14ac:dyDescent="0.25">
      <c r="A445" s="154">
        <v>40937</v>
      </c>
      <c r="B445" s="150" t="s">
        <v>776</v>
      </c>
      <c r="C445" s="57" t="s">
        <v>8</v>
      </c>
      <c r="D445" s="57" t="s">
        <v>26</v>
      </c>
      <c r="E445" s="153">
        <v>10</v>
      </c>
      <c r="F445" s="153">
        <v>35.35</v>
      </c>
      <c r="G445" s="164"/>
      <c r="H445" s="164">
        <v>353.5</v>
      </c>
      <c r="I445" s="58">
        <v>63</v>
      </c>
      <c r="K445" s="57"/>
    </row>
    <row r="446" spans="1:11" x14ac:dyDescent="0.25">
      <c r="A446" s="154">
        <v>40937</v>
      </c>
      <c r="B446" s="150" t="s">
        <v>782</v>
      </c>
      <c r="C446" s="57" t="s">
        <v>8</v>
      </c>
      <c r="D446" s="57" t="s">
        <v>26</v>
      </c>
      <c r="E446" s="153">
        <v>10</v>
      </c>
      <c r="F446" s="153">
        <v>35.35</v>
      </c>
      <c r="G446" s="164"/>
      <c r="H446" s="164">
        <v>353.5</v>
      </c>
      <c r="I446" s="58">
        <v>63</v>
      </c>
      <c r="K446" s="57"/>
    </row>
    <row r="447" spans="1:11" x14ac:dyDescent="0.25">
      <c r="A447" s="154">
        <v>40937</v>
      </c>
      <c r="B447" s="150" t="s">
        <v>789</v>
      </c>
      <c r="C447" s="57" t="s">
        <v>790</v>
      </c>
      <c r="D447" s="57" t="s">
        <v>26</v>
      </c>
      <c r="E447" s="153">
        <v>10</v>
      </c>
      <c r="F447" s="153">
        <v>50</v>
      </c>
      <c r="G447" s="164"/>
      <c r="H447" s="164">
        <v>500</v>
      </c>
      <c r="I447" s="58">
        <v>63</v>
      </c>
      <c r="K447" s="57"/>
    </row>
    <row r="448" spans="1:11" x14ac:dyDescent="0.25">
      <c r="A448" s="154">
        <v>40937</v>
      </c>
      <c r="B448" s="150" t="s">
        <v>787</v>
      </c>
      <c r="C448" s="57" t="s">
        <v>8</v>
      </c>
      <c r="D448" s="57" t="s">
        <v>26</v>
      </c>
      <c r="E448" s="153">
        <v>10</v>
      </c>
      <c r="F448" s="153">
        <v>40.97</v>
      </c>
      <c r="G448" s="164"/>
      <c r="H448" s="164">
        <v>409.7</v>
      </c>
      <c r="I448" s="58">
        <v>63</v>
      </c>
      <c r="K448" s="57"/>
    </row>
    <row r="449" spans="1:11" x14ac:dyDescent="0.25">
      <c r="A449" s="154">
        <v>40937</v>
      </c>
      <c r="B449" s="150" t="s">
        <v>773</v>
      </c>
      <c r="C449" s="57" t="s">
        <v>774</v>
      </c>
      <c r="D449" s="57" t="s">
        <v>26</v>
      </c>
      <c r="E449" s="153">
        <v>10</v>
      </c>
      <c r="F449" s="153">
        <v>42.79</v>
      </c>
      <c r="G449" s="164"/>
      <c r="H449" s="164">
        <v>427.9</v>
      </c>
      <c r="I449" s="58">
        <v>63</v>
      </c>
      <c r="K449" s="57"/>
    </row>
    <row r="450" spans="1:11" x14ac:dyDescent="0.25">
      <c r="A450" s="154">
        <v>40937</v>
      </c>
      <c r="B450" s="150" t="s">
        <v>451</v>
      </c>
      <c r="C450" s="57" t="s">
        <v>788</v>
      </c>
      <c r="D450" s="57" t="s">
        <v>26</v>
      </c>
      <c r="E450" s="153">
        <v>10</v>
      </c>
      <c r="F450" s="153">
        <v>66.069999999999993</v>
      </c>
      <c r="G450" s="164"/>
      <c r="H450" s="164">
        <v>660.7</v>
      </c>
      <c r="I450" s="58">
        <v>63</v>
      </c>
      <c r="K450" s="57"/>
    </row>
    <row r="451" spans="1:11" x14ac:dyDescent="0.25">
      <c r="A451" s="154">
        <v>40938</v>
      </c>
      <c r="B451" s="150" t="s">
        <v>451</v>
      </c>
      <c r="C451" s="57" t="s">
        <v>788</v>
      </c>
      <c r="D451" s="57" t="s">
        <v>26</v>
      </c>
      <c r="E451" s="153">
        <v>10</v>
      </c>
      <c r="F451" s="153">
        <v>66.069999999999993</v>
      </c>
      <c r="G451" s="164"/>
      <c r="H451" s="164">
        <v>660.7</v>
      </c>
      <c r="I451" s="58">
        <v>63</v>
      </c>
      <c r="K451" s="57"/>
    </row>
    <row r="452" spans="1:11" x14ac:dyDescent="0.25">
      <c r="A452" s="154">
        <v>40938</v>
      </c>
      <c r="B452" s="150" t="s">
        <v>782</v>
      </c>
      <c r="C452" s="57" t="s">
        <v>8</v>
      </c>
      <c r="D452" s="57" t="s">
        <v>26</v>
      </c>
      <c r="E452" s="153">
        <v>10</v>
      </c>
      <c r="F452" s="153">
        <v>35.35</v>
      </c>
      <c r="G452" s="164"/>
      <c r="H452" s="164">
        <v>353.5</v>
      </c>
      <c r="I452" s="58">
        <v>63</v>
      </c>
      <c r="K452" s="57"/>
    </row>
    <row r="453" spans="1:11" x14ac:dyDescent="0.25">
      <c r="A453" s="154">
        <v>40938</v>
      </c>
      <c r="B453" s="150" t="s">
        <v>773</v>
      </c>
      <c r="C453" s="57" t="s">
        <v>774</v>
      </c>
      <c r="D453" s="57" t="s">
        <v>26</v>
      </c>
      <c r="E453" s="153">
        <v>10</v>
      </c>
      <c r="F453" s="153">
        <v>42.79</v>
      </c>
      <c r="G453" s="164"/>
      <c r="H453" s="164">
        <v>427.9</v>
      </c>
      <c r="I453" s="58">
        <v>63</v>
      </c>
      <c r="K453" s="57"/>
    </row>
    <row r="454" spans="1:11" x14ac:dyDescent="0.25">
      <c r="A454" s="154">
        <v>40938</v>
      </c>
      <c r="B454" s="150" t="s">
        <v>789</v>
      </c>
      <c r="C454" s="57" t="s">
        <v>790</v>
      </c>
      <c r="D454" s="57" t="s">
        <v>26</v>
      </c>
      <c r="E454" s="153">
        <v>10</v>
      </c>
      <c r="F454" s="153">
        <v>50</v>
      </c>
      <c r="G454" s="164"/>
      <c r="H454" s="164">
        <v>500</v>
      </c>
      <c r="I454" s="58">
        <v>63</v>
      </c>
      <c r="K454" s="57"/>
    </row>
    <row r="455" spans="1:11" x14ac:dyDescent="0.25">
      <c r="A455" s="154">
        <v>40938</v>
      </c>
      <c r="B455" s="150" t="s">
        <v>776</v>
      </c>
      <c r="C455" s="57" t="s">
        <v>8</v>
      </c>
      <c r="D455" s="57" t="s">
        <v>26</v>
      </c>
      <c r="E455" s="153">
        <v>10</v>
      </c>
      <c r="F455" s="153">
        <v>35.35</v>
      </c>
      <c r="G455" s="164"/>
      <c r="H455" s="164">
        <v>353.5</v>
      </c>
      <c r="I455" s="58">
        <v>63</v>
      </c>
      <c r="K455" s="57"/>
    </row>
    <row r="456" spans="1:11" x14ac:dyDescent="0.25">
      <c r="A456" s="154">
        <v>40938</v>
      </c>
      <c r="B456" s="150" t="s">
        <v>782</v>
      </c>
      <c r="C456" s="57" t="s">
        <v>8</v>
      </c>
      <c r="D456" s="57" t="s">
        <v>26</v>
      </c>
      <c r="E456" s="153">
        <v>10</v>
      </c>
      <c r="F456" s="153">
        <v>35.35</v>
      </c>
      <c r="G456" s="164"/>
      <c r="H456" s="164">
        <v>353.5</v>
      </c>
      <c r="I456" s="58">
        <v>63</v>
      </c>
      <c r="K456" s="57"/>
    </row>
    <row r="457" spans="1:11" x14ac:dyDescent="0.25">
      <c r="A457" s="154">
        <v>40938</v>
      </c>
      <c r="B457" s="150" t="s">
        <v>787</v>
      </c>
      <c r="C457" s="57" t="s">
        <v>8</v>
      </c>
      <c r="D457" s="57" t="s">
        <v>26</v>
      </c>
      <c r="E457" s="153">
        <v>10</v>
      </c>
      <c r="F457" s="153">
        <v>40.97</v>
      </c>
      <c r="G457" s="164"/>
      <c r="H457" s="164">
        <v>409.7</v>
      </c>
      <c r="I457" s="58">
        <v>63</v>
      </c>
      <c r="K457" s="57"/>
    </row>
    <row r="458" spans="1:11" x14ac:dyDescent="0.25">
      <c r="A458" s="154">
        <v>40953</v>
      </c>
      <c r="B458" s="150" t="s">
        <v>865</v>
      </c>
      <c r="C458" s="57" t="s">
        <v>973</v>
      </c>
      <c r="D458" s="57" t="s">
        <v>25</v>
      </c>
      <c r="E458" s="153">
        <v>1</v>
      </c>
      <c r="F458" s="153">
        <v>850</v>
      </c>
      <c r="G458" s="164"/>
      <c r="H458" s="164">
        <v>850</v>
      </c>
      <c r="I458" s="58">
        <v>63</v>
      </c>
      <c r="K458" s="57"/>
    </row>
    <row r="459" spans="1:11" x14ac:dyDescent="0.25">
      <c r="A459" s="154">
        <v>40953</v>
      </c>
      <c r="B459" s="150" t="s">
        <v>776</v>
      </c>
      <c r="C459" s="57" t="s">
        <v>8</v>
      </c>
      <c r="D459" s="57" t="s">
        <v>26</v>
      </c>
      <c r="E459" s="153">
        <v>10.5</v>
      </c>
      <c r="F459" s="153">
        <v>35.35</v>
      </c>
      <c r="G459" s="164"/>
      <c r="H459" s="164">
        <v>371.17500000000001</v>
      </c>
      <c r="I459" s="58">
        <v>63</v>
      </c>
      <c r="K459" s="57"/>
    </row>
    <row r="460" spans="1:11" x14ac:dyDescent="0.25">
      <c r="A460" s="154">
        <v>40953</v>
      </c>
      <c r="B460" s="150" t="s">
        <v>780</v>
      </c>
      <c r="C460" s="57" t="s">
        <v>8</v>
      </c>
      <c r="D460" s="57" t="s">
        <v>26</v>
      </c>
      <c r="E460" s="153">
        <v>10.5</v>
      </c>
      <c r="F460" s="153">
        <v>35.35</v>
      </c>
      <c r="G460" s="164"/>
      <c r="H460" s="164">
        <v>371.17500000000001</v>
      </c>
      <c r="I460" s="58">
        <v>63</v>
      </c>
      <c r="K460" s="57"/>
    </row>
    <row r="461" spans="1:11" x14ac:dyDescent="0.25">
      <c r="A461" s="154">
        <v>40953</v>
      </c>
      <c r="B461" s="150" t="s">
        <v>776</v>
      </c>
      <c r="C461" s="57" t="s">
        <v>8</v>
      </c>
      <c r="D461" s="57" t="s">
        <v>26</v>
      </c>
      <c r="E461" s="153">
        <v>10.5</v>
      </c>
      <c r="F461" s="153">
        <v>35.35</v>
      </c>
      <c r="G461" s="164"/>
      <c r="H461" s="164">
        <v>371.17500000000001</v>
      </c>
      <c r="I461" s="58">
        <v>63</v>
      </c>
      <c r="K461" s="57"/>
    </row>
    <row r="462" spans="1:11" x14ac:dyDescent="0.25">
      <c r="A462" s="154">
        <v>40955</v>
      </c>
      <c r="B462" s="150" t="s">
        <v>776</v>
      </c>
      <c r="C462" s="57" t="s">
        <v>8</v>
      </c>
      <c r="D462" s="57" t="s">
        <v>26</v>
      </c>
      <c r="E462" s="153">
        <v>3</v>
      </c>
      <c r="F462" s="153">
        <v>35.35</v>
      </c>
      <c r="G462" s="164"/>
      <c r="H462" s="164">
        <v>106.05</v>
      </c>
      <c r="I462" s="58">
        <v>63</v>
      </c>
      <c r="K462" s="57"/>
    </row>
    <row r="463" spans="1:11" x14ac:dyDescent="0.25">
      <c r="A463" s="154">
        <v>40955</v>
      </c>
      <c r="B463" s="150" t="s">
        <v>776</v>
      </c>
      <c r="C463" s="57" t="s">
        <v>8</v>
      </c>
      <c r="D463" s="57" t="s">
        <v>26</v>
      </c>
      <c r="E463" s="153">
        <v>3</v>
      </c>
      <c r="F463" s="153">
        <v>35.35</v>
      </c>
      <c r="G463" s="164"/>
      <c r="H463" s="164">
        <v>106.05</v>
      </c>
      <c r="I463" s="58">
        <v>63</v>
      </c>
      <c r="K463" s="57"/>
    </row>
    <row r="464" spans="1:11" x14ac:dyDescent="0.25">
      <c r="A464" s="154">
        <v>40955</v>
      </c>
      <c r="B464" s="150" t="s">
        <v>780</v>
      </c>
      <c r="C464" s="57" t="s">
        <v>8</v>
      </c>
      <c r="D464" s="57" t="s">
        <v>26</v>
      </c>
      <c r="E464" s="153">
        <v>3</v>
      </c>
      <c r="F464" s="153">
        <v>35.35</v>
      </c>
      <c r="G464" s="164"/>
      <c r="H464" s="164">
        <v>106.05</v>
      </c>
      <c r="I464" s="58">
        <v>63</v>
      </c>
      <c r="K464" s="57"/>
    </row>
    <row r="465" spans="1:11" x14ac:dyDescent="0.25">
      <c r="A465" s="154">
        <v>40955</v>
      </c>
      <c r="B465" s="150" t="s">
        <v>866</v>
      </c>
      <c r="C465" s="57" t="s">
        <v>867</v>
      </c>
      <c r="D465" s="57" t="s">
        <v>748</v>
      </c>
      <c r="E465" s="153">
        <v>1</v>
      </c>
      <c r="F465" s="153">
        <v>242</v>
      </c>
      <c r="G465" s="164"/>
      <c r="H465" s="164">
        <v>242</v>
      </c>
      <c r="I465" s="58">
        <v>63</v>
      </c>
      <c r="K465" s="57"/>
    </row>
    <row r="466" spans="1:11" ht="30" x14ac:dyDescent="0.25">
      <c r="A466" s="154">
        <v>40968</v>
      </c>
      <c r="B466" s="150" t="s">
        <v>868</v>
      </c>
      <c r="C466" s="57" t="s">
        <v>839</v>
      </c>
      <c r="D466" s="57" t="s">
        <v>748</v>
      </c>
      <c r="E466" s="153">
        <v>1</v>
      </c>
      <c r="F466" s="153">
        <v>5000</v>
      </c>
      <c r="G466" s="164"/>
      <c r="H466" s="164">
        <v>5000</v>
      </c>
      <c r="I466" s="58">
        <v>63</v>
      </c>
      <c r="K466" s="57"/>
    </row>
    <row r="467" spans="1:11" x14ac:dyDescent="0.25">
      <c r="A467" s="169" t="s">
        <v>682</v>
      </c>
      <c r="B467" s="170" t="s">
        <v>869</v>
      </c>
      <c r="C467" s="171" t="s">
        <v>682</v>
      </c>
      <c r="D467" s="171" t="s">
        <v>682</v>
      </c>
      <c r="E467" s="172"/>
      <c r="F467" s="172"/>
      <c r="G467" s="173"/>
      <c r="H467" s="173">
        <v>21913.25</v>
      </c>
      <c r="I467" s="174" t="s">
        <v>682</v>
      </c>
      <c r="K467" s="57"/>
    </row>
    <row r="468" spans="1:11" x14ac:dyDescent="0.25">
      <c r="A468" s="154" t="s">
        <v>682</v>
      </c>
      <c r="B468" s="150" t="s">
        <v>682</v>
      </c>
      <c r="C468" s="57" t="s">
        <v>682</v>
      </c>
      <c r="D468" s="57" t="s">
        <v>682</v>
      </c>
      <c r="E468" s="153"/>
      <c r="F468" s="153"/>
      <c r="G468" s="164"/>
      <c r="H468" s="164"/>
      <c r="I468" s="58" t="s">
        <v>682</v>
      </c>
      <c r="K468" s="57"/>
    </row>
    <row r="469" spans="1:11" x14ac:dyDescent="0.25">
      <c r="A469" s="166" t="s">
        <v>682</v>
      </c>
      <c r="B469" s="165" t="s">
        <v>870</v>
      </c>
      <c r="C469" s="60" t="s">
        <v>682</v>
      </c>
      <c r="D469" s="60" t="s">
        <v>682</v>
      </c>
      <c r="E469" s="167"/>
      <c r="F469" s="167"/>
      <c r="G469" s="168"/>
      <c r="H469" s="168"/>
      <c r="I469" s="46" t="s">
        <v>682</v>
      </c>
      <c r="K469" s="57"/>
    </row>
    <row r="470" spans="1:11" x14ac:dyDescent="0.25">
      <c r="A470" s="154">
        <v>40894</v>
      </c>
      <c r="B470" s="150" t="s">
        <v>776</v>
      </c>
      <c r="C470" s="57" t="s">
        <v>8</v>
      </c>
      <c r="D470" s="57" t="s">
        <v>26</v>
      </c>
      <c r="E470" s="153">
        <v>10.5</v>
      </c>
      <c r="F470" s="153">
        <v>35.35</v>
      </c>
      <c r="G470" s="164"/>
      <c r="H470" s="164">
        <v>371.17500000000001</v>
      </c>
      <c r="I470" s="58">
        <v>64</v>
      </c>
      <c r="K470" s="57"/>
    </row>
    <row r="471" spans="1:11" x14ac:dyDescent="0.25">
      <c r="A471" s="154">
        <v>40898</v>
      </c>
      <c r="B471" s="150" t="s">
        <v>871</v>
      </c>
      <c r="C471" s="57" t="s">
        <v>872</v>
      </c>
      <c r="D471" s="57" t="s">
        <v>748</v>
      </c>
      <c r="E471" s="153">
        <v>10948</v>
      </c>
      <c r="F471" s="153">
        <v>9.17</v>
      </c>
      <c r="G471" s="164"/>
      <c r="H471" s="164">
        <v>100393.16</v>
      </c>
      <c r="I471" s="58">
        <v>64</v>
      </c>
      <c r="K471" s="57"/>
    </row>
    <row r="472" spans="1:11" x14ac:dyDescent="0.25">
      <c r="A472" s="154">
        <v>40898</v>
      </c>
      <c r="B472" s="150" t="s">
        <v>871</v>
      </c>
      <c r="C472" s="57" t="s">
        <v>873</v>
      </c>
      <c r="D472" s="57" t="s">
        <v>748</v>
      </c>
      <c r="E472" s="153">
        <v>2002</v>
      </c>
      <c r="F472" s="153">
        <v>6.02</v>
      </c>
      <c r="G472" s="164"/>
      <c r="H472" s="164">
        <v>12052.04</v>
      </c>
      <c r="I472" s="58">
        <v>64</v>
      </c>
      <c r="K472" s="57"/>
    </row>
    <row r="473" spans="1:11" x14ac:dyDescent="0.25">
      <c r="A473" s="154">
        <v>40956</v>
      </c>
      <c r="B473" s="150" t="s">
        <v>776</v>
      </c>
      <c r="C473" s="57" t="s">
        <v>8</v>
      </c>
      <c r="D473" s="57" t="s">
        <v>26</v>
      </c>
      <c r="E473" s="153">
        <v>6</v>
      </c>
      <c r="F473" s="153">
        <v>35.35</v>
      </c>
      <c r="G473" s="164"/>
      <c r="H473" s="164">
        <v>212.1</v>
      </c>
      <c r="I473" s="58">
        <v>64</v>
      </c>
      <c r="K473" s="57"/>
    </row>
    <row r="474" spans="1:11" x14ac:dyDescent="0.25">
      <c r="A474" s="154">
        <v>40957</v>
      </c>
      <c r="B474" s="150" t="s">
        <v>776</v>
      </c>
      <c r="C474" s="57" t="s">
        <v>8</v>
      </c>
      <c r="D474" s="57" t="s">
        <v>26</v>
      </c>
      <c r="E474" s="153">
        <v>8.5</v>
      </c>
      <c r="F474" s="153">
        <v>35.35</v>
      </c>
      <c r="G474" s="164"/>
      <c r="H474" s="164">
        <v>300.47500000000002</v>
      </c>
      <c r="I474" s="58">
        <v>64</v>
      </c>
      <c r="K474" s="57"/>
    </row>
    <row r="475" spans="1:11" x14ac:dyDescent="0.25">
      <c r="A475" s="154">
        <v>40957</v>
      </c>
      <c r="B475" s="150" t="s">
        <v>776</v>
      </c>
      <c r="C475" s="57" t="s">
        <v>8</v>
      </c>
      <c r="D475" s="57" t="s">
        <v>26</v>
      </c>
      <c r="E475" s="153">
        <v>11.5</v>
      </c>
      <c r="F475" s="153">
        <v>35.35</v>
      </c>
      <c r="G475" s="164"/>
      <c r="H475" s="164">
        <v>406.52499999999998</v>
      </c>
      <c r="I475" s="58">
        <v>64</v>
      </c>
      <c r="K475" s="57"/>
    </row>
    <row r="476" spans="1:11" x14ac:dyDescent="0.25">
      <c r="A476" s="154">
        <v>40957</v>
      </c>
      <c r="B476" s="150" t="s">
        <v>782</v>
      </c>
      <c r="C476" s="57" t="s">
        <v>8</v>
      </c>
      <c r="D476" s="57" t="s">
        <v>26</v>
      </c>
      <c r="E476" s="153">
        <v>11.5</v>
      </c>
      <c r="F476" s="153">
        <v>35.35</v>
      </c>
      <c r="G476" s="164"/>
      <c r="H476" s="164">
        <v>406.52499999999998</v>
      </c>
      <c r="I476" s="58">
        <v>64</v>
      </c>
      <c r="K476" s="57"/>
    </row>
    <row r="477" spans="1:11" x14ac:dyDescent="0.25">
      <c r="A477" s="154">
        <v>40957</v>
      </c>
      <c r="B477" s="150" t="s">
        <v>451</v>
      </c>
      <c r="C477" s="57" t="s">
        <v>788</v>
      </c>
      <c r="D477" s="57" t="s">
        <v>26</v>
      </c>
      <c r="E477" s="153">
        <v>11.5</v>
      </c>
      <c r="F477" s="153">
        <v>66.069999999999993</v>
      </c>
      <c r="G477" s="164"/>
      <c r="H477" s="164">
        <v>759.80499999999995</v>
      </c>
      <c r="I477" s="58">
        <v>64</v>
      </c>
      <c r="K477" s="57"/>
    </row>
    <row r="478" spans="1:11" x14ac:dyDescent="0.25">
      <c r="A478" s="154">
        <v>40959</v>
      </c>
      <c r="B478" s="150" t="s">
        <v>773</v>
      </c>
      <c r="C478" s="57" t="s">
        <v>774</v>
      </c>
      <c r="D478" s="57" t="s">
        <v>26</v>
      </c>
      <c r="E478" s="153">
        <v>4</v>
      </c>
      <c r="F478" s="153">
        <v>42.79</v>
      </c>
      <c r="G478" s="164"/>
      <c r="H478" s="164">
        <v>171.16</v>
      </c>
      <c r="I478" s="58">
        <v>64</v>
      </c>
      <c r="K478" s="57"/>
    </row>
    <row r="479" spans="1:11" x14ac:dyDescent="0.25">
      <c r="A479" s="154">
        <v>40959</v>
      </c>
      <c r="B479" s="150" t="s">
        <v>450</v>
      </c>
      <c r="C479" s="57" t="s">
        <v>874</v>
      </c>
      <c r="D479" s="57" t="s">
        <v>26</v>
      </c>
      <c r="E479" s="153">
        <v>7.5</v>
      </c>
      <c r="F479" s="153">
        <v>46.5</v>
      </c>
      <c r="G479" s="164"/>
      <c r="H479" s="164">
        <v>348.75</v>
      </c>
      <c r="I479" s="58">
        <v>64</v>
      </c>
      <c r="K479" s="57"/>
    </row>
    <row r="480" spans="1:11" x14ac:dyDescent="0.25">
      <c r="A480" s="154">
        <v>40959</v>
      </c>
      <c r="B480" s="150" t="s">
        <v>776</v>
      </c>
      <c r="C480" s="57" t="s">
        <v>8</v>
      </c>
      <c r="D480" s="57" t="s">
        <v>26</v>
      </c>
      <c r="E480" s="153">
        <v>4</v>
      </c>
      <c r="F480" s="153">
        <v>35.35</v>
      </c>
      <c r="G480" s="164"/>
      <c r="H480" s="164">
        <v>141.4</v>
      </c>
      <c r="I480" s="58">
        <v>64</v>
      </c>
      <c r="K480" s="57"/>
    </row>
    <row r="481" spans="1:11" x14ac:dyDescent="0.25">
      <c r="A481" s="154">
        <v>40959</v>
      </c>
      <c r="B481" s="150" t="s">
        <v>782</v>
      </c>
      <c r="C481" s="57" t="s">
        <v>8</v>
      </c>
      <c r="D481" s="57" t="s">
        <v>26</v>
      </c>
      <c r="E481" s="153">
        <v>4</v>
      </c>
      <c r="F481" s="153">
        <v>35.35</v>
      </c>
      <c r="G481" s="164"/>
      <c r="H481" s="164">
        <v>141.4</v>
      </c>
      <c r="I481" s="58">
        <v>64</v>
      </c>
      <c r="K481" s="57"/>
    </row>
    <row r="482" spans="1:11" x14ac:dyDescent="0.25">
      <c r="A482" s="154">
        <v>40959</v>
      </c>
      <c r="B482" s="150" t="s">
        <v>875</v>
      </c>
      <c r="C482" s="57" t="s">
        <v>8</v>
      </c>
      <c r="D482" s="57" t="s">
        <v>26</v>
      </c>
      <c r="E482" s="153">
        <v>6.5</v>
      </c>
      <c r="F482" s="153">
        <v>42.624000000000002</v>
      </c>
      <c r="G482" s="164"/>
      <c r="H482" s="164">
        <v>277.05599999999998</v>
      </c>
      <c r="I482" s="58">
        <v>64</v>
      </c>
      <c r="K482" s="57"/>
    </row>
    <row r="483" spans="1:11" x14ac:dyDescent="0.25">
      <c r="A483" s="154">
        <v>40960</v>
      </c>
      <c r="B483" s="150" t="s">
        <v>773</v>
      </c>
      <c r="C483" s="57" t="s">
        <v>774</v>
      </c>
      <c r="D483" s="57" t="s">
        <v>26</v>
      </c>
      <c r="E483" s="153">
        <v>10.5</v>
      </c>
      <c r="F483" s="153">
        <v>42.79</v>
      </c>
      <c r="G483" s="164"/>
      <c r="H483" s="164">
        <v>449.29500000000002</v>
      </c>
      <c r="I483" s="58">
        <v>64</v>
      </c>
      <c r="K483" s="57"/>
    </row>
    <row r="484" spans="1:11" x14ac:dyDescent="0.25">
      <c r="A484" s="154">
        <v>40960</v>
      </c>
      <c r="B484" s="150" t="s">
        <v>450</v>
      </c>
      <c r="C484" s="57" t="s">
        <v>874</v>
      </c>
      <c r="D484" s="57" t="s">
        <v>26</v>
      </c>
      <c r="E484" s="153">
        <v>7.5</v>
      </c>
      <c r="F484" s="153">
        <v>46.5</v>
      </c>
      <c r="G484" s="164"/>
      <c r="H484" s="164">
        <v>348.75</v>
      </c>
      <c r="I484" s="58">
        <v>64</v>
      </c>
      <c r="K484" s="57"/>
    </row>
    <row r="485" spans="1:11" ht="30" x14ac:dyDescent="0.25">
      <c r="A485" s="154">
        <v>40968</v>
      </c>
      <c r="B485" s="150" t="s">
        <v>876</v>
      </c>
      <c r="C485" s="57" t="s">
        <v>873</v>
      </c>
      <c r="D485" s="57" t="s">
        <v>748</v>
      </c>
      <c r="E485" s="153">
        <v>1</v>
      </c>
      <c r="F485" s="153">
        <v>58418.64</v>
      </c>
      <c r="G485" s="164"/>
      <c r="H485" s="164">
        <v>58418.64</v>
      </c>
      <c r="I485" s="58">
        <v>64</v>
      </c>
      <c r="K485" s="57"/>
    </row>
    <row r="486" spans="1:11" x14ac:dyDescent="0.25">
      <c r="A486" s="154">
        <v>40994</v>
      </c>
      <c r="B486" s="150" t="s">
        <v>877</v>
      </c>
      <c r="C486" s="57" t="s">
        <v>878</v>
      </c>
      <c r="D486" s="57" t="s">
        <v>748</v>
      </c>
      <c r="E486" s="153">
        <v>1</v>
      </c>
      <c r="F486" s="153">
        <v>1485</v>
      </c>
      <c r="G486" s="164"/>
      <c r="H486" s="164">
        <v>1485</v>
      </c>
      <c r="I486" s="58">
        <v>64</v>
      </c>
      <c r="K486" s="57"/>
    </row>
    <row r="487" spans="1:11" x14ac:dyDescent="0.25">
      <c r="A487" s="154">
        <v>41082</v>
      </c>
      <c r="B487" s="150" t="s">
        <v>776</v>
      </c>
      <c r="C487" s="57" t="s">
        <v>8</v>
      </c>
      <c r="D487" s="57" t="s">
        <v>26</v>
      </c>
      <c r="E487" s="153">
        <v>11</v>
      </c>
      <c r="F487" s="153">
        <v>35.35</v>
      </c>
      <c r="G487" s="164"/>
      <c r="H487" s="164">
        <v>388.85</v>
      </c>
      <c r="I487" s="58">
        <v>64</v>
      </c>
      <c r="K487" s="57"/>
    </row>
    <row r="488" spans="1:11" x14ac:dyDescent="0.25">
      <c r="A488" s="154">
        <v>41082</v>
      </c>
      <c r="B488" s="150" t="s">
        <v>879</v>
      </c>
      <c r="C488" s="57" t="s">
        <v>830</v>
      </c>
      <c r="D488" s="57" t="s">
        <v>748</v>
      </c>
      <c r="E488" s="153">
        <v>1</v>
      </c>
      <c r="F488" s="153">
        <v>330</v>
      </c>
      <c r="G488" s="164"/>
      <c r="H488" s="164">
        <v>330</v>
      </c>
      <c r="I488" s="58">
        <v>64</v>
      </c>
      <c r="K488" s="57"/>
    </row>
    <row r="489" spans="1:11" x14ac:dyDescent="0.25">
      <c r="A489" s="154">
        <v>41082</v>
      </c>
      <c r="B489" s="150" t="s">
        <v>773</v>
      </c>
      <c r="C489" s="57" t="s">
        <v>774</v>
      </c>
      <c r="D489" s="57" t="s">
        <v>26</v>
      </c>
      <c r="E489" s="153">
        <v>10.5</v>
      </c>
      <c r="F489" s="153">
        <v>42.79</v>
      </c>
      <c r="G489" s="164"/>
      <c r="H489" s="164">
        <v>449.29500000000002</v>
      </c>
      <c r="I489" s="58">
        <v>64</v>
      </c>
      <c r="K489" s="57"/>
    </row>
    <row r="490" spans="1:11" x14ac:dyDescent="0.25">
      <c r="A490" s="154">
        <v>41082</v>
      </c>
      <c r="B490" s="150" t="s">
        <v>776</v>
      </c>
      <c r="C490" s="57" t="s">
        <v>8</v>
      </c>
      <c r="D490" s="57" t="s">
        <v>26</v>
      </c>
      <c r="E490" s="153">
        <v>11</v>
      </c>
      <c r="F490" s="153">
        <v>35.35</v>
      </c>
      <c r="G490" s="164"/>
      <c r="H490" s="164">
        <v>388.85</v>
      </c>
      <c r="I490" s="58">
        <v>64</v>
      </c>
      <c r="K490" s="57"/>
    </row>
    <row r="491" spans="1:11" x14ac:dyDescent="0.25">
      <c r="A491" s="154">
        <v>41082</v>
      </c>
      <c r="B491" s="150" t="s">
        <v>789</v>
      </c>
      <c r="C491" s="57" t="s">
        <v>790</v>
      </c>
      <c r="D491" s="57" t="s">
        <v>26</v>
      </c>
      <c r="E491" s="153">
        <v>10.5</v>
      </c>
      <c r="F491" s="153">
        <v>50</v>
      </c>
      <c r="G491" s="164"/>
      <c r="H491" s="164">
        <v>525</v>
      </c>
      <c r="I491" s="58">
        <v>64</v>
      </c>
      <c r="K491" s="57"/>
    </row>
    <row r="492" spans="1:11" x14ac:dyDescent="0.25">
      <c r="A492" s="154">
        <v>41082</v>
      </c>
      <c r="B492" s="150" t="s">
        <v>880</v>
      </c>
      <c r="C492" s="57" t="s">
        <v>8</v>
      </c>
      <c r="D492" s="57" t="s">
        <v>26</v>
      </c>
      <c r="E492" s="153">
        <v>11</v>
      </c>
      <c r="F492" s="153">
        <v>35.35</v>
      </c>
      <c r="G492" s="164"/>
      <c r="H492" s="164">
        <v>388.85</v>
      </c>
      <c r="I492" s="58">
        <v>64</v>
      </c>
      <c r="K492" s="57"/>
    </row>
    <row r="493" spans="1:11" x14ac:dyDescent="0.25">
      <c r="A493" s="154">
        <v>41082</v>
      </c>
      <c r="B493" s="150" t="s">
        <v>776</v>
      </c>
      <c r="C493" s="57" t="s">
        <v>8</v>
      </c>
      <c r="D493" s="57" t="s">
        <v>26</v>
      </c>
      <c r="E493" s="153">
        <v>11</v>
      </c>
      <c r="F493" s="153">
        <v>35.35</v>
      </c>
      <c r="G493" s="164"/>
      <c r="H493" s="164">
        <v>388.85</v>
      </c>
      <c r="I493" s="58">
        <v>64</v>
      </c>
      <c r="K493" s="57"/>
    </row>
    <row r="494" spans="1:11" x14ac:dyDescent="0.25">
      <c r="A494" s="154">
        <v>41083</v>
      </c>
      <c r="B494" s="150" t="s">
        <v>880</v>
      </c>
      <c r="C494" s="57" t="s">
        <v>8</v>
      </c>
      <c r="D494" s="57" t="s">
        <v>26</v>
      </c>
      <c r="E494" s="153">
        <v>4.5</v>
      </c>
      <c r="F494" s="153">
        <v>35.35</v>
      </c>
      <c r="G494" s="164"/>
      <c r="H494" s="164">
        <v>159.07499999999999</v>
      </c>
      <c r="I494" s="58">
        <v>64</v>
      </c>
      <c r="K494" s="57"/>
    </row>
    <row r="495" spans="1:11" x14ac:dyDescent="0.25">
      <c r="A495" s="154">
        <v>41083</v>
      </c>
      <c r="B495" s="150" t="s">
        <v>789</v>
      </c>
      <c r="C495" s="57" t="s">
        <v>790</v>
      </c>
      <c r="D495" s="57" t="s">
        <v>26</v>
      </c>
      <c r="E495" s="153">
        <v>4.5</v>
      </c>
      <c r="F495" s="153">
        <v>50</v>
      </c>
      <c r="G495" s="164"/>
      <c r="H495" s="164">
        <v>225</v>
      </c>
      <c r="I495" s="58">
        <v>64</v>
      </c>
      <c r="K495" s="57"/>
    </row>
    <row r="496" spans="1:11" x14ac:dyDescent="0.25">
      <c r="A496" s="154">
        <v>41083</v>
      </c>
      <c r="B496" s="150" t="s">
        <v>776</v>
      </c>
      <c r="C496" s="57" t="s">
        <v>8</v>
      </c>
      <c r="D496" s="57" t="s">
        <v>26</v>
      </c>
      <c r="E496" s="153">
        <v>4.5</v>
      </c>
      <c r="F496" s="153">
        <v>35.35</v>
      </c>
      <c r="G496" s="164"/>
      <c r="H496" s="164">
        <v>159.07499999999999</v>
      </c>
      <c r="I496" s="58">
        <v>64</v>
      </c>
      <c r="K496" s="57"/>
    </row>
    <row r="497" spans="1:11" x14ac:dyDescent="0.25">
      <c r="A497" s="154">
        <v>41083</v>
      </c>
      <c r="B497" s="150" t="s">
        <v>776</v>
      </c>
      <c r="C497" s="57" t="s">
        <v>8</v>
      </c>
      <c r="D497" s="57" t="s">
        <v>26</v>
      </c>
      <c r="E497" s="153">
        <v>4.5</v>
      </c>
      <c r="F497" s="153">
        <v>35.35</v>
      </c>
      <c r="G497" s="164"/>
      <c r="H497" s="164">
        <v>159.07499999999999</v>
      </c>
      <c r="I497" s="58">
        <v>64</v>
      </c>
      <c r="K497" s="57"/>
    </row>
    <row r="498" spans="1:11" x14ac:dyDescent="0.25">
      <c r="A498" s="154">
        <v>41083</v>
      </c>
      <c r="B498" s="150" t="s">
        <v>791</v>
      </c>
      <c r="C498" s="57" t="s">
        <v>1189</v>
      </c>
      <c r="D498" s="57" t="s">
        <v>26</v>
      </c>
      <c r="E498" s="153">
        <v>2.5</v>
      </c>
      <c r="F498" s="153">
        <v>130</v>
      </c>
      <c r="G498" s="164"/>
      <c r="H498" s="164">
        <v>325</v>
      </c>
      <c r="I498" s="58">
        <v>64</v>
      </c>
      <c r="K498" s="57"/>
    </row>
    <row r="499" spans="1:11" x14ac:dyDescent="0.25">
      <c r="A499" s="154">
        <v>41083</v>
      </c>
      <c r="B499" s="150" t="s">
        <v>776</v>
      </c>
      <c r="C499" s="57" t="s">
        <v>8</v>
      </c>
      <c r="D499" s="57" t="s">
        <v>26</v>
      </c>
      <c r="E499" s="153">
        <v>4.5</v>
      </c>
      <c r="F499" s="153">
        <v>35.35</v>
      </c>
      <c r="G499" s="164"/>
      <c r="H499" s="164">
        <v>159.07499999999999</v>
      </c>
      <c r="I499" s="58">
        <v>64</v>
      </c>
      <c r="K499" s="57"/>
    </row>
    <row r="500" spans="1:11" x14ac:dyDescent="0.25">
      <c r="A500" s="154">
        <v>41083</v>
      </c>
      <c r="B500" s="150" t="s">
        <v>773</v>
      </c>
      <c r="C500" s="57" t="s">
        <v>774</v>
      </c>
      <c r="D500" s="57" t="s">
        <v>26</v>
      </c>
      <c r="E500" s="153">
        <v>4.5</v>
      </c>
      <c r="F500" s="153">
        <v>42.79</v>
      </c>
      <c r="G500" s="164"/>
      <c r="H500" s="164">
        <v>192.55500000000001</v>
      </c>
      <c r="I500" s="58">
        <v>64</v>
      </c>
      <c r="K500" s="57"/>
    </row>
    <row r="501" spans="1:11" x14ac:dyDescent="0.25">
      <c r="A501" s="154">
        <v>41090</v>
      </c>
      <c r="B501" s="150" t="s">
        <v>880</v>
      </c>
      <c r="C501" s="57" t="s">
        <v>8</v>
      </c>
      <c r="D501" s="57" t="s">
        <v>26</v>
      </c>
      <c r="E501" s="153">
        <v>9.5</v>
      </c>
      <c r="F501" s="153">
        <v>35.35</v>
      </c>
      <c r="G501" s="164"/>
      <c r="H501" s="164">
        <v>335.82499999999999</v>
      </c>
      <c r="I501" s="58">
        <v>64</v>
      </c>
      <c r="K501" s="57"/>
    </row>
    <row r="502" spans="1:11" x14ac:dyDescent="0.25">
      <c r="A502" s="154">
        <v>41090</v>
      </c>
      <c r="B502" s="150" t="s">
        <v>789</v>
      </c>
      <c r="C502" s="57" t="s">
        <v>790</v>
      </c>
      <c r="D502" s="57" t="s">
        <v>26</v>
      </c>
      <c r="E502" s="153">
        <v>9.5</v>
      </c>
      <c r="F502" s="153">
        <v>50</v>
      </c>
      <c r="G502" s="164"/>
      <c r="H502" s="164">
        <v>475</v>
      </c>
      <c r="I502" s="58">
        <v>64</v>
      </c>
      <c r="K502" s="57"/>
    </row>
    <row r="503" spans="1:11" x14ac:dyDescent="0.25">
      <c r="A503" s="154">
        <v>41090</v>
      </c>
      <c r="B503" s="150" t="s">
        <v>776</v>
      </c>
      <c r="C503" s="57" t="s">
        <v>8</v>
      </c>
      <c r="D503" s="57" t="s">
        <v>26</v>
      </c>
      <c r="E503" s="153">
        <v>9.5</v>
      </c>
      <c r="F503" s="153">
        <v>35.35</v>
      </c>
      <c r="G503" s="164"/>
      <c r="H503" s="164">
        <v>335.82499999999999</v>
      </c>
      <c r="I503" s="58">
        <v>64</v>
      </c>
      <c r="K503" s="57"/>
    </row>
    <row r="504" spans="1:11" x14ac:dyDescent="0.25">
      <c r="A504" s="154">
        <v>41090</v>
      </c>
      <c r="B504" s="150" t="s">
        <v>776</v>
      </c>
      <c r="C504" s="57" t="s">
        <v>8</v>
      </c>
      <c r="D504" s="57" t="s">
        <v>26</v>
      </c>
      <c r="E504" s="153">
        <v>9.5</v>
      </c>
      <c r="F504" s="153">
        <v>35.35</v>
      </c>
      <c r="G504" s="164"/>
      <c r="H504" s="164">
        <v>335.82499999999999</v>
      </c>
      <c r="I504" s="58">
        <v>64</v>
      </c>
      <c r="K504" s="57"/>
    </row>
    <row r="505" spans="1:11" x14ac:dyDescent="0.25">
      <c r="A505" s="154">
        <v>41090</v>
      </c>
      <c r="B505" s="150" t="s">
        <v>776</v>
      </c>
      <c r="C505" s="57" t="s">
        <v>8</v>
      </c>
      <c r="D505" s="57" t="s">
        <v>26</v>
      </c>
      <c r="E505" s="153">
        <v>9.5</v>
      </c>
      <c r="F505" s="153">
        <v>35.35</v>
      </c>
      <c r="G505" s="164"/>
      <c r="H505" s="164">
        <v>335.82499999999999</v>
      </c>
      <c r="I505" s="58">
        <v>64</v>
      </c>
      <c r="K505" s="57"/>
    </row>
    <row r="506" spans="1:11" x14ac:dyDescent="0.25">
      <c r="A506" s="154">
        <v>41090</v>
      </c>
      <c r="B506" s="150" t="s">
        <v>881</v>
      </c>
      <c r="C506" s="57" t="s">
        <v>872</v>
      </c>
      <c r="D506" s="57" t="s">
        <v>748</v>
      </c>
      <c r="E506" s="153">
        <v>1</v>
      </c>
      <c r="F506" s="153">
        <v>94677.7</v>
      </c>
      <c r="G506" s="164"/>
      <c r="H506" s="164">
        <v>94677.7</v>
      </c>
      <c r="I506" s="58">
        <v>64</v>
      </c>
      <c r="K506" s="57"/>
    </row>
    <row r="507" spans="1:11" x14ac:dyDescent="0.25">
      <c r="A507" s="169" t="s">
        <v>682</v>
      </c>
      <c r="B507" s="170" t="s">
        <v>882</v>
      </c>
      <c r="C507" s="171" t="s">
        <v>682</v>
      </c>
      <c r="D507" s="171" t="s">
        <v>682</v>
      </c>
      <c r="E507" s="172"/>
      <c r="F507" s="172"/>
      <c r="G507" s="173"/>
      <c r="H507" s="173">
        <v>277417.8060000001</v>
      </c>
      <c r="I507" s="174" t="s">
        <v>682</v>
      </c>
      <c r="K507" s="57"/>
    </row>
    <row r="508" spans="1:11" x14ac:dyDescent="0.25">
      <c r="A508" s="154" t="s">
        <v>682</v>
      </c>
      <c r="B508" s="150" t="s">
        <v>682</v>
      </c>
      <c r="C508" s="57" t="s">
        <v>682</v>
      </c>
      <c r="D508" s="57" t="s">
        <v>682</v>
      </c>
      <c r="E508" s="153"/>
      <c r="F508" s="153"/>
      <c r="G508" s="164"/>
      <c r="H508" s="164"/>
      <c r="I508" s="58" t="s">
        <v>682</v>
      </c>
      <c r="K508" s="57"/>
    </row>
    <row r="509" spans="1:11" x14ac:dyDescent="0.25">
      <c r="A509" s="166" t="s">
        <v>682</v>
      </c>
      <c r="B509" s="165" t="s">
        <v>883</v>
      </c>
      <c r="C509" s="60" t="s">
        <v>682</v>
      </c>
      <c r="D509" s="60" t="s">
        <v>682</v>
      </c>
      <c r="E509" s="167"/>
      <c r="F509" s="167"/>
      <c r="G509" s="168"/>
      <c r="H509" s="168"/>
      <c r="I509" s="46" t="s">
        <v>682</v>
      </c>
      <c r="K509" s="57"/>
    </row>
    <row r="510" spans="1:11" x14ac:dyDescent="0.25">
      <c r="A510" s="154">
        <v>40959</v>
      </c>
      <c r="B510" s="150" t="s">
        <v>782</v>
      </c>
      <c r="C510" s="57" t="s">
        <v>8</v>
      </c>
      <c r="D510" s="57" t="s">
        <v>26</v>
      </c>
      <c r="E510" s="153">
        <v>3.5</v>
      </c>
      <c r="F510" s="153">
        <v>35.35</v>
      </c>
      <c r="G510" s="164"/>
      <c r="H510" s="164">
        <v>123.72499999999999</v>
      </c>
      <c r="I510" s="58">
        <v>65</v>
      </c>
      <c r="K510" s="57"/>
    </row>
    <row r="511" spans="1:11" x14ac:dyDescent="0.25">
      <c r="A511" s="154">
        <v>40960</v>
      </c>
      <c r="B511" s="150" t="s">
        <v>776</v>
      </c>
      <c r="C511" s="57" t="s">
        <v>8</v>
      </c>
      <c r="D511" s="57" t="s">
        <v>26</v>
      </c>
      <c r="E511" s="153">
        <v>10.5</v>
      </c>
      <c r="F511" s="153">
        <v>35.35</v>
      </c>
      <c r="G511" s="164"/>
      <c r="H511" s="164">
        <v>371.17500000000001</v>
      </c>
      <c r="I511" s="58">
        <v>65</v>
      </c>
      <c r="K511" s="57"/>
    </row>
    <row r="512" spans="1:11" x14ac:dyDescent="0.25">
      <c r="A512" s="154">
        <v>40960</v>
      </c>
      <c r="B512" s="150" t="s">
        <v>782</v>
      </c>
      <c r="C512" s="57" t="s">
        <v>8</v>
      </c>
      <c r="D512" s="57" t="s">
        <v>26</v>
      </c>
      <c r="E512" s="153">
        <v>10.5</v>
      </c>
      <c r="F512" s="153">
        <v>35.35</v>
      </c>
      <c r="G512" s="164"/>
      <c r="H512" s="164">
        <v>371.17500000000001</v>
      </c>
      <c r="I512" s="58">
        <v>65</v>
      </c>
      <c r="K512" s="57"/>
    </row>
    <row r="513" spans="1:11" x14ac:dyDescent="0.25">
      <c r="A513" s="154">
        <v>40960</v>
      </c>
      <c r="B513" s="150" t="s">
        <v>776</v>
      </c>
      <c r="C513" s="57" t="s">
        <v>8</v>
      </c>
      <c r="D513" s="57" t="s">
        <v>26</v>
      </c>
      <c r="E513" s="153">
        <v>10.5</v>
      </c>
      <c r="F513" s="153">
        <v>35.35</v>
      </c>
      <c r="G513" s="164"/>
      <c r="H513" s="164">
        <v>371.17500000000001</v>
      </c>
      <c r="I513" s="58">
        <v>65</v>
      </c>
      <c r="K513" s="57"/>
    </row>
    <row r="514" spans="1:11" x14ac:dyDescent="0.25">
      <c r="A514" s="154">
        <v>40960</v>
      </c>
      <c r="B514" s="150" t="s">
        <v>780</v>
      </c>
      <c r="C514" s="57" t="s">
        <v>8</v>
      </c>
      <c r="D514" s="57" t="s">
        <v>26</v>
      </c>
      <c r="E514" s="153">
        <v>7</v>
      </c>
      <c r="F514" s="153">
        <v>35.35</v>
      </c>
      <c r="G514" s="164"/>
      <c r="H514" s="164">
        <v>247.45</v>
      </c>
      <c r="I514" s="58">
        <v>65</v>
      </c>
      <c r="K514" s="57"/>
    </row>
    <row r="515" spans="1:11" x14ac:dyDescent="0.25">
      <c r="A515" s="154">
        <v>40961</v>
      </c>
      <c r="B515" s="150" t="s">
        <v>776</v>
      </c>
      <c r="C515" s="57" t="s">
        <v>8</v>
      </c>
      <c r="D515" s="57" t="s">
        <v>26</v>
      </c>
      <c r="E515" s="153">
        <v>10.5</v>
      </c>
      <c r="F515" s="153">
        <v>35.35</v>
      </c>
      <c r="G515" s="164"/>
      <c r="H515" s="164">
        <v>371.17500000000001</v>
      </c>
      <c r="I515" s="58">
        <v>65</v>
      </c>
      <c r="K515" s="57"/>
    </row>
    <row r="516" spans="1:11" x14ac:dyDescent="0.25">
      <c r="A516" s="154">
        <v>40961</v>
      </c>
      <c r="B516" s="150" t="s">
        <v>773</v>
      </c>
      <c r="C516" s="57" t="s">
        <v>774</v>
      </c>
      <c r="D516" s="57" t="s">
        <v>26</v>
      </c>
      <c r="E516" s="153">
        <v>10.5</v>
      </c>
      <c r="F516" s="153">
        <v>42.79</v>
      </c>
      <c r="G516" s="164"/>
      <c r="H516" s="164">
        <v>449.29500000000002</v>
      </c>
      <c r="I516" s="58">
        <v>65</v>
      </c>
      <c r="K516" s="57"/>
    </row>
    <row r="517" spans="1:11" x14ac:dyDescent="0.25">
      <c r="A517" s="154">
        <v>40961</v>
      </c>
      <c r="B517" s="150" t="s">
        <v>776</v>
      </c>
      <c r="C517" s="57" t="s">
        <v>8</v>
      </c>
      <c r="D517" s="57" t="s">
        <v>26</v>
      </c>
      <c r="E517" s="153">
        <v>10.5</v>
      </c>
      <c r="F517" s="153">
        <v>35.35</v>
      </c>
      <c r="G517" s="164"/>
      <c r="H517" s="164">
        <v>371.17500000000001</v>
      </c>
      <c r="I517" s="58">
        <v>65</v>
      </c>
      <c r="K517" s="57"/>
    </row>
    <row r="518" spans="1:11" x14ac:dyDescent="0.25">
      <c r="A518" s="154">
        <v>40961</v>
      </c>
      <c r="B518" s="150" t="s">
        <v>782</v>
      </c>
      <c r="C518" s="57" t="s">
        <v>8</v>
      </c>
      <c r="D518" s="57" t="s">
        <v>26</v>
      </c>
      <c r="E518" s="153">
        <v>10.5</v>
      </c>
      <c r="F518" s="153">
        <v>35.35</v>
      </c>
      <c r="G518" s="164"/>
      <c r="H518" s="164">
        <v>371.17500000000001</v>
      </c>
      <c r="I518" s="58">
        <v>65</v>
      </c>
      <c r="K518" s="57"/>
    </row>
    <row r="519" spans="1:11" x14ac:dyDescent="0.25">
      <c r="A519" s="154">
        <v>40961</v>
      </c>
      <c r="B519" s="150" t="s">
        <v>450</v>
      </c>
      <c r="C519" s="57" t="s">
        <v>874</v>
      </c>
      <c r="D519" s="57" t="s">
        <v>26</v>
      </c>
      <c r="E519" s="153">
        <v>7.5</v>
      </c>
      <c r="F519" s="153">
        <v>46.5</v>
      </c>
      <c r="G519" s="164"/>
      <c r="H519" s="164">
        <v>348.75</v>
      </c>
      <c r="I519" s="58">
        <v>65</v>
      </c>
      <c r="K519" s="57"/>
    </row>
    <row r="520" spans="1:11" x14ac:dyDescent="0.25">
      <c r="A520" s="154">
        <v>40968</v>
      </c>
      <c r="B520" s="150" t="s">
        <v>884</v>
      </c>
      <c r="C520" s="57" t="s">
        <v>885</v>
      </c>
      <c r="D520" s="57" t="s">
        <v>748</v>
      </c>
      <c r="E520" s="153">
        <v>1</v>
      </c>
      <c r="F520" s="153">
        <v>199063.11</v>
      </c>
      <c r="G520" s="164"/>
      <c r="H520" s="164">
        <v>199063.11</v>
      </c>
      <c r="I520" s="58">
        <v>65</v>
      </c>
      <c r="K520" s="57"/>
    </row>
    <row r="521" spans="1:11" x14ac:dyDescent="0.25">
      <c r="A521" s="169" t="s">
        <v>682</v>
      </c>
      <c r="B521" s="170" t="s">
        <v>886</v>
      </c>
      <c r="C521" s="171" t="s">
        <v>682</v>
      </c>
      <c r="D521" s="171" t="s">
        <v>682</v>
      </c>
      <c r="E521" s="172"/>
      <c r="F521" s="172"/>
      <c r="G521" s="173"/>
      <c r="H521" s="173">
        <v>202459.37999999998</v>
      </c>
      <c r="I521" s="174" t="s">
        <v>682</v>
      </c>
      <c r="K521" s="57"/>
    </row>
    <row r="522" spans="1:11" x14ac:dyDescent="0.25">
      <c r="A522" s="154" t="s">
        <v>682</v>
      </c>
      <c r="B522" s="150" t="s">
        <v>682</v>
      </c>
      <c r="C522" s="57" t="s">
        <v>682</v>
      </c>
      <c r="D522" s="57" t="s">
        <v>682</v>
      </c>
      <c r="E522" s="153"/>
      <c r="F522" s="153"/>
      <c r="G522" s="164"/>
      <c r="H522" s="164"/>
      <c r="I522" s="58" t="s">
        <v>682</v>
      </c>
      <c r="K522" s="57"/>
    </row>
    <row r="523" spans="1:11" x14ac:dyDescent="0.25">
      <c r="A523" s="166" t="s">
        <v>682</v>
      </c>
      <c r="B523" s="165" t="s">
        <v>887</v>
      </c>
      <c r="C523" s="60" t="s">
        <v>682</v>
      </c>
      <c r="D523" s="60" t="s">
        <v>682</v>
      </c>
      <c r="E523" s="167"/>
      <c r="F523" s="167"/>
      <c r="G523" s="168"/>
      <c r="H523" s="168"/>
      <c r="I523" s="46" t="s">
        <v>682</v>
      </c>
      <c r="K523" s="57"/>
    </row>
    <row r="524" spans="1:11" x14ac:dyDescent="0.25">
      <c r="A524" s="154">
        <v>41085</v>
      </c>
      <c r="B524" s="150" t="s">
        <v>888</v>
      </c>
      <c r="C524" s="57" t="s">
        <v>889</v>
      </c>
      <c r="D524" s="57" t="s">
        <v>748</v>
      </c>
      <c r="E524" s="153">
        <v>1</v>
      </c>
      <c r="F524" s="153">
        <v>4529</v>
      </c>
      <c r="G524" s="164"/>
      <c r="H524" s="164">
        <v>4529</v>
      </c>
      <c r="I524" s="58">
        <v>66</v>
      </c>
      <c r="K524" s="57"/>
    </row>
    <row r="525" spans="1:11" x14ac:dyDescent="0.25">
      <c r="A525" s="154">
        <v>41085</v>
      </c>
      <c r="B525" s="150" t="s">
        <v>890</v>
      </c>
      <c r="C525" s="57" t="s">
        <v>891</v>
      </c>
      <c r="D525" s="57" t="s">
        <v>748</v>
      </c>
      <c r="E525" s="153">
        <v>1</v>
      </c>
      <c r="F525" s="153">
        <v>1093</v>
      </c>
      <c r="G525" s="164"/>
      <c r="H525" s="164">
        <v>1093</v>
      </c>
      <c r="I525" s="58">
        <v>66</v>
      </c>
      <c r="K525" s="57"/>
    </row>
    <row r="526" spans="1:11" x14ac:dyDescent="0.25">
      <c r="A526" s="169" t="s">
        <v>682</v>
      </c>
      <c r="B526" s="170" t="s">
        <v>892</v>
      </c>
      <c r="C526" s="171" t="s">
        <v>682</v>
      </c>
      <c r="D526" s="171" t="s">
        <v>682</v>
      </c>
      <c r="E526" s="172"/>
      <c r="F526" s="172"/>
      <c r="G526" s="173"/>
      <c r="H526" s="173">
        <v>5622</v>
      </c>
      <c r="I526" s="174" t="s">
        <v>682</v>
      </c>
      <c r="K526" s="57"/>
    </row>
    <row r="527" spans="1:11" x14ac:dyDescent="0.25">
      <c r="A527" s="154" t="s">
        <v>682</v>
      </c>
      <c r="B527" s="150" t="s">
        <v>682</v>
      </c>
      <c r="C527" s="57" t="s">
        <v>682</v>
      </c>
      <c r="D527" s="57" t="s">
        <v>682</v>
      </c>
      <c r="E527" s="153"/>
      <c r="F527" s="153"/>
      <c r="G527" s="164"/>
      <c r="H527" s="164"/>
      <c r="I527" s="58" t="s">
        <v>682</v>
      </c>
      <c r="K527" s="57"/>
    </row>
    <row r="528" spans="1:11" x14ac:dyDescent="0.25">
      <c r="A528" s="166" t="s">
        <v>682</v>
      </c>
      <c r="B528" s="165" t="s">
        <v>893</v>
      </c>
      <c r="C528" s="60" t="s">
        <v>682</v>
      </c>
      <c r="D528" s="60" t="s">
        <v>682</v>
      </c>
      <c r="E528" s="167"/>
      <c r="F528" s="167"/>
      <c r="G528" s="168"/>
      <c r="H528" s="168"/>
      <c r="I528" s="46" t="s">
        <v>682</v>
      </c>
      <c r="K528" s="57"/>
    </row>
    <row r="529" spans="1:11" x14ac:dyDescent="0.25">
      <c r="A529" s="154">
        <v>40953</v>
      </c>
      <c r="B529" s="150" t="s">
        <v>894</v>
      </c>
      <c r="C529" s="57" t="s">
        <v>8</v>
      </c>
      <c r="D529" s="57" t="s">
        <v>26</v>
      </c>
      <c r="E529" s="153">
        <v>6.5</v>
      </c>
      <c r="F529" s="153">
        <v>45</v>
      </c>
      <c r="G529" s="164"/>
      <c r="H529" s="164">
        <v>292.5</v>
      </c>
      <c r="I529" s="58">
        <v>67</v>
      </c>
      <c r="K529" s="57"/>
    </row>
    <row r="530" spans="1:11" x14ac:dyDescent="0.25">
      <c r="A530" s="154">
        <v>40960</v>
      </c>
      <c r="B530" s="150" t="s">
        <v>894</v>
      </c>
      <c r="C530" s="57" t="s">
        <v>8</v>
      </c>
      <c r="D530" s="57" t="s">
        <v>26</v>
      </c>
      <c r="E530" s="153">
        <v>8</v>
      </c>
      <c r="F530" s="153">
        <v>45</v>
      </c>
      <c r="G530" s="164"/>
      <c r="H530" s="164">
        <v>360</v>
      </c>
      <c r="I530" s="58">
        <v>67</v>
      </c>
      <c r="K530" s="57"/>
    </row>
    <row r="531" spans="1:11" x14ac:dyDescent="0.25">
      <c r="A531" s="154">
        <v>40960</v>
      </c>
      <c r="B531" s="150" t="s">
        <v>850</v>
      </c>
      <c r="C531" s="57" t="s">
        <v>8</v>
      </c>
      <c r="D531" s="57" t="s">
        <v>26</v>
      </c>
      <c r="E531" s="153">
        <v>10.5</v>
      </c>
      <c r="F531" s="153">
        <v>40.97</v>
      </c>
      <c r="G531" s="164"/>
      <c r="H531" s="164">
        <v>430.185</v>
      </c>
      <c r="I531" s="58">
        <v>67</v>
      </c>
      <c r="K531" s="57"/>
    </row>
    <row r="532" spans="1:11" x14ac:dyDescent="0.25">
      <c r="A532" s="154">
        <v>40960</v>
      </c>
      <c r="B532" s="150" t="s">
        <v>875</v>
      </c>
      <c r="C532" s="57" t="s">
        <v>8</v>
      </c>
      <c r="D532" s="57" t="s">
        <v>26</v>
      </c>
      <c r="E532" s="153">
        <v>6.5</v>
      </c>
      <c r="F532" s="153">
        <v>42.624000000000002</v>
      </c>
      <c r="G532" s="164"/>
      <c r="H532" s="164">
        <v>277.05599999999998</v>
      </c>
      <c r="I532" s="58">
        <v>67</v>
      </c>
      <c r="K532" s="57"/>
    </row>
    <row r="533" spans="1:11" x14ac:dyDescent="0.25">
      <c r="A533" s="154">
        <v>40960</v>
      </c>
      <c r="B533" s="150" t="s">
        <v>1188</v>
      </c>
      <c r="C533" s="57" t="s">
        <v>775</v>
      </c>
      <c r="D533" s="57" t="s">
        <v>26</v>
      </c>
      <c r="E533" s="153">
        <v>4</v>
      </c>
      <c r="F533" s="153">
        <v>80</v>
      </c>
      <c r="G533" s="164"/>
      <c r="H533" s="164">
        <v>320</v>
      </c>
      <c r="I533" s="58">
        <v>67</v>
      </c>
      <c r="K533" s="57"/>
    </row>
    <row r="534" spans="1:11" x14ac:dyDescent="0.25">
      <c r="A534" s="154">
        <v>40966</v>
      </c>
      <c r="B534" s="150" t="s">
        <v>895</v>
      </c>
      <c r="C534" s="57" t="s">
        <v>8</v>
      </c>
      <c r="D534" s="57" t="s">
        <v>26</v>
      </c>
      <c r="E534" s="153">
        <v>2.5</v>
      </c>
      <c r="F534" s="153">
        <v>40.97</v>
      </c>
      <c r="G534" s="164"/>
      <c r="H534" s="164">
        <v>102.425</v>
      </c>
      <c r="I534" s="58">
        <v>67</v>
      </c>
      <c r="K534" s="57"/>
    </row>
    <row r="535" spans="1:11" x14ac:dyDescent="0.25">
      <c r="A535" s="154">
        <v>40966</v>
      </c>
      <c r="B535" s="150" t="s">
        <v>776</v>
      </c>
      <c r="C535" s="57" t="s">
        <v>8</v>
      </c>
      <c r="D535" s="57" t="s">
        <v>26</v>
      </c>
      <c r="E535" s="153">
        <v>3</v>
      </c>
      <c r="F535" s="153">
        <v>35.35</v>
      </c>
      <c r="G535" s="164"/>
      <c r="H535" s="164">
        <v>106.05</v>
      </c>
      <c r="I535" s="58">
        <v>67</v>
      </c>
      <c r="K535" s="57"/>
    </row>
    <row r="536" spans="1:11" x14ac:dyDescent="0.25">
      <c r="A536" s="154">
        <v>40966</v>
      </c>
      <c r="B536" s="150" t="s">
        <v>875</v>
      </c>
      <c r="C536" s="57" t="s">
        <v>8</v>
      </c>
      <c r="D536" s="57" t="s">
        <v>26</v>
      </c>
      <c r="E536" s="153">
        <v>3.5</v>
      </c>
      <c r="F536" s="153">
        <v>42.624000000000002</v>
      </c>
      <c r="G536" s="164"/>
      <c r="H536" s="164">
        <v>149.184</v>
      </c>
      <c r="I536" s="58">
        <v>67</v>
      </c>
      <c r="K536" s="57"/>
    </row>
    <row r="537" spans="1:11" x14ac:dyDescent="0.25">
      <c r="A537" s="154">
        <v>40966</v>
      </c>
      <c r="B537" s="150" t="s">
        <v>780</v>
      </c>
      <c r="C537" s="57" t="s">
        <v>8</v>
      </c>
      <c r="D537" s="57" t="s">
        <v>26</v>
      </c>
      <c r="E537" s="153">
        <v>3</v>
      </c>
      <c r="F537" s="153">
        <v>35.35</v>
      </c>
      <c r="G537" s="164"/>
      <c r="H537" s="164">
        <v>106.05</v>
      </c>
      <c r="I537" s="58">
        <v>67</v>
      </c>
      <c r="K537" s="57"/>
    </row>
    <row r="538" spans="1:11" ht="30" x14ac:dyDescent="0.25">
      <c r="A538" s="154">
        <v>40968</v>
      </c>
      <c r="B538" s="150" t="s">
        <v>896</v>
      </c>
      <c r="C538" s="57" t="s">
        <v>793</v>
      </c>
      <c r="D538" s="57" t="s">
        <v>748</v>
      </c>
      <c r="E538" s="153">
        <v>1</v>
      </c>
      <c r="F538" s="153">
        <v>66</v>
      </c>
      <c r="G538" s="164"/>
      <c r="H538" s="164">
        <v>66</v>
      </c>
      <c r="I538" s="58">
        <v>67</v>
      </c>
      <c r="K538" s="57"/>
    </row>
    <row r="539" spans="1:11" x14ac:dyDescent="0.25">
      <c r="A539" s="169" t="s">
        <v>682</v>
      </c>
      <c r="B539" s="170" t="s">
        <v>897</v>
      </c>
      <c r="C539" s="171" t="s">
        <v>682</v>
      </c>
      <c r="D539" s="171" t="s">
        <v>682</v>
      </c>
      <c r="E539" s="172"/>
      <c r="F539" s="172"/>
      <c r="G539" s="173"/>
      <c r="H539" s="173">
        <v>2209.4499999999998</v>
      </c>
      <c r="I539" s="174" t="s">
        <v>682</v>
      </c>
      <c r="K539" s="57"/>
    </row>
    <row r="540" spans="1:11" x14ac:dyDescent="0.25">
      <c r="A540" s="154" t="s">
        <v>682</v>
      </c>
      <c r="B540" s="150" t="s">
        <v>682</v>
      </c>
      <c r="C540" s="57" t="s">
        <v>682</v>
      </c>
      <c r="D540" s="57" t="s">
        <v>682</v>
      </c>
      <c r="E540" s="153"/>
      <c r="F540" s="153"/>
      <c r="G540" s="164"/>
      <c r="H540" s="164"/>
      <c r="I540" s="58" t="s">
        <v>682</v>
      </c>
      <c r="K540" s="57"/>
    </row>
    <row r="541" spans="1:11" x14ac:dyDescent="0.25">
      <c r="A541" s="166" t="s">
        <v>682</v>
      </c>
      <c r="B541" s="165" t="s">
        <v>898</v>
      </c>
      <c r="C541" s="60" t="s">
        <v>682</v>
      </c>
      <c r="D541" s="60" t="s">
        <v>682</v>
      </c>
      <c r="E541" s="167"/>
      <c r="F541" s="167"/>
      <c r="G541" s="168"/>
      <c r="H541" s="168"/>
      <c r="I541" s="46" t="s">
        <v>682</v>
      </c>
      <c r="K541" s="57"/>
    </row>
    <row r="542" spans="1:11" x14ac:dyDescent="0.25">
      <c r="A542" s="154">
        <v>41068</v>
      </c>
      <c r="B542" s="150" t="s">
        <v>899</v>
      </c>
      <c r="C542" s="57" t="s">
        <v>900</v>
      </c>
      <c r="D542" s="57" t="s">
        <v>25</v>
      </c>
      <c r="E542" s="153">
        <v>1</v>
      </c>
      <c r="F542" s="153">
        <v>2500</v>
      </c>
      <c r="G542" s="164"/>
      <c r="H542" s="164">
        <v>2500</v>
      </c>
      <c r="I542" s="58">
        <v>68</v>
      </c>
      <c r="K542" s="57"/>
    </row>
    <row r="543" spans="1:11" x14ac:dyDescent="0.25">
      <c r="A543" s="154">
        <v>41068</v>
      </c>
      <c r="B543" s="150" t="s">
        <v>809</v>
      </c>
      <c r="C543" s="57" t="s">
        <v>810</v>
      </c>
      <c r="D543" s="57" t="s">
        <v>25</v>
      </c>
      <c r="E543" s="153">
        <v>1</v>
      </c>
      <c r="F543" s="153">
        <v>2500</v>
      </c>
      <c r="G543" s="164"/>
      <c r="H543" s="164">
        <v>2500</v>
      </c>
      <c r="I543" s="58">
        <v>68</v>
      </c>
      <c r="K543" s="57"/>
    </row>
    <row r="544" spans="1:11" x14ac:dyDescent="0.25">
      <c r="A544" s="154">
        <v>41069</v>
      </c>
      <c r="B544" s="150" t="s">
        <v>782</v>
      </c>
      <c r="C544" s="57" t="s">
        <v>8</v>
      </c>
      <c r="D544" s="57" t="s">
        <v>26</v>
      </c>
      <c r="E544" s="153">
        <v>11.5</v>
      </c>
      <c r="F544" s="153">
        <v>74.650000000000006</v>
      </c>
      <c r="G544" s="164"/>
      <c r="H544" s="164">
        <v>858.47500000000002</v>
      </c>
      <c r="I544" s="58">
        <v>68</v>
      </c>
      <c r="K544" s="57"/>
    </row>
    <row r="545" spans="1:11" x14ac:dyDescent="0.25">
      <c r="A545" s="154">
        <v>41069</v>
      </c>
      <c r="B545" s="150" t="s">
        <v>776</v>
      </c>
      <c r="C545" s="57" t="s">
        <v>8</v>
      </c>
      <c r="D545" s="57" t="s">
        <v>26</v>
      </c>
      <c r="E545" s="153">
        <v>11.5</v>
      </c>
      <c r="F545" s="153">
        <v>35.35</v>
      </c>
      <c r="G545" s="164"/>
      <c r="H545" s="164">
        <v>406.52499999999998</v>
      </c>
      <c r="I545" s="58">
        <v>68</v>
      </c>
      <c r="K545" s="57"/>
    </row>
    <row r="546" spans="1:11" x14ac:dyDescent="0.25">
      <c r="A546" s="154">
        <v>41069</v>
      </c>
      <c r="B546" s="150" t="s">
        <v>776</v>
      </c>
      <c r="C546" s="57" t="s">
        <v>8</v>
      </c>
      <c r="D546" s="57" t="s">
        <v>26</v>
      </c>
      <c r="E546" s="153">
        <v>11.5</v>
      </c>
      <c r="F546" s="153">
        <v>35.35</v>
      </c>
      <c r="G546" s="164"/>
      <c r="H546" s="164">
        <v>406.52499999999998</v>
      </c>
      <c r="I546" s="58">
        <v>68</v>
      </c>
      <c r="K546" s="57"/>
    </row>
    <row r="547" spans="1:11" x14ac:dyDescent="0.25">
      <c r="A547" s="154">
        <v>41069</v>
      </c>
      <c r="B547" s="150" t="s">
        <v>776</v>
      </c>
      <c r="C547" s="57" t="s">
        <v>8</v>
      </c>
      <c r="D547" s="57" t="s">
        <v>26</v>
      </c>
      <c r="E547" s="153">
        <v>11.5</v>
      </c>
      <c r="F547" s="153">
        <v>35.35</v>
      </c>
      <c r="G547" s="164"/>
      <c r="H547" s="164">
        <v>406.52499999999998</v>
      </c>
      <c r="I547" s="58">
        <v>68</v>
      </c>
      <c r="K547" s="57"/>
    </row>
    <row r="548" spans="1:11" x14ac:dyDescent="0.25">
      <c r="A548" s="154">
        <v>41069</v>
      </c>
      <c r="B548" s="150" t="s">
        <v>776</v>
      </c>
      <c r="C548" s="57" t="s">
        <v>8</v>
      </c>
      <c r="D548" s="57" t="s">
        <v>26</v>
      </c>
      <c r="E548" s="153">
        <v>11.5</v>
      </c>
      <c r="F548" s="153">
        <v>35.35</v>
      </c>
      <c r="G548" s="164"/>
      <c r="H548" s="164">
        <v>406.52499999999998</v>
      </c>
      <c r="I548" s="58">
        <v>68</v>
      </c>
      <c r="K548" s="57"/>
    </row>
    <row r="549" spans="1:11" x14ac:dyDescent="0.25">
      <c r="A549" s="154">
        <v>41069</v>
      </c>
      <c r="B549" s="150" t="s">
        <v>880</v>
      </c>
      <c r="C549" s="57" t="s">
        <v>8</v>
      </c>
      <c r="D549" s="57" t="s">
        <v>26</v>
      </c>
      <c r="E549" s="153">
        <v>11.5</v>
      </c>
      <c r="F549" s="153">
        <v>35.35</v>
      </c>
      <c r="G549" s="164"/>
      <c r="H549" s="164">
        <v>406.52499999999998</v>
      </c>
      <c r="I549" s="58">
        <v>68</v>
      </c>
      <c r="K549" s="57"/>
    </row>
    <row r="550" spans="1:11" x14ac:dyDescent="0.25">
      <c r="A550" s="154">
        <v>41069</v>
      </c>
      <c r="B550" s="150" t="s">
        <v>782</v>
      </c>
      <c r="C550" s="57" t="s">
        <v>8</v>
      </c>
      <c r="D550" s="57" t="s">
        <v>26</v>
      </c>
      <c r="E550" s="153">
        <v>11.5</v>
      </c>
      <c r="F550" s="153">
        <v>35.35</v>
      </c>
      <c r="G550" s="164"/>
      <c r="H550" s="164">
        <v>406.52499999999998</v>
      </c>
      <c r="I550" s="58">
        <v>68</v>
      </c>
      <c r="K550" s="57"/>
    </row>
    <row r="551" spans="1:11" x14ac:dyDescent="0.25">
      <c r="A551" s="154">
        <v>41069</v>
      </c>
      <c r="B551" s="150" t="s">
        <v>809</v>
      </c>
      <c r="C551" s="57" t="s">
        <v>810</v>
      </c>
      <c r="D551" s="57" t="s">
        <v>25</v>
      </c>
      <c r="E551" s="153">
        <v>1</v>
      </c>
      <c r="F551" s="153">
        <v>2500</v>
      </c>
      <c r="G551" s="164"/>
      <c r="H551" s="164">
        <v>2500</v>
      </c>
      <c r="I551" s="58">
        <v>68</v>
      </c>
      <c r="K551" s="57"/>
    </row>
    <row r="552" spans="1:11" x14ac:dyDescent="0.25">
      <c r="A552" s="154">
        <v>41069</v>
      </c>
      <c r="B552" s="150" t="s">
        <v>899</v>
      </c>
      <c r="C552" s="57" t="s">
        <v>900</v>
      </c>
      <c r="D552" s="57" t="s">
        <v>25</v>
      </c>
      <c r="E552" s="153">
        <v>1</v>
      </c>
      <c r="F552" s="153">
        <v>2500</v>
      </c>
      <c r="G552" s="164"/>
      <c r="H552" s="164">
        <v>2500</v>
      </c>
      <c r="I552" s="58">
        <v>68</v>
      </c>
      <c r="K552" s="57"/>
    </row>
    <row r="553" spans="1:11" x14ac:dyDescent="0.25">
      <c r="A553" s="154">
        <v>41069</v>
      </c>
      <c r="B553" s="150" t="s">
        <v>880</v>
      </c>
      <c r="C553" s="57" t="s">
        <v>8</v>
      </c>
      <c r="D553" s="57" t="s">
        <v>26</v>
      </c>
      <c r="E553" s="153">
        <v>11.5</v>
      </c>
      <c r="F553" s="153">
        <v>35.35</v>
      </c>
      <c r="G553" s="164"/>
      <c r="H553" s="164">
        <v>406.52499999999998</v>
      </c>
      <c r="I553" s="58">
        <v>68</v>
      </c>
      <c r="K553" s="57"/>
    </row>
    <row r="554" spans="1:11" x14ac:dyDescent="0.25">
      <c r="A554" s="154">
        <v>41070</v>
      </c>
      <c r="B554" s="150" t="s">
        <v>776</v>
      </c>
      <c r="C554" s="57" t="s">
        <v>8</v>
      </c>
      <c r="D554" s="57" t="s">
        <v>26</v>
      </c>
      <c r="E554" s="153">
        <v>11</v>
      </c>
      <c r="F554" s="153">
        <v>35.35</v>
      </c>
      <c r="G554" s="164"/>
      <c r="H554" s="164">
        <v>388.85</v>
      </c>
      <c r="I554" s="58">
        <v>68</v>
      </c>
      <c r="K554" s="57"/>
    </row>
    <row r="555" spans="1:11" x14ac:dyDescent="0.25">
      <c r="A555" s="154">
        <v>41070</v>
      </c>
      <c r="B555" s="150" t="s">
        <v>880</v>
      </c>
      <c r="C555" s="57" t="s">
        <v>8</v>
      </c>
      <c r="D555" s="57" t="s">
        <v>26</v>
      </c>
      <c r="E555" s="153">
        <v>11</v>
      </c>
      <c r="F555" s="153">
        <v>35.35</v>
      </c>
      <c r="G555" s="164"/>
      <c r="H555" s="164">
        <v>388.85</v>
      </c>
      <c r="I555" s="58">
        <v>68</v>
      </c>
      <c r="K555" s="57"/>
    </row>
    <row r="556" spans="1:11" x14ac:dyDescent="0.25">
      <c r="A556" s="154">
        <v>41070</v>
      </c>
      <c r="B556" s="150" t="s">
        <v>899</v>
      </c>
      <c r="C556" s="57" t="s">
        <v>900</v>
      </c>
      <c r="D556" s="57" t="s">
        <v>25</v>
      </c>
      <c r="E556" s="153">
        <v>1</v>
      </c>
      <c r="F556" s="153">
        <v>2500</v>
      </c>
      <c r="G556" s="164"/>
      <c r="H556" s="164">
        <v>2500</v>
      </c>
      <c r="I556" s="58">
        <v>68</v>
      </c>
      <c r="K556" s="57"/>
    </row>
    <row r="557" spans="1:11" x14ac:dyDescent="0.25">
      <c r="A557" s="154">
        <v>41070</v>
      </c>
      <c r="B557" s="150" t="s">
        <v>776</v>
      </c>
      <c r="C557" s="57" t="s">
        <v>8</v>
      </c>
      <c r="D557" s="57" t="s">
        <v>26</v>
      </c>
      <c r="E557" s="153">
        <v>11</v>
      </c>
      <c r="F557" s="153">
        <v>35.35</v>
      </c>
      <c r="G557" s="164"/>
      <c r="H557" s="164">
        <v>388.85</v>
      </c>
      <c r="I557" s="58">
        <v>68</v>
      </c>
      <c r="K557" s="57"/>
    </row>
    <row r="558" spans="1:11" x14ac:dyDescent="0.25">
      <c r="A558" s="154">
        <v>41070</v>
      </c>
      <c r="B558" s="150" t="s">
        <v>776</v>
      </c>
      <c r="C558" s="57" t="s">
        <v>8</v>
      </c>
      <c r="D558" s="57" t="s">
        <v>26</v>
      </c>
      <c r="E558" s="153">
        <v>11</v>
      </c>
      <c r="F558" s="153">
        <v>35.35</v>
      </c>
      <c r="G558" s="164"/>
      <c r="H558" s="164">
        <v>388.85</v>
      </c>
      <c r="I558" s="58">
        <v>68</v>
      </c>
      <c r="K558" s="57"/>
    </row>
    <row r="559" spans="1:11" x14ac:dyDescent="0.25">
      <c r="A559" s="154">
        <v>41070</v>
      </c>
      <c r="B559" s="150" t="s">
        <v>880</v>
      </c>
      <c r="C559" s="57" t="s">
        <v>8</v>
      </c>
      <c r="D559" s="57" t="s">
        <v>26</v>
      </c>
      <c r="E559" s="153">
        <v>11</v>
      </c>
      <c r="F559" s="153">
        <v>35.35</v>
      </c>
      <c r="G559" s="164"/>
      <c r="H559" s="164">
        <v>388.85</v>
      </c>
      <c r="I559" s="58">
        <v>68</v>
      </c>
      <c r="K559" s="57"/>
    </row>
    <row r="560" spans="1:11" x14ac:dyDescent="0.25">
      <c r="A560" s="154">
        <v>41070</v>
      </c>
      <c r="B560" s="150" t="s">
        <v>782</v>
      </c>
      <c r="C560" s="57" t="s">
        <v>8</v>
      </c>
      <c r="D560" s="57" t="s">
        <v>26</v>
      </c>
      <c r="E560" s="153">
        <v>11</v>
      </c>
      <c r="F560" s="153">
        <v>35.35</v>
      </c>
      <c r="G560" s="164"/>
      <c r="H560" s="164">
        <v>388.85</v>
      </c>
      <c r="I560" s="58">
        <v>68</v>
      </c>
      <c r="K560" s="57"/>
    </row>
    <row r="561" spans="1:11" x14ac:dyDescent="0.25">
      <c r="A561" s="154">
        <v>41070</v>
      </c>
      <c r="B561" s="150" t="s">
        <v>776</v>
      </c>
      <c r="C561" s="57" t="s">
        <v>8</v>
      </c>
      <c r="D561" s="57" t="s">
        <v>26</v>
      </c>
      <c r="E561" s="153">
        <v>11</v>
      </c>
      <c r="F561" s="153">
        <v>35.35</v>
      </c>
      <c r="G561" s="164"/>
      <c r="H561" s="164">
        <v>388.85</v>
      </c>
      <c r="I561" s="58">
        <v>68</v>
      </c>
      <c r="K561" s="57"/>
    </row>
    <row r="562" spans="1:11" x14ac:dyDescent="0.25">
      <c r="A562" s="154">
        <v>41070</v>
      </c>
      <c r="B562" s="150" t="s">
        <v>809</v>
      </c>
      <c r="C562" s="57" t="s">
        <v>810</v>
      </c>
      <c r="D562" s="57" t="s">
        <v>25</v>
      </c>
      <c r="E562" s="153">
        <v>1</v>
      </c>
      <c r="F562" s="153">
        <v>2500</v>
      </c>
      <c r="G562" s="164"/>
      <c r="H562" s="164">
        <v>2500</v>
      </c>
      <c r="I562" s="58">
        <v>68</v>
      </c>
      <c r="K562" s="57"/>
    </row>
    <row r="563" spans="1:11" x14ac:dyDescent="0.25">
      <c r="A563" s="154">
        <v>41070</v>
      </c>
      <c r="B563" s="150" t="s">
        <v>782</v>
      </c>
      <c r="C563" s="57" t="s">
        <v>8</v>
      </c>
      <c r="D563" s="57" t="s">
        <v>26</v>
      </c>
      <c r="E563" s="153">
        <v>11</v>
      </c>
      <c r="F563" s="153">
        <v>74.650000000000006</v>
      </c>
      <c r="G563" s="164"/>
      <c r="H563" s="164">
        <v>821.15</v>
      </c>
      <c r="I563" s="58">
        <v>68</v>
      </c>
      <c r="K563" s="57"/>
    </row>
    <row r="564" spans="1:11" x14ac:dyDescent="0.25">
      <c r="A564" s="154">
        <v>41070</v>
      </c>
      <c r="B564" s="150" t="s">
        <v>865</v>
      </c>
      <c r="C564" s="57" t="s">
        <v>973</v>
      </c>
      <c r="D564" s="57" t="s">
        <v>25</v>
      </c>
      <c r="E564" s="153">
        <v>1</v>
      </c>
      <c r="F564" s="153">
        <v>850</v>
      </c>
      <c r="G564" s="164"/>
      <c r="H564" s="164">
        <v>850</v>
      </c>
      <c r="I564" s="58">
        <v>68</v>
      </c>
      <c r="K564" s="57"/>
    </row>
    <row r="565" spans="1:11" x14ac:dyDescent="0.25">
      <c r="A565" s="154">
        <v>41071</v>
      </c>
      <c r="B565" s="150" t="s">
        <v>865</v>
      </c>
      <c r="C565" s="57" t="s">
        <v>973</v>
      </c>
      <c r="D565" s="57" t="s">
        <v>25</v>
      </c>
      <c r="E565" s="153">
        <v>1</v>
      </c>
      <c r="F565" s="153">
        <v>850</v>
      </c>
      <c r="G565" s="164"/>
      <c r="H565" s="164">
        <v>850</v>
      </c>
      <c r="I565" s="58">
        <v>68</v>
      </c>
      <c r="K565" s="57"/>
    </row>
    <row r="566" spans="1:11" x14ac:dyDescent="0.25">
      <c r="A566" s="154">
        <v>41071</v>
      </c>
      <c r="B566" s="150" t="s">
        <v>782</v>
      </c>
      <c r="C566" s="57" t="s">
        <v>8</v>
      </c>
      <c r="D566" s="57" t="s">
        <v>26</v>
      </c>
      <c r="E566" s="153">
        <v>11</v>
      </c>
      <c r="F566" s="153">
        <v>74.650000000000006</v>
      </c>
      <c r="G566" s="164"/>
      <c r="H566" s="164">
        <v>821.15</v>
      </c>
      <c r="I566" s="58">
        <v>68</v>
      </c>
      <c r="K566" s="57"/>
    </row>
    <row r="567" spans="1:11" x14ac:dyDescent="0.25">
      <c r="A567" s="154">
        <v>41071</v>
      </c>
      <c r="B567" s="150" t="s">
        <v>776</v>
      </c>
      <c r="C567" s="57" t="s">
        <v>8</v>
      </c>
      <c r="D567" s="57" t="s">
        <v>26</v>
      </c>
      <c r="E567" s="153">
        <v>11</v>
      </c>
      <c r="F567" s="153">
        <v>35.35</v>
      </c>
      <c r="G567" s="164"/>
      <c r="H567" s="164">
        <v>388.85</v>
      </c>
      <c r="I567" s="58">
        <v>68</v>
      </c>
      <c r="K567" s="57"/>
    </row>
    <row r="568" spans="1:11" x14ac:dyDescent="0.25">
      <c r="A568" s="154">
        <v>41071</v>
      </c>
      <c r="B568" s="150" t="s">
        <v>776</v>
      </c>
      <c r="C568" s="57" t="s">
        <v>8</v>
      </c>
      <c r="D568" s="57" t="s">
        <v>26</v>
      </c>
      <c r="E568" s="153">
        <v>11</v>
      </c>
      <c r="F568" s="153">
        <v>35.35</v>
      </c>
      <c r="G568" s="164"/>
      <c r="H568" s="164">
        <v>388.85</v>
      </c>
      <c r="I568" s="58">
        <v>68</v>
      </c>
      <c r="K568" s="57"/>
    </row>
    <row r="569" spans="1:11" x14ac:dyDescent="0.25">
      <c r="A569" s="154">
        <v>41071</v>
      </c>
      <c r="B569" s="150" t="s">
        <v>782</v>
      </c>
      <c r="C569" s="57" t="s">
        <v>8</v>
      </c>
      <c r="D569" s="57" t="s">
        <v>26</v>
      </c>
      <c r="E569" s="153">
        <v>11</v>
      </c>
      <c r="F569" s="153">
        <v>35.35</v>
      </c>
      <c r="G569" s="164"/>
      <c r="H569" s="164">
        <v>388.85</v>
      </c>
      <c r="I569" s="58">
        <v>68</v>
      </c>
      <c r="K569" s="57"/>
    </row>
    <row r="570" spans="1:11" x14ac:dyDescent="0.25">
      <c r="A570" s="154">
        <v>41071</v>
      </c>
      <c r="B570" s="150" t="s">
        <v>809</v>
      </c>
      <c r="C570" s="57" t="s">
        <v>810</v>
      </c>
      <c r="D570" s="57" t="s">
        <v>25</v>
      </c>
      <c r="E570" s="153">
        <v>1</v>
      </c>
      <c r="F570" s="153">
        <v>2500</v>
      </c>
      <c r="G570" s="164"/>
      <c r="H570" s="164">
        <v>2500</v>
      </c>
      <c r="I570" s="58">
        <v>68</v>
      </c>
      <c r="K570" s="57"/>
    </row>
    <row r="571" spans="1:11" x14ac:dyDescent="0.25">
      <c r="A571" s="154">
        <v>41071</v>
      </c>
      <c r="B571" s="150" t="s">
        <v>899</v>
      </c>
      <c r="C571" s="57" t="s">
        <v>900</v>
      </c>
      <c r="D571" s="57" t="s">
        <v>25</v>
      </c>
      <c r="E571" s="153">
        <v>1</v>
      </c>
      <c r="F571" s="153">
        <v>2500</v>
      </c>
      <c r="G571" s="164"/>
      <c r="H571" s="164">
        <v>2500</v>
      </c>
      <c r="I571" s="58">
        <v>68</v>
      </c>
      <c r="K571" s="57"/>
    </row>
    <row r="572" spans="1:11" x14ac:dyDescent="0.25">
      <c r="A572" s="154">
        <v>41071</v>
      </c>
      <c r="B572" s="150" t="s">
        <v>880</v>
      </c>
      <c r="C572" s="57" t="s">
        <v>8</v>
      </c>
      <c r="D572" s="57" t="s">
        <v>26</v>
      </c>
      <c r="E572" s="153">
        <v>11</v>
      </c>
      <c r="F572" s="153">
        <v>35.35</v>
      </c>
      <c r="G572" s="164"/>
      <c r="H572" s="164">
        <v>388.85</v>
      </c>
      <c r="I572" s="58">
        <v>68</v>
      </c>
      <c r="K572" s="57"/>
    </row>
    <row r="573" spans="1:11" x14ac:dyDescent="0.25">
      <c r="A573" s="154">
        <v>41071</v>
      </c>
      <c r="B573" s="150" t="s">
        <v>880</v>
      </c>
      <c r="C573" s="57" t="s">
        <v>8</v>
      </c>
      <c r="D573" s="57" t="s">
        <v>26</v>
      </c>
      <c r="E573" s="153">
        <v>11</v>
      </c>
      <c r="F573" s="153">
        <v>35.35</v>
      </c>
      <c r="G573" s="164"/>
      <c r="H573" s="164">
        <v>388.85</v>
      </c>
      <c r="I573" s="58">
        <v>68</v>
      </c>
      <c r="K573" s="57"/>
    </row>
    <row r="574" spans="1:11" x14ac:dyDescent="0.25">
      <c r="A574" s="154">
        <v>41071</v>
      </c>
      <c r="B574" s="150" t="s">
        <v>776</v>
      </c>
      <c r="C574" s="57" t="s">
        <v>8</v>
      </c>
      <c r="D574" s="57" t="s">
        <v>26</v>
      </c>
      <c r="E574" s="153">
        <v>11</v>
      </c>
      <c r="F574" s="153">
        <v>35.35</v>
      </c>
      <c r="G574" s="164"/>
      <c r="H574" s="164">
        <v>388.85</v>
      </c>
      <c r="I574" s="58">
        <v>68</v>
      </c>
      <c r="K574" s="57"/>
    </row>
    <row r="575" spans="1:11" x14ac:dyDescent="0.25">
      <c r="A575" s="154">
        <v>41071</v>
      </c>
      <c r="B575" s="150" t="s">
        <v>776</v>
      </c>
      <c r="C575" s="57" t="s">
        <v>8</v>
      </c>
      <c r="D575" s="57" t="s">
        <v>26</v>
      </c>
      <c r="E575" s="153">
        <v>11</v>
      </c>
      <c r="F575" s="153">
        <v>35.35</v>
      </c>
      <c r="G575" s="164"/>
      <c r="H575" s="164">
        <v>388.85</v>
      </c>
      <c r="I575" s="58">
        <v>68</v>
      </c>
      <c r="K575" s="57"/>
    </row>
    <row r="576" spans="1:11" x14ac:dyDescent="0.25">
      <c r="A576" s="154">
        <v>41072</v>
      </c>
      <c r="B576" s="150" t="s">
        <v>899</v>
      </c>
      <c r="C576" s="57" t="s">
        <v>900</v>
      </c>
      <c r="D576" s="57" t="s">
        <v>25</v>
      </c>
      <c r="E576" s="153">
        <v>1</v>
      </c>
      <c r="F576" s="153">
        <v>2500</v>
      </c>
      <c r="G576" s="164">
        <v>-2500</v>
      </c>
      <c r="H576" s="164"/>
      <c r="I576" s="58">
        <v>68</v>
      </c>
      <c r="K576" s="57"/>
    </row>
    <row r="577" spans="1:11" x14ac:dyDescent="0.25">
      <c r="A577" s="154">
        <v>41072</v>
      </c>
      <c r="B577" s="150" t="s">
        <v>776</v>
      </c>
      <c r="C577" s="57" t="s">
        <v>8</v>
      </c>
      <c r="D577" s="57" t="s">
        <v>26</v>
      </c>
      <c r="E577" s="153">
        <v>11</v>
      </c>
      <c r="F577" s="153">
        <v>35.35</v>
      </c>
      <c r="G577" s="164"/>
      <c r="H577" s="164">
        <v>388.85</v>
      </c>
      <c r="I577" s="58">
        <v>68</v>
      </c>
      <c r="K577" s="57"/>
    </row>
    <row r="578" spans="1:11" x14ac:dyDescent="0.25">
      <c r="A578" s="154">
        <v>41072</v>
      </c>
      <c r="B578" s="150" t="s">
        <v>880</v>
      </c>
      <c r="C578" s="57" t="s">
        <v>8</v>
      </c>
      <c r="D578" s="57" t="s">
        <v>26</v>
      </c>
      <c r="E578" s="153">
        <v>11</v>
      </c>
      <c r="F578" s="153">
        <v>35.35</v>
      </c>
      <c r="G578" s="164"/>
      <c r="H578" s="164">
        <v>388.85</v>
      </c>
      <c r="I578" s="58">
        <v>68</v>
      </c>
      <c r="K578" s="57"/>
    </row>
    <row r="579" spans="1:11" x14ac:dyDescent="0.25">
      <c r="A579" s="154">
        <v>41072</v>
      </c>
      <c r="B579" s="150" t="s">
        <v>782</v>
      </c>
      <c r="C579" s="57" t="s">
        <v>8</v>
      </c>
      <c r="D579" s="57" t="s">
        <v>26</v>
      </c>
      <c r="E579" s="153">
        <v>11</v>
      </c>
      <c r="F579" s="153">
        <v>35.35</v>
      </c>
      <c r="G579" s="164"/>
      <c r="H579" s="164">
        <v>388.85</v>
      </c>
      <c r="I579" s="58">
        <v>68</v>
      </c>
      <c r="K579" s="57"/>
    </row>
    <row r="580" spans="1:11" x14ac:dyDescent="0.25">
      <c r="A580" s="154">
        <v>41072</v>
      </c>
      <c r="B580" s="150" t="s">
        <v>776</v>
      </c>
      <c r="C580" s="57" t="s">
        <v>8</v>
      </c>
      <c r="D580" s="57" t="s">
        <v>26</v>
      </c>
      <c r="E580" s="153">
        <v>11</v>
      </c>
      <c r="F580" s="153">
        <v>35.35</v>
      </c>
      <c r="G580" s="164"/>
      <c r="H580" s="164">
        <v>388.85</v>
      </c>
      <c r="I580" s="58">
        <v>68</v>
      </c>
      <c r="K580" s="57"/>
    </row>
    <row r="581" spans="1:11" x14ac:dyDescent="0.25">
      <c r="A581" s="154">
        <v>41072</v>
      </c>
      <c r="B581" s="150" t="s">
        <v>776</v>
      </c>
      <c r="C581" s="57" t="s">
        <v>8</v>
      </c>
      <c r="D581" s="57" t="s">
        <v>26</v>
      </c>
      <c r="E581" s="153">
        <v>11</v>
      </c>
      <c r="F581" s="153">
        <v>35.35</v>
      </c>
      <c r="G581" s="164"/>
      <c r="H581" s="164">
        <v>388.85</v>
      </c>
      <c r="I581" s="58">
        <v>68</v>
      </c>
      <c r="K581" s="57"/>
    </row>
    <row r="582" spans="1:11" x14ac:dyDescent="0.25">
      <c r="A582" s="154">
        <v>41072</v>
      </c>
      <c r="B582" s="150" t="s">
        <v>776</v>
      </c>
      <c r="C582" s="57" t="s">
        <v>8</v>
      </c>
      <c r="D582" s="57" t="s">
        <v>26</v>
      </c>
      <c r="E582" s="153">
        <v>11</v>
      </c>
      <c r="F582" s="153">
        <v>35.35</v>
      </c>
      <c r="G582" s="164"/>
      <c r="H582" s="164">
        <v>388.85</v>
      </c>
      <c r="I582" s="58">
        <v>68</v>
      </c>
      <c r="K582" s="57"/>
    </row>
    <row r="583" spans="1:11" x14ac:dyDescent="0.25">
      <c r="A583" s="154">
        <v>41072</v>
      </c>
      <c r="B583" s="150" t="s">
        <v>901</v>
      </c>
      <c r="C583" s="57" t="s">
        <v>1189</v>
      </c>
      <c r="D583" s="57" t="s">
        <v>26</v>
      </c>
      <c r="E583" s="153">
        <v>12</v>
      </c>
      <c r="F583" s="153">
        <v>95</v>
      </c>
      <c r="G583" s="164"/>
      <c r="H583" s="164">
        <v>1140</v>
      </c>
      <c r="I583" s="58">
        <v>68</v>
      </c>
      <c r="K583" s="57"/>
    </row>
    <row r="584" spans="1:11" x14ac:dyDescent="0.25">
      <c r="A584" s="154">
        <v>41072</v>
      </c>
      <c r="B584" s="150" t="s">
        <v>865</v>
      </c>
      <c r="C584" s="57" t="s">
        <v>973</v>
      </c>
      <c r="D584" s="57" t="s">
        <v>25</v>
      </c>
      <c r="E584" s="153">
        <v>1</v>
      </c>
      <c r="F584" s="153">
        <v>850</v>
      </c>
      <c r="G584" s="164"/>
      <c r="H584" s="164">
        <v>850</v>
      </c>
      <c r="I584" s="58">
        <v>68</v>
      </c>
      <c r="K584" s="57"/>
    </row>
    <row r="585" spans="1:11" x14ac:dyDescent="0.25">
      <c r="A585" s="154">
        <v>41072</v>
      </c>
      <c r="B585" s="150" t="s">
        <v>782</v>
      </c>
      <c r="C585" s="57" t="s">
        <v>8</v>
      </c>
      <c r="D585" s="57" t="s">
        <v>26</v>
      </c>
      <c r="E585" s="153">
        <v>11</v>
      </c>
      <c r="F585" s="153">
        <v>74.650000000000006</v>
      </c>
      <c r="G585" s="164"/>
      <c r="H585" s="164">
        <v>821.15</v>
      </c>
      <c r="I585" s="58">
        <v>68</v>
      </c>
      <c r="K585" s="57"/>
    </row>
    <row r="586" spans="1:11" x14ac:dyDescent="0.25">
      <c r="A586" s="154">
        <v>41072</v>
      </c>
      <c r="B586" s="150" t="s">
        <v>809</v>
      </c>
      <c r="C586" s="57" t="s">
        <v>810</v>
      </c>
      <c r="D586" s="57" t="s">
        <v>25</v>
      </c>
      <c r="E586" s="153">
        <v>1</v>
      </c>
      <c r="F586" s="153">
        <v>2500</v>
      </c>
      <c r="G586" s="164"/>
      <c r="H586" s="164">
        <v>2500</v>
      </c>
      <c r="I586" s="58">
        <v>68</v>
      </c>
      <c r="K586" s="57"/>
    </row>
    <row r="587" spans="1:11" x14ac:dyDescent="0.25">
      <c r="A587" s="154">
        <v>41072</v>
      </c>
      <c r="B587" s="150" t="s">
        <v>880</v>
      </c>
      <c r="C587" s="57" t="s">
        <v>8</v>
      </c>
      <c r="D587" s="57" t="s">
        <v>26</v>
      </c>
      <c r="E587" s="153">
        <v>11</v>
      </c>
      <c r="F587" s="153">
        <v>35.35</v>
      </c>
      <c r="G587" s="164"/>
      <c r="H587" s="164">
        <v>388.85</v>
      </c>
      <c r="I587" s="58">
        <v>68</v>
      </c>
      <c r="K587" s="57"/>
    </row>
    <row r="588" spans="1:11" x14ac:dyDescent="0.25">
      <c r="A588" s="154">
        <v>41073</v>
      </c>
      <c r="B588" s="150" t="s">
        <v>776</v>
      </c>
      <c r="C588" s="57" t="s">
        <v>8</v>
      </c>
      <c r="D588" s="57" t="s">
        <v>26</v>
      </c>
      <c r="E588" s="153">
        <v>11</v>
      </c>
      <c r="F588" s="153">
        <v>35.35</v>
      </c>
      <c r="G588" s="164"/>
      <c r="H588" s="164">
        <v>388.85</v>
      </c>
      <c r="I588" s="58">
        <v>68</v>
      </c>
      <c r="K588" s="57"/>
    </row>
    <row r="589" spans="1:11" x14ac:dyDescent="0.25">
      <c r="A589" s="154">
        <v>41073</v>
      </c>
      <c r="B589" s="150" t="s">
        <v>880</v>
      </c>
      <c r="C589" s="57" t="s">
        <v>8</v>
      </c>
      <c r="D589" s="57" t="s">
        <v>26</v>
      </c>
      <c r="E589" s="153">
        <v>11</v>
      </c>
      <c r="F589" s="153">
        <v>35.35</v>
      </c>
      <c r="G589" s="164"/>
      <c r="H589" s="164">
        <v>388.85</v>
      </c>
      <c r="I589" s="58">
        <v>68</v>
      </c>
      <c r="K589" s="57"/>
    </row>
    <row r="590" spans="1:11" x14ac:dyDescent="0.25">
      <c r="A590" s="154">
        <v>41073</v>
      </c>
      <c r="B590" s="150" t="s">
        <v>776</v>
      </c>
      <c r="C590" s="57" t="s">
        <v>8</v>
      </c>
      <c r="D590" s="57" t="s">
        <v>26</v>
      </c>
      <c r="E590" s="153">
        <v>11</v>
      </c>
      <c r="F590" s="153">
        <v>35.35</v>
      </c>
      <c r="G590" s="164"/>
      <c r="H590" s="164">
        <v>388.85</v>
      </c>
      <c r="I590" s="58">
        <v>68</v>
      </c>
      <c r="K590" s="57"/>
    </row>
    <row r="591" spans="1:11" x14ac:dyDescent="0.25">
      <c r="A591" s="154">
        <v>41073</v>
      </c>
      <c r="B591" s="150" t="s">
        <v>782</v>
      </c>
      <c r="C591" s="57" t="s">
        <v>8</v>
      </c>
      <c r="D591" s="57" t="s">
        <v>26</v>
      </c>
      <c r="E591" s="153">
        <v>10.5</v>
      </c>
      <c r="F591" s="153">
        <v>74.650000000000006</v>
      </c>
      <c r="G591" s="164"/>
      <c r="H591" s="164">
        <v>783.82500000000005</v>
      </c>
      <c r="I591" s="58">
        <v>68</v>
      </c>
      <c r="K591" s="57"/>
    </row>
    <row r="592" spans="1:11" x14ac:dyDescent="0.25">
      <c r="A592" s="154">
        <v>41073</v>
      </c>
      <c r="B592" s="150" t="s">
        <v>789</v>
      </c>
      <c r="C592" s="57" t="s">
        <v>790</v>
      </c>
      <c r="D592" s="57" t="s">
        <v>26</v>
      </c>
      <c r="E592" s="153">
        <v>11</v>
      </c>
      <c r="F592" s="153">
        <v>50</v>
      </c>
      <c r="G592" s="164"/>
      <c r="H592" s="164">
        <v>550</v>
      </c>
      <c r="I592" s="58">
        <v>68</v>
      </c>
      <c r="K592" s="57"/>
    </row>
    <row r="593" spans="1:11" x14ac:dyDescent="0.25">
      <c r="A593" s="154">
        <v>41073</v>
      </c>
      <c r="B593" s="150" t="s">
        <v>809</v>
      </c>
      <c r="C593" s="57" t="s">
        <v>810</v>
      </c>
      <c r="D593" s="57" t="s">
        <v>25</v>
      </c>
      <c r="E593" s="153">
        <v>1</v>
      </c>
      <c r="F593" s="153">
        <v>2500</v>
      </c>
      <c r="G593" s="164"/>
      <c r="H593" s="164">
        <v>2500</v>
      </c>
      <c r="I593" s="58">
        <v>68</v>
      </c>
      <c r="K593" s="57"/>
    </row>
    <row r="594" spans="1:11" x14ac:dyDescent="0.25">
      <c r="A594" s="154">
        <v>41073</v>
      </c>
      <c r="B594" s="150" t="s">
        <v>865</v>
      </c>
      <c r="C594" s="57" t="s">
        <v>973</v>
      </c>
      <c r="D594" s="57" t="s">
        <v>25</v>
      </c>
      <c r="E594" s="153">
        <v>1</v>
      </c>
      <c r="F594" s="153">
        <v>850</v>
      </c>
      <c r="G594" s="164"/>
      <c r="H594" s="164">
        <v>850</v>
      </c>
      <c r="I594" s="58">
        <v>68</v>
      </c>
      <c r="K594" s="57"/>
    </row>
    <row r="595" spans="1:11" x14ac:dyDescent="0.25">
      <c r="A595" s="154">
        <v>41073</v>
      </c>
      <c r="B595" s="150" t="s">
        <v>899</v>
      </c>
      <c r="C595" s="57" t="s">
        <v>900</v>
      </c>
      <c r="D595" s="57" t="s">
        <v>25</v>
      </c>
      <c r="E595" s="153">
        <v>1</v>
      </c>
      <c r="F595" s="153">
        <v>2500</v>
      </c>
      <c r="G595" s="164"/>
      <c r="H595" s="164">
        <v>2500</v>
      </c>
      <c r="I595" s="58">
        <v>68</v>
      </c>
      <c r="K595" s="57"/>
    </row>
    <row r="596" spans="1:11" x14ac:dyDescent="0.25">
      <c r="A596" s="154">
        <v>41073</v>
      </c>
      <c r="B596" s="150" t="s">
        <v>776</v>
      </c>
      <c r="C596" s="57" t="s">
        <v>8</v>
      </c>
      <c r="D596" s="57" t="s">
        <v>26</v>
      </c>
      <c r="E596" s="153">
        <v>11</v>
      </c>
      <c r="F596" s="153">
        <v>35.35</v>
      </c>
      <c r="G596" s="164"/>
      <c r="H596" s="164">
        <v>388.85</v>
      </c>
      <c r="I596" s="58">
        <v>68</v>
      </c>
      <c r="K596" s="57"/>
    </row>
    <row r="597" spans="1:11" x14ac:dyDescent="0.25">
      <c r="A597" s="154">
        <v>41073</v>
      </c>
      <c r="B597" s="150" t="s">
        <v>776</v>
      </c>
      <c r="C597" s="57" t="s">
        <v>8</v>
      </c>
      <c r="D597" s="57" t="s">
        <v>26</v>
      </c>
      <c r="E597" s="153">
        <v>11</v>
      </c>
      <c r="F597" s="153">
        <v>35.35</v>
      </c>
      <c r="G597" s="164"/>
      <c r="H597" s="164">
        <v>388.85</v>
      </c>
      <c r="I597" s="58">
        <v>68</v>
      </c>
      <c r="K597" s="57"/>
    </row>
    <row r="598" spans="1:11" x14ac:dyDescent="0.25">
      <c r="A598" s="154">
        <v>41073</v>
      </c>
      <c r="B598" s="150" t="s">
        <v>782</v>
      </c>
      <c r="C598" s="57" t="s">
        <v>8</v>
      </c>
      <c r="D598" s="57" t="s">
        <v>26</v>
      </c>
      <c r="E598" s="153">
        <v>4</v>
      </c>
      <c r="F598" s="153">
        <v>35.35</v>
      </c>
      <c r="G598" s="164"/>
      <c r="H598" s="164">
        <v>141.4</v>
      </c>
      <c r="I598" s="58">
        <v>68</v>
      </c>
      <c r="K598" s="57"/>
    </row>
    <row r="599" spans="1:11" x14ac:dyDescent="0.25">
      <c r="A599" s="154">
        <v>41073</v>
      </c>
      <c r="B599" s="150" t="s">
        <v>880</v>
      </c>
      <c r="C599" s="57" t="s">
        <v>8</v>
      </c>
      <c r="D599" s="57" t="s">
        <v>26</v>
      </c>
      <c r="E599" s="153">
        <v>4</v>
      </c>
      <c r="F599" s="153">
        <v>35.35</v>
      </c>
      <c r="G599" s="164"/>
      <c r="H599" s="164">
        <v>141.4</v>
      </c>
      <c r="I599" s="58">
        <v>68</v>
      </c>
      <c r="K599" s="57"/>
    </row>
    <row r="600" spans="1:11" x14ac:dyDescent="0.25">
      <c r="A600" s="154">
        <v>41078</v>
      </c>
      <c r="B600" s="150" t="s">
        <v>776</v>
      </c>
      <c r="C600" s="57" t="s">
        <v>8</v>
      </c>
      <c r="D600" s="57" t="s">
        <v>26</v>
      </c>
      <c r="E600" s="153">
        <v>8</v>
      </c>
      <c r="F600" s="153">
        <v>35.35</v>
      </c>
      <c r="G600" s="164"/>
      <c r="H600" s="164">
        <v>282.8</v>
      </c>
      <c r="I600" s="58">
        <v>68</v>
      </c>
      <c r="K600" s="57"/>
    </row>
    <row r="601" spans="1:11" x14ac:dyDescent="0.25">
      <c r="A601" s="154">
        <v>41078</v>
      </c>
      <c r="B601" s="150" t="s">
        <v>773</v>
      </c>
      <c r="C601" s="57" t="s">
        <v>774</v>
      </c>
      <c r="D601" s="57" t="s">
        <v>26</v>
      </c>
      <c r="E601" s="153">
        <v>8</v>
      </c>
      <c r="F601" s="153">
        <v>42.79</v>
      </c>
      <c r="G601" s="164"/>
      <c r="H601" s="164">
        <v>342.32</v>
      </c>
      <c r="I601" s="58">
        <v>68</v>
      </c>
      <c r="K601" s="57"/>
    </row>
    <row r="602" spans="1:11" x14ac:dyDescent="0.25">
      <c r="A602" s="154">
        <v>41079</v>
      </c>
      <c r="B602" s="150" t="s">
        <v>773</v>
      </c>
      <c r="C602" s="57" t="s">
        <v>774</v>
      </c>
      <c r="D602" s="57" t="s">
        <v>26</v>
      </c>
      <c r="E602" s="153">
        <v>8</v>
      </c>
      <c r="F602" s="153">
        <v>42.79</v>
      </c>
      <c r="G602" s="164"/>
      <c r="H602" s="164">
        <v>342.32</v>
      </c>
      <c r="I602" s="58">
        <v>68</v>
      </c>
      <c r="K602" s="57"/>
    </row>
    <row r="603" spans="1:11" x14ac:dyDescent="0.25">
      <c r="A603" s="154">
        <v>41079</v>
      </c>
      <c r="B603" s="150" t="s">
        <v>776</v>
      </c>
      <c r="C603" s="57" t="s">
        <v>8</v>
      </c>
      <c r="D603" s="57" t="s">
        <v>26</v>
      </c>
      <c r="E603" s="153">
        <v>8</v>
      </c>
      <c r="F603" s="153">
        <v>35.35</v>
      </c>
      <c r="G603" s="164"/>
      <c r="H603" s="164">
        <v>282.8</v>
      </c>
      <c r="I603" s="58">
        <v>68</v>
      </c>
      <c r="K603" s="57"/>
    </row>
    <row r="604" spans="1:11" x14ac:dyDescent="0.25">
      <c r="A604" s="154">
        <v>41079</v>
      </c>
      <c r="B604" s="150" t="s">
        <v>776</v>
      </c>
      <c r="C604" s="57" t="s">
        <v>8</v>
      </c>
      <c r="D604" s="57" t="s">
        <v>26</v>
      </c>
      <c r="E604" s="153">
        <v>10</v>
      </c>
      <c r="F604" s="153">
        <v>35.35</v>
      </c>
      <c r="G604" s="164"/>
      <c r="H604" s="164">
        <v>353.5</v>
      </c>
      <c r="I604" s="58">
        <v>68</v>
      </c>
      <c r="K604" s="57"/>
    </row>
    <row r="605" spans="1:11" x14ac:dyDescent="0.25">
      <c r="A605" s="169" t="s">
        <v>682</v>
      </c>
      <c r="B605" s="170" t="s">
        <v>902</v>
      </c>
      <c r="C605" s="171" t="s">
        <v>682</v>
      </c>
      <c r="D605" s="171" t="s">
        <v>682</v>
      </c>
      <c r="E605" s="172"/>
      <c r="F605" s="172"/>
      <c r="G605" s="173"/>
      <c r="H605" s="173">
        <v>51538.064999999973</v>
      </c>
      <c r="I605" s="174" t="s">
        <v>682</v>
      </c>
      <c r="K605" s="57"/>
    </row>
    <row r="606" spans="1:11" x14ac:dyDescent="0.25">
      <c r="A606" s="154" t="s">
        <v>682</v>
      </c>
      <c r="B606" s="150" t="s">
        <v>682</v>
      </c>
      <c r="C606" s="57" t="s">
        <v>682</v>
      </c>
      <c r="D606" s="57" t="s">
        <v>682</v>
      </c>
      <c r="E606" s="153"/>
      <c r="F606" s="153"/>
      <c r="G606" s="164"/>
      <c r="H606" s="164"/>
      <c r="I606" s="58" t="s">
        <v>682</v>
      </c>
      <c r="K606" s="57"/>
    </row>
    <row r="607" spans="1:11" x14ac:dyDescent="0.25">
      <c r="A607" s="166" t="s">
        <v>682</v>
      </c>
      <c r="B607" s="165" t="s">
        <v>903</v>
      </c>
      <c r="C607" s="60" t="s">
        <v>682</v>
      </c>
      <c r="D607" s="60" t="s">
        <v>682</v>
      </c>
      <c r="E607" s="167"/>
      <c r="F607" s="167"/>
      <c r="G607" s="168"/>
      <c r="H607" s="168"/>
      <c r="I607" s="46" t="s">
        <v>682</v>
      </c>
      <c r="K607" s="57"/>
    </row>
    <row r="608" spans="1:11" x14ac:dyDescent="0.25">
      <c r="A608" s="154">
        <v>40954</v>
      </c>
      <c r="B608" s="150" t="s">
        <v>894</v>
      </c>
      <c r="C608" s="57" t="s">
        <v>8</v>
      </c>
      <c r="D608" s="57" t="s">
        <v>26</v>
      </c>
      <c r="E608" s="153">
        <v>5.5</v>
      </c>
      <c r="F608" s="153">
        <v>45</v>
      </c>
      <c r="G608" s="164"/>
      <c r="H608" s="164">
        <v>247.5</v>
      </c>
      <c r="I608" s="58">
        <v>71</v>
      </c>
      <c r="K608" s="57"/>
    </row>
    <row r="609" spans="1:11" x14ac:dyDescent="0.25">
      <c r="A609" s="154">
        <v>40955</v>
      </c>
      <c r="B609" s="150" t="s">
        <v>894</v>
      </c>
      <c r="C609" s="57" t="s">
        <v>8</v>
      </c>
      <c r="D609" s="57" t="s">
        <v>26</v>
      </c>
      <c r="E609" s="153">
        <v>3</v>
      </c>
      <c r="F609" s="153">
        <v>45</v>
      </c>
      <c r="G609" s="164"/>
      <c r="H609" s="164">
        <v>135</v>
      </c>
      <c r="I609" s="58">
        <v>71</v>
      </c>
      <c r="K609" s="57"/>
    </row>
    <row r="610" spans="1:11" x14ac:dyDescent="0.25">
      <c r="A610" s="154">
        <v>40961</v>
      </c>
      <c r="B610" s="150" t="s">
        <v>894</v>
      </c>
      <c r="C610" s="57" t="s">
        <v>8</v>
      </c>
      <c r="D610" s="57" t="s">
        <v>26</v>
      </c>
      <c r="E610" s="153">
        <v>10.5</v>
      </c>
      <c r="F610" s="153">
        <v>45</v>
      </c>
      <c r="G610" s="164"/>
      <c r="H610" s="164">
        <v>472.5</v>
      </c>
      <c r="I610" s="58">
        <v>71</v>
      </c>
      <c r="K610" s="57"/>
    </row>
    <row r="611" spans="1:11" x14ac:dyDescent="0.25">
      <c r="A611" s="154">
        <v>40961</v>
      </c>
      <c r="B611" s="150" t="s">
        <v>875</v>
      </c>
      <c r="C611" s="57" t="s">
        <v>8</v>
      </c>
      <c r="D611" s="57" t="s">
        <v>26</v>
      </c>
      <c r="E611" s="153">
        <v>6.5</v>
      </c>
      <c r="F611" s="153">
        <v>42.624000000000002</v>
      </c>
      <c r="G611" s="164"/>
      <c r="H611" s="164">
        <v>277.05599999999998</v>
      </c>
      <c r="I611" s="58">
        <v>71</v>
      </c>
      <c r="K611" s="57"/>
    </row>
    <row r="612" spans="1:11" x14ac:dyDescent="0.25">
      <c r="A612" s="154">
        <v>40961</v>
      </c>
      <c r="B612" s="150" t="s">
        <v>850</v>
      </c>
      <c r="C612" s="57" t="s">
        <v>8</v>
      </c>
      <c r="D612" s="57" t="s">
        <v>26</v>
      </c>
      <c r="E612" s="153">
        <v>10.5</v>
      </c>
      <c r="F612" s="153">
        <v>40.97</v>
      </c>
      <c r="G612" s="164"/>
      <c r="H612" s="164">
        <v>430.185</v>
      </c>
      <c r="I612" s="58">
        <v>71</v>
      </c>
      <c r="K612" s="57"/>
    </row>
    <row r="613" spans="1:11" x14ac:dyDescent="0.25">
      <c r="A613" s="154">
        <v>40989</v>
      </c>
      <c r="B613" s="150" t="s">
        <v>904</v>
      </c>
      <c r="C613" s="57" t="s">
        <v>905</v>
      </c>
      <c r="D613" s="57" t="s">
        <v>748</v>
      </c>
      <c r="E613" s="153">
        <v>1</v>
      </c>
      <c r="F613" s="153">
        <v>2975</v>
      </c>
      <c r="G613" s="164"/>
      <c r="H613" s="164">
        <v>2975</v>
      </c>
      <c r="I613" s="58">
        <v>71</v>
      </c>
      <c r="K613" s="57"/>
    </row>
    <row r="614" spans="1:11" x14ac:dyDescent="0.25">
      <c r="A614" s="169" t="s">
        <v>682</v>
      </c>
      <c r="B614" s="170" t="s">
        <v>906</v>
      </c>
      <c r="C614" s="171" t="s">
        <v>682</v>
      </c>
      <c r="D614" s="171" t="s">
        <v>682</v>
      </c>
      <c r="E614" s="172"/>
      <c r="F614" s="172"/>
      <c r="G614" s="173"/>
      <c r="H614" s="173">
        <v>4537.241</v>
      </c>
      <c r="I614" s="174" t="s">
        <v>682</v>
      </c>
      <c r="K614" s="57"/>
    </row>
    <row r="615" spans="1:11" x14ac:dyDescent="0.25">
      <c r="A615" s="154" t="s">
        <v>682</v>
      </c>
      <c r="B615" s="150" t="s">
        <v>682</v>
      </c>
      <c r="C615" s="57" t="s">
        <v>682</v>
      </c>
      <c r="D615" s="57" t="s">
        <v>682</v>
      </c>
      <c r="E615" s="153"/>
      <c r="F615" s="153"/>
      <c r="G615" s="164"/>
      <c r="H615" s="164"/>
      <c r="I615" s="58" t="s">
        <v>682</v>
      </c>
      <c r="K615" s="57"/>
    </row>
    <row r="616" spans="1:11" x14ac:dyDescent="0.25">
      <c r="A616" s="166" t="s">
        <v>682</v>
      </c>
      <c r="B616" s="165" t="s">
        <v>907</v>
      </c>
      <c r="C616" s="60" t="s">
        <v>682</v>
      </c>
      <c r="D616" s="60" t="s">
        <v>682</v>
      </c>
      <c r="E616" s="167"/>
      <c r="F616" s="167"/>
      <c r="G616" s="168"/>
      <c r="H616" s="168"/>
      <c r="I616" s="46" t="s">
        <v>682</v>
      </c>
      <c r="K616" s="57"/>
    </row>
    <row r="617" spans="1:11" x14ac:dyDescent="0.25">
      <c r="A617" s="154">
        <v>40855</v>
      </c>
      <c r="B617" s="150" t="s">
        <v>776</v>
      </c>
      <c r="C617" s="57" t="s">
        <v>8</v>
      </c>
      <c r="D617" s="57" t="s">
        <v>26</v>
      </c>
      <c r="E617" s="153">
        <v>5</v>
      </c>
      <c r="F617" s="153">
        <v>35.35</v>
      </c>
      <c r="G617" s="164"/>
      <c r="H617" s="164">
        <v>176.75</v>
      </c>
      <c r="I617" s="58">
        <v>72</v>
      </c>
      <c r="K617" s="57"/>
    </row>
    <row r="618" spans="1:11" x14ac:dyDescent="0.25">
      <c r="A618" s="154">
        <v>40855</v>
      </c>
      <c r="B618" s="150" t="s">
        <v>908</v>
      </c>
      <c r="C618" s="57" t="s">
        <v>909</v>
      </c>
      <c r="D618" s="57" t="s">
        <v>748</v>
      </c>
      <c r="E618" s="153">
        <v>1</v>
      </c>
      <c r="F618" s="153">
        <v>731.36</v>
      </c>
      <c r="G618" s="164"/>
      <c r="H618" s="164">
        <v>731.36</v>
      </c>
      <c r="I618" s="58">
        <v>72</v>
      </c>
      <c r="K618" s="57"/>
    </row>
    <row r="619" spans="1:11" x14ac:dyDescent="0.25">
      <c r="A619" s="154">
        <v>40856</v>
      </c>
      <c r="B619" s="150" t="s">
        <v>776</v>
      </c>
      <c r="C619" s="57" t="s">
        <v>8</v>
      </c>
      <c r="D619" s="57" t="s">
        <v>26</v>
      </c>
      <c r="E619" s="153">
        <v>9.5</v>
      </c>
      <c r="F619" s="153">
        <v>35.35</v>
      </c>
      <c r="G619" s="164"/>
      <c r="H619" s="164">
        <v>335.82499999999999</v>
      </c>
      <c r="I619" s="58">
        <v>72</v>
      </c>
      <c r="K619" s="57"/>
    </row>
    <row r="620" spans="1:11" x14ac:dyDescent="0.25">
      <c r="A620" s="154">
        <v>40857</v>
      </c>
      <c r="B620" s="150" t="s">
        <v>776</v>
      </c>
      <c r="C620" s="57" t="s">
        <v>8</v>
      </c>
      <c r="D620" s="57" t="s">
        <v>26</v>
      </c>
      <c r="E620" s="153">
        <v>9.5</v>
      </c>
      <c r="F620" s="153">
        <v>35.35</v>
      </c>
      <c r="G620" s="164"/>
      <c r="H620" s="164">
        <v>335.82499999999999</v>
      </c>
      <c r="I620" s="58">
        <v>72</v>
      </c>
      <c r="K620" s="57"/>
    </row>
    <row r="621" spans="1:11" ht="30" x14ac:dyDescent="0.25">
      <c r="A621" s="154">
        <v>40857</v>
      </c>
      <c r="B621" s="150" t="s">
        <v>910</v>
      </c>
      <c r="C621" s="57" t="s">
        <v>909</v>
      </c>
      <c r="D621" s="57" t="s">
        <v>748</v>
      </c>
      <c r="E621" s="153">
        <v>1</v>
      </c>
      <c r="F621" s="153">
        <v>779.8</v>
      </c>
      <c r="G621" s="164"/>
      <c r="H621" s="164">
        <v>779.8</v>
      </c>
      <c r="I621" s="58">
        <v>72</v>
      </c>
      <c r="K621" s="57"/>
    </row>
    <row r="622" spans="1:11" x14ac:dyDescent="0.25">
      <c r="A622" s="154">
        <v>40858</v>
      </c>
      <c r="B622" s="150" t="s">
        <v>776</v>
      </c>
      <c r="C622" s="57" t="s">
        <v>8</v>
      </c>
      <c r="D622" s="57" t="s">
        <v>26</v>
      </c>
      <c r="E622" s="153">
        <v>9.5</v>
      </c>
      <c r="F622" s="153">
        <v>35.35</v>
      </c>
      <c r="G622" s="164"/>
      <c r="H622" s="164">
        <v>335.82499999999999</v>
      </c>
      <c r="I622" s="58">
        <v>72</v>
      </c>
      <c r="K622" s="57"/>
    </row>
    <row r="623" spans="1:11" x14ac:dyDescent="0.25">
      <c r="A623" s="154">
        <v>40861</v>
      </c>
      <c r="B623" s="150" t="s">
        <v>782</v>
      </c>
      <c r="C623" s="57" t="s">
        <v>8</v>
      </c>
      <c r="D623" s="57" t="s">
        <v>26</v>
      </c>
      <c r="E623" s="153">
        <v>9.5</v>
      </c>
      <c r="F623" s="153">
        <v>35.35</v>
      </c>
      <c r="G623" s="164"/>
      <c r="H623" s="164">
        <v>335.82499999999999</v>
      </c>
      <c r="I623" s="58">
        <v>72</v>
      </c>
      <c r="K623" s="57"/>
    </row>
    <row r="624" spans="1:11" x14ac:dyDescent="0.25">
      <c r="A624" s="154">
        <v>40862</v>
      </c>
      <c r="B624" s="150" t="s">
        <v>782</v>
      </c>
      <c r="C624" s="57" t="s">
        <v>8</v>
      </c>
      <c r="D624" s="57" t="s">
        <v>26</v>
      </c>
      <c r="E624" s="153">
        <v>9.5</v>
      </c>
      <c r="F624" s="153">
        <v>35.35</v>
      </c>
      <c r="G624" s="164"/>
      <c r="H624" s="164">
        <v>335.82499999999999</v>
      </c>
      <c r="I624" s="58">
        <v>72</v>
      </c>
      <c r="K624" s="57"/>
    </row>
    <row r="625" spans="1:11" x14ac:dyDescent="0.25">
      <c r="A625" s="154">
        <v>40869</v>
      </c>
      <c r="B625" s="150" t="s">
        <v>804</v>
      </c>
      <c r="C625" s="57" t="s">
        <v>8</v>
      </c>
      <c r="D625" s="57" t="s">
        <v>26</v>
      </c>
      <c r="E625" s="153">
        <v>3</v>
      </c>
      <c r="F625" s="153">
        <v>44.2</v>
      </c>
      <c r="G625" s="164"/>
      <c r="H625" s="164">
        <v>132.6</v>
      </c>
      <c r="I625" s="58">
        <v>72</v>
      </c>
      <c r="K625" s="57"/>
    </row>
    <row r="626" spans="1:11" x14ac:dyDescent="0.25">
      <c r="A626" s="154">
        <v>40869</v>
      </c>
      <c r="B626" s="150" t="s">
        <v>911</v>
      </c>
      <c r="C626" s="57" t="s">
        <v>8</v>
      </c>
      <c r="D626" s="57" t="s">
        <v>26</v>
      </c>
      <c r="E626" s="153">
        <v>9.5</v>
      </c>
      <c r="F626" s="153">
        <v>40.97</v>
      </c>
      <c r="G626" s="164"/>
      <c r="H626" s="164">
        <v>389.21499999999997</v>
      </c>
      <c r="I626" s="58">
        <v>72</v>
      </c>
      <c r="K626" s="57"/>
    </row>
    <row r="627" spans="1:11" x14ac:dyDescent="0.25">
      <c r="A627" s="154">
        <v>40869</v>
      </c>
      <c r="B627" s="150" t="s">
        <v>782</v>
      </c>
      <c r="C627" s="57" t="s">
        <v>8</v>
      </c>
      <c r="D627" s="57" t="s">
        <v>26</v>
      </c>
      <c r="E627" s="153">
        <v>3</v>
      </c>
      <c r="F627" s="153">
        <v>35.35</v>
      </c>
      <c r="G627" s="164"/>
      <c r="H627" s="164">
        <v>106.05</v>
      </c>
      <c r="I627" s="58">
        <v>72</v>
      </c>
      <c r="K627" s="57"/>
    </row>
    <row r="628" spans="1:11" x14ac:dyDescent="0.25">
      <c r="A628" s="154">
        <v>40869</v>
      </c>
      <c r="B628" s="150" t="s">
        <v>1188</v>
      </c>
      <c r="C628" s="57" t="s">
        <v>775</v>
      </c>
      <c r="D628" s="57" t="s">
        <v>26</v>
      </c>
      <c r="E628" s="153">
        <v>5</v>
      </c>
      <c r="F628" s="153">
        <v>80</v>
      </c>
      <c r="G628" s="164"/>
      <c r="H628" s="164">
        <v>400</v>
      </c>
      <c r="I628" s="58">
        <v>72</v>
      </c>
      <c r="K628" s="57"/>
    </row>
    <row r="629" spans="1:11" x14ac:dyDescent="0.25">
      <c r="A629" s="154">
        <v>40869</v>
      </c>
      <c r="B629" s="150" t="s">
        <v>780</v>
      </c>
      <c r="C629" s="57" t="s">
        <v>8</v>
      </c>
      <c r="D629" s="57" t="s">
        <v>26</v>
      </c>
      <c r="E629" s="153">
        <v>3</v>
      </c>
      <c r="F629" s="153">
        <v>35.35</v>
      </c>
      <c r="G629" s="164"/>
      <c r="H629" s="164">
        <v>106.05</v>
      </c>
      <c r="I629" s="58">
        <v>72</v>
      </c>
      <c r="K629" s="57"/>
    </row>
    <row r="630" spans="1:11" x14ac:dyDescent="0.25">
      <c r="A630" s="154">
        <v>40870</v>
      </c>
      <c r="B630" s="150" t="s">
        <v>804</v>
      </c>
      <c r="C630" s="57" t="s">
        <v>8</v>
      </c>
      <c r="D630" s="57" t="s">
        <v>26</v>
      </c>
      <c r="E630" s="153">
        <v>6</v>
      </c>
      <c r="F630" s="153">
        <v>57.7</v>
      </c>
      <c r="G630" s="164"/>
      <c r="H630" s="164">
        <v>346.2</v>
      </c>
      <c r="I630" s="58">
        <v>72</v>
      </c>
      <c r="K630" s="57"/>
    </row>
    <row r="631" spans="1:11" x14ac:dyDescent="0.25">
      <c r="A631" s="154">
        <v>40870</v>
      </c>
      <c r="B631" s="150" t="s">
        <v>911</v>
      </c>
      <c r="C631" s="57" t="s">
        <v>8</v>
      </c>
      <c r="D631" s="57" t="s">
        <v>26</v>
      </c>
      <c r="E631" s="153">
        <v>10</v>
      </c>
      <c r="F631" s="153">
        <v>40.97</v>
      </c>
      <c r="G631" s="164"/>
      <c r="H631" s="164">
        <v>409.7</v>
      </c>
      <c r="I631" s="58">
        <v>72</v>
      </c>
      <c r="K631" s="57"/>
    </row>
    <row r="632" spans="1:11" x14ac:dyDescent="0.25">
      <c r="A632" s="154">
        <v>40871</v>
      </c>
      <c r="B632" s="150" t="s">
        <v>804</v>
      </c>
      <c r="C632" s="57" t="s">
        <v>8</v>
      </c>
      <c r="D632" s="57" t="s">
        <v>26</v>
      </c>
      <c r="E632" s="153">
        <v>7.5</v>
      </c>
      <c r="F632" s="153">
        <v>57.7</v>
      </c>
      <c r="G632" s="164"/>
      <c r="H632" s="164">
        <v>432.75</v>
      </c>
      <c r="I632" s="58">
        <v>72</v>
      </c>
      <c r="K632" s="57"/>
    </row>
    <row r="633" spans="1:11" x14ac:dyDescent="0.25">
      <c r="A633" s="154">
        <v>40871</v>
      </c>
      <c r="B633" s="150" t="s">
        <v>911</v>
      </c>
      <c r="C633" s="57" t="s">
        <v>8</v>
      </c>
      <c r="D633" s="57" t="s">
        <v>26</v>
      </c>
      <c r="E633" s="153">
        <v>10</v>
      </c>
      <c r="F633" s="153">
        <v>40.97</v>
      </c>
      <c r="G633" s="164"/>
      <c r="H633" s="164">
        <v>409.7</v>
      </c>
      <c r="I633" s="58">
        <v>72</v>
      </c>
      <c r="K633" s="57"/>
    </row>
    <row r="634" spans="1:11" x14ac:dyDescent="0.25">
      <c r="A634" s="154">
        <v>40872</v>
      </c>
      <c r="B634" s="150" t="s">
        <v>911</v>
      </c>
      <c r="C634" s="57" t="s">
        <v>8</v>
      </c>
      <c r="D634" s="57" t="s">
        <v>26</v>
      </c>
      <c r="E634" s="153">
        <v>10.5</v>
      </c>
      <c r="F634" s="153">
        <v>40.97</v>
      </c>
      <c r="G634" s="164"/>
      <c r="H634" s="164">
        <v>430.185</v>
      </c>
      <c r="I634" s="58">
        <v>72</v>
      </c>
      <c r="K634" s="57"/>
    </row>
    <row r="635" spans="1:11" x14ac:dyDescent="0.25">
      <c r="A635" s="154">
        <v>40872</v>
      </c>
      <c r="B635" s="150" t="s">
        <v>804</v>
      </c>
      <c r="C635" s="57" t="s">
        <v>8</v>
      </c>
      <c r="D635" s="57" t="s">
        <v>26</v>
      </c>
      <c r="E635" s="153">
        <v>7.5</v>
      </c>
      <c r="F635" s="153">
        <v>44.2</v>
      </c>
      <c r="G635" s="164"/>
      <c r="H635" s="164">
        <v>331.5</v>
      </c>
      <c r="I635" s="58">
        <v>72</v>
      </c>
      <c r="K635" s="57"/>
    </row>
    <row r="636" spans="1:11" x14ac:dyDescent="0.25">
      <c r="A636" s="154">
        <v>40872</v>
      </c>
      <c r="B636" s="150" t="s">
        <v>804</v>
      </c>
      <c r="C636" s="57" t="s">
        <v>8</v>
      </c>
      <c r="D636" s="57" t="s">
        <v>26</v>
      </c>
      <c r="E636" s="153">
        <v>9</v>
      </c>
      <c r="F636" s="153">
        <v>57.7</v>
      </c>
      <c r="G636" s="164"/>
      <c r="H636" s="164">
        <v>519.29999999999995</v>
      </c>
      <c r="I636" s="58">
        <v>72</v>
      </c>
      <c r="K636" s="57"/>
    </row>
    <row r="637" spans="1:11" x14ac:dyDescent="0.25">
      <c r="A637" s="154">
        <v>40873</v>
      </c>
      <c r="B637" s="150" t="s">
        <v>911</v>
      </c>
      <c r="C637" s="57" t="s">
        <v>8</v>
      </c>
      <c r="D637" s="57" t="s">
        <v>26</v>
      </c>
      <c r="E637" s="153">
        <v>8.5</v>
      </c>
      <c r="F637" s="153">
        <v>40.97</v>
      </c>
      <c r="G637" s="164"/>
      <c r="H637" s="164">
        <v>348.245</v>
      </c>
      <c r="I637" s="58">
        <v>72</v>
      </c>
      <c r="K637" s="57"/>
    </row>
    <row r="638" spans="1:11" x14ac:dyDescent="0.25">
      <c r="A638" s="154">
        <v>40873</v>
      </c>
      <c r="B638" s="150" t="s">
        <v>804</v>
      </c>
      <c r="C638" s="57" t="s">
        <v>8</v>
      </c>
      <c r="D638" s="57" t="s">
        <v>26</v>
      </c>
      <c r="E638" s="153">
        <v>9</v>
      </c>
      <c r="F638" s="153">
        <v>57.7</v>
      </c>
      <c r="G638" s="164"/>
      <c r="H638" s="164">
        <v>519.29999999999995</v>
      </c>
      <c r="I638" s="58">
        <v>72</v>
      </c>
      <c r="K638" s="57"/>
    </row>
    <row r="639" spans="1:11" x14ac:dyDescent="0.25">
      <c r="A639" s="154">
        <v>40874</v>
      </c>
      <c r="B639" s="150" t="s">
        <v>911</v>
      </c>
      <c r="C639" s="57" t="s">
        <v>8</v>
      </c>
      <c r="D639" s="57" t="s">
        <v>26</v>
      </c>
      <c r="E639" s="153">
        <v>9</v>
      </c>
      <c r="F639" s="153">
        <v>40.97</v>
      </c>
      <c r="G639" s="164"/>
      <c r="H639" s="164">
        <v>368.73</v>
      </c>
      <c r="I639" s="58">
        <v>72</v>
      </c>
      <c r="K639" s="57"/>
    </row>
    <row r="640" spans="1:11" x14ac:dyDescent="0.25">
      <c r="A640" s="154">
        <v>40874</v>
      </c>
      <c r="B640" s="150" t="s">
        <v>804</v>
      </c>
      <c r="C640" s="57" t="s">
        <v>8</v>
      </c>
      <c r="D640" s="57" t="s">
        <v>26</v>
      </c>
      <c r="E640" s="153">
        <v>9</v>
      </c>
      <c r="F640" s="153">
        <v>57.7</v>
      </c>
      <c r="G640" s="164"/>
      <c r="H640" s="164">
        <v>519.29999999999995</v>
      </c>
      <c r="I640" s="58">
        <v>72</v>
      </c>
      <c r="K640" s="57"/>
    </row>
    <row r="641" spans="1:11" x14ac:dyDescent="0.25">
      <c r="A641" s="154">
        <v>40875</v>
      </c>
      <c r="B641" s="150" t="s">
        <v>1188</v>
      </c>
      <c r="C641" s="57" t="s">
        <v>775</v>
      </c>
      <c r="D641" s="57" t="s">
        <v>26</v>
      </c>
      <c r="E641" s="153">
        <v>4</v>
      </c>
      <c r="F641" s="153">
        <v>80</v>
      </c>
      <c r="G641" s="164"/>
      <c r="H641" s="164">
        <v>320</v>
      </c>
      <c r="I641" s="58">
        <v>72</v>
      </c>
      <c r="K641" s="57"/>
    </row>
    <row r="642" spans="1:11" x14ac:dyDescent="0.25">
      <c r="A642" s="154">
        <v>40875</v>
      </c>
      <c r="B642" s="150" t="s">
        <v>911</v>
      </c>
      <c r="C642" s="57" t="s">
        <v>8</v>
      </c>
      <c r="D642" s="57" t="s">
        <v>26</v>
      </c>
      <c r="E642" s="153">
        <v>11</v>
      </c>
      <c r="F642" s="153">
        <v>40.97</v>
      </c>
      <c r="G642" s="164"/>
      <c r="H642" s="164">
        <v>450.67</v>
      </c>
      <c r="I642" s="58">
        <v>72</v>
      </c>
      <c r="K642" s="57"/>
    </row>
    <row r="643" spans="1:11" x14ac:dyDescent="0.25">
      <c r="A643" s="154">
        <v>40875</v>
      </c>
      <c r="B643" s="150" t="s">
        <v>780</v>
      </c>
      <c r="C643" s="57" t="s">
        <v>8</v>
      </c>
      <c r="D643" s="57" t="s">
        <v>26</v>
      </c>
      <c r="E643" s="153">
        <v>4</v>
      </c>
      <c r="F643" s="153">
        <v>35.35</v>
      </c>
      <c r="G643" s="164"/>
      <c r="H643" s="164">
        <v>141.4</v>
      </c>
      <c r="I643" s="58">
        <v>72</v>
      </c>
      <c r="K643" s="57"/>
    </row>
    <row r="644" spans="1:11" x14ac:dyDescent="0.25">
      <c r="A644" s="154">
        <v>40876</v>
      </c>
      <c r="B644" s="150" t="s">
        <v>780</v>
      </c>
      <c r="C644" s="57" t="s">
        <v>8</v>
      </c>
      <c r="D644" s="57" t="s">
        <v>26</v>
      </c>
      <c r="E644" s="153">
        <v>2</v>
      </c>
      <c r="F644" s="153">
        <v>35.35</v>
      </c>
      <c r="G644" s="164"/>
      <c r="H644" s="164">
        <v>70.7</v>
      </c>
      <c r="I644" s="58">
        <v>72</v>
      </c>
      <c r="K644" s="57"/>
    </row>
    <row r="645" spans="1:11" x14ac:dyDescent="0.25">
      <c r="A645" s="154">
        <v>40876</v>
      </c>
      <c r="B645" s="150" t="s">
        <v>804</v>
      </c>
      <c r="C645" s="57" t="s">
        <v>8</v>
      </c>
      <c r="D645" s="57" t="s">
        <v>26</v>
      </c>
      <c r="E645" s="153">
        <v>10</v>
      </c>
      <c r="F645" s="153">
        <v>57.7</v>
      </c>
      <c r="G645" s="164"/>
      <c r="H645" s="164">
        <v>577</v>
      </c>
      <c r="I645" s="58">
        <v>72</v>
      </c>
      <c r="K645" s="57"/>
    </row>
    <row r="646" spans="1:11" x14ac:dyDescent="0.25">
      <c r="A646" s="154">
        <v>40876</v>
      </c>
      <c r="B646" s="150" t="s">
        <v>1188</v>
      </c>
      <c r="C646" s="57" t="s">
        <v>775</v>
      </c>
      <c r="D646" s="57" t="s">
        <v>26</v>
      </c>
      <c r="E646" s="153">
        <v>2</v>
      </c>
      <c r="F646" s="153">
        <v>80</v>
      </c>
      <c r="G646" s="164"/>
      <c r="H646" s="164">
        <v>160</v>
      </c>
      <c r="I646" s="58">
        <v>72</v>
      </c>
      <c r="K646" s="57"/>
    </row>
    <row r="647" spans="1:11" x14ac:dyDescent="0.25">
      <c r="A647" s="154">
        <v>40876</v>
      </c>
      <c r="B647" s="150" t="s">
        <v>911</v>
      </c>
      <c r="C647" s="57" t="s">
        <v>8</v>
      </c>
      <c r="D647" s="57" t="s">
        <v>26</v>
      </c>
      <c r="E647" s="153">
        <v>10.5</v>
      </c>
      <c r="F647" s="153">
        <v>40.97</v>
      </c>
      <c r="G647" s="164"/>
      <c r="H647" s="164">
        <v>430.185</v>
      </c>
      <c r="I647" s="58">
        <v>72</v>
      </c>
      <c r="K647" s="57"/>
    </row>
    <row r="648" spans="1:11" x14ac:dyDescent="0.25">
      <c r="A648" s="154">
        <v>40877</v>
      </c>
      <c r="B648" s="150" t="s">
        <v>911</v>
      </c>
      <c r="C648" s="57" t="s">
        <v>8</v>
      </c>
      <c r="D648" s="57" t="s">
        <v>26</v>
      </c>
      <c r="E648" s="153">
        <v>11</v>
      </c>
      <c r="F648" s="153">
        <v>40.97</v>
      </c>
      <c r="G648" s="164"/>
      <c r="H648" s="164">
        <v>450.67</v>
      </c>
      <c r="I648" s="58">
        <v>72</v>
      </c>
      <c r="K648" s="57"/>
    </row>
    <row r="649" spans="1:11" x14ac:dyDescent="0.25">
      <c r="A649" s="154">
        <v>40877</v>
      </c>
      <c r="B649" s="150" t="s">
        <v>804</v>
      </c>
      <c r="C649" s="57" t="s">
        <v>8</v>
      </c>
      <c r="D649" s="57" t="s">
        <v>26</v>
      </c>
      <c r="E649" s="153">
        <v>11</v>
      </c>
      <c r="F649" s="153">
        <v>57.7</v>
      </c>
      <c r="G649" s="164"/>
      <c r="H649" s="164">
        <v>634.70000000000005</v>
      </c>
      <c r="I649" s="58">
        <v>72</v>
      </c>
      <c r="K649" s="57"/>
    </row>
    <row r="650" spans="1:11" x14ac:dyDescent="0.25">
      <c r="A650" s="154">
        <v>40878</v>
      </c>
      <c r="B650" s="150" t="s">
        <v>804</v>
      </c>
      <c r="C650" s="57" t="s">
        <v>8</v>
      </c>
      <c r="D650" s="57" t="s">
        <v>26</v>
      </c>
      <c r="E650" s="153">
        <v>9</v>
      </c>
      <c r="F650" s="153">
        <v>57.7</v>
      </c>
      <c r="G650" s="164"/>
      <c r="H650" s="164">
        <v>519.29999999999995</v>
      </c>
      <c r="I650" s="58">
        <v>72</v>
      </c>
      <c r="K650" s="57"/>
    </row>
    <row r="651" spans="1:11" x14ac:dyDescent="0.25">
      <c r="A651" s="154">
        <v>40878</v>
      </c>
      <c r="B651" s="150" t="s">
        <v>911</v>
      </c>
      <c r="C651" s="57" t="s">
        <v>8</v>
      </c>
      <c r="D651" s="57" t="s">
        <v>26</v>
      </c>
      <c r="E651" s="153">
        <v>9</v>
      </c>
      <c r="F651" s="153">
        <v>40.97</v>
      </c>
      <c r="G651" s="164"/>
      <c r="H651" s="164">
        <v>368.73</v>
      </c>
      <c r="I651" s="58">
        <v>72</v>
      </c>
      <c r="K651" s="57"/>
    </row>
    <row r="652" spans="1:11" x14ac:dyDescent="0.25">
      <c r="A652" s="154">
        <v>40884</v>
      </c>
      <c r="B652" s="150" t="s">
        <v>1188</v>
      </c>
      <c r="C652" s="57" t="s">
        <v>775</v>
      </c>
      <c r="D652" s="57" t="s">
        <v>26</v>
      </c>
      <c r="E652" s="153">
        <v>4</v>
      </c>
      <c r="F652" s="153">
        <v>80</v>
      </c>
      <c r="G652" s="164"/>
      <c r="H652" s="164">
        <v>320</v>
      </c>
      <c r="I652" s="58">
        <v>72</v>
      </c>
      <c r="K652" s="57"/>
    </row>
    <row r="653" spans="1:11" x14ac:dyDescent="0.25">
      <c r="A653" s="154">
        <v>40884</v>
      </c>
      <c r="B653" s="150" t="s">
        <v>780</v>
      </c>
      <c r="C653" s="57" t="s">
        <v>8</v>
      </c>
      <c r="D653" s="57" t="s">
        <v>26</v>
      </c>
      <c r="E653" s="153">
        <v>4</v>
      </c>
      <c r="F653" s="153">
        <v>35.35</v>
      </c>
      <c r="G653" s="164"/>
      <c r="H653" s="164">
        <v>141.4</v>
      </c>
      <c r="I653" s="58">
        <v>72</v>
      </c>
      <c r="K653" s="57"/>
    </row>
    <row r="654" spans="1:11" x14ac:dyDescent="0.25">
      <c r="A654" s="154">
        <v>40884</v>
      </c>
      <c r="B654" s="150" t="s">
        <v>782</v>
      </c>
      <c r="C654" s="57" t="s">
        <v>8</v>
      </c>
      <c r="D654" s="57" t="s">
        <v>26</v>
      </c>
      <c r="E654" s="153">
        <v>2</v>
      </c>
      <c r="F654" s="153">
        <v>35.35</v>
      </c>
      <c r="G654" s="164"/>
      <c r="H654" s="164">
        <v>70.7</v>
      </c>
      <c r="I654" s="58">
        <v>72</v>
      </c>
      <c r="K654" s="57"/>
    </row>
    <row r="655" spans="1:11" x14ac:dyDescent="0.25">
      <c r="A655" s="154">
        <v>40885</v>
      </c>
      <c r="B655" s="150" t="s">
        <v>782</v>
      </c>
      <c r="C655" s="57" t="s">
        <v>8</v>
      </c>
      <c r="D655" s="57" t="s">
        <v>26</v>
      </c>
      <c r="E655" s="153">
        <v>7</v>
      </c>
      <c r="F655" s="153">
        <v>35.35</v>
      </c>
      <c r="G655" s="164"/>
      <c r="H655" s="164">
        <v>247.45</v>
      </c>
      <c r="I655" s="58">
        <v>72</v>
      </c>
      <c r="K655" s="57"/>
    </row>
    <row r="656" spans="1:11" x14ac:dyDescent="0.25">
      <c r="A656" s="154">
        <v>40885</v>
      </c>
      <c r="B656" s="150" t="s">
        <v>804</v>
      </c>
      <c r="C656" s="57" t="s">
        <v>8</v>
      </c>
      <c r="D656" s="57" t="s">
        <v>26</v>
      </c>
      <c r="E656" s="153">
        <v>10.5</v>
      </c>
      <c r="F656" s="153">
        <v>44.2</v>
      </c>
      <c r="G656" s="164"/>
      <c r="H656" s="164">
        <v>464.1</v>
      </c>
      <c r="I656" s="58">
        <v>72</v>
      </c>
      <c r="K656" s="57"/>
    </row>
    <row r="657" spans="1:11" x14ac:dyDescent="0.25">
      <c r="A657" s="154">
        <v>40934</v>
      </c>
      <c r="B657" s="150" t="s">
        <v>894</v>
      </c>
      <c r="C657" s="57" t="s">
        <v>8</v>
      </c>
      <c r="D657" s="57" t="s">
        <v>26</v>
      </c>
      <c r="E657" s="153">
        <v>10</v>
      </c>
      <c r="F657" s="153">
        <v>45</v>
      </c>
      <c r="G657" s="164"/>
      <c r="H657" s="164">
        <v>450</v>
      </c>
      <c r="I657" s="58">
        <v>72</v>
      </c>
      <c r="K657" s="57"/>
    </row>
    <row r="658" spans="1:11" x14ac:dyDescent="0.25">
      <c r="A658" s="154">
        <v>40935</v>
      </c>
      <c r="B658" s="150" t="s">
        <v>856</v>
      </c>
      <c r="C658" s="57" t="s">
        <v>8</v>
      </c>
      <c r="D658" s="57" t="s">
        <v>26</v>
      </c>
      <c r="E658" s="153">
        <v>5.5</v>
      </c>
      <c r="F658" s="153">
        <v>40.97</v>
      </c>
      <c r="G658" s="164"/>
      <c r="H658" s="164">
        <v>225.33500000000001</v>
      </c>
      <c r="I658" s="58">
        <v>72</v>
      </c>
      <c r="K658" s="57"/>
    </row>
    <row r="659" spans="1:11" x14ac:dyDescent="0.25">
      <c r="A659" s="154">
        <v>40935</v>
      </c>
      <c r="B659" s="150" t="s">
        <v>894</v>
      </c>
      <c r="C659" s="57" t="s">
        <v>8</v>
      </c>
      <c r="D659" s="57" t="s">
        <v>26</v>
      </c>
      <c r="E659" s="153">
        <v>6.5</v>
      </c>
      <c r="F659" s="153">
        <v>45</v>
      </c>
      <c r="G659" s="164"/>
      <c r="H659" s="164">
        <v>292.5</v>
      </c>
      <c r="I659" s="58">
        <v>72</v>
      </c>
      <c r="K659" s="57"/>
    </row>
    <row r="660" spans="1:11" x14ac:dyDescent="0.25">
      <c r="A660" s="154">
        <v>40936</v>
      </c>
      <c r="B660" s="150" t="s">
        <v>894</v>
      </c>
      <c r="C660" s="57" t="s">
        <v>8</v>
      </c>
      <c r="D660" s="57" t="s">
        <v>26</v>
      </c>
      <c r="E660" s="153">
        <v>9</v>
      </c>
      <c r="F660" s="153">
        <v>45</v>
      </c>
      <c r="G660" s="164"/>
      <c r="H660" s="164">
        <v>405</v>
      </c>
      <c r="I660" s="58">
        <v>72</v>
      </c>
      <c r="K660" s="57"/>
    </row>
    <row r="661" spans="1:11" x14ac:dyDescent="0.25">
      <c r="A661" s="154">
        <v>40936</v>
      </c>
      <c r="B661" s="150" t="s">
        <v>856</v>
      </c>
      <c r="C661" s="57" t="s">
        <v>8</v>
      </c>
      <c r="D661" s="57" t="s">
        <v>26</v>
      </c>
      <c r="E661" s="153">
        <v>9</v>
      </c>
      <c r="F661" s="153">
        <v>40.97</v>
      </c>
      <c r="G661" s="164"/>
      <c r="H661" s="164">
        <v>368.73</v>
      </c>
      <c r="I661" s="58">
        <v>72</v>
      </c>
      <c r="K661" s="57"/>
    </row>
    <row r="662" spans="1:11" x14ac:dyDescent="0.25">
      <c r="A662" s="154">
        <v>40937</v>
      </c>
      <c r="B662" s="150" t="s">
        <v>894</v>
      </c>
      <c r="C662" s="57" t="s">
        <v>8</v>
      </c>
      <c r="D662" s="57" t="s">
        <v>26</v>
      </c>
      <c r="E662" s="153">
        <v>9</v>
      </c>
      <c r="F662" s="153">
        <v>45</v>
      </c>
      <c r="G662" s="164"/>
      <c r="H662" s="164">
        <v>405</v>
      </c>
      <c r="I662" s="58">
        <v>72</v>
      </c>
      <c r="K662" s="57"/>
    </row>
    <row r="663" spans="1:11" x14ac:dyDescent="0.25">
      <c r="A663" s="154">
        <v>40937</v>
      </c>
      <c r="B663" s="150" t="s">
        <v>856</v>
      </c>
      <c r="C663" s="57" t="s">
        <v>8</v>
      </c>
      <c r="D663" s="57" t="s">
        <v>26</v>
      </c>
      <c r="E663" s="153">
        <v>7</v>
      </c>
      <c r="F663" s="153">
        <v>40.97</v>
      </c>
      <c r="G663" s="164"/>
      <c r="H663" s="164">
        <v>286.79000000000002</v>
      </c>
      <c r="I663" s="58">
        <v>72</v>
      </c>
      <c r="K663" s="57"/>
    </row>
    <row r="664" spans="1:11" x14ac:dyDescent="0.25">
      <c r="A664" s="154">
        <v>40938</v>
      </c>
      <c r="B664" s="150" t="s">
        <v>894</v>
      </c>
      <c r="C664" s="57" t="s">
        <v>8</v>
      </c>
      <c r="D664" s="57" t="s">
        <v>26</v>
      </c>
      <c r="E664" s="153">
        <v>10</v>
      </c>
      <c r="F664" s="153">
        <v>45</v>
      </c>
      <c r="G664" s="164"/>
      <c r="H664" s="164">
        <v>450</v>
      </c>
      <c r="I664" s="58">
        <v>72</v>
      </c>
      <c r="K664" s="57"/>
    </row>
    <row r="665" spans="1:11" x14ac:dyDescent="0.25">
      <c r="A665" s="154">
        <v>40942</v>
      </c>
      <c r="B665" s="150" t="s">
        <v>894</v>
      </c>
      <c r="C665" s="57" t="s">
        <v>8</v>
      </c>
      <c r="D665" s="57" t="s">
        <v>26</v>
      </c>
      <c r="E665" s="153">
        <v>5</v>
      </c>
      <c r="F665" s="153">
        <v>45</v>
      </c>
      <c r="G665" s="164"/>
      <c r="H665" s="164">
        <v>225</v>
      </c>
      <c r="I665" s="58">
        <v>72</v>
      </c>
      <c r="K665" s="57"/>
    </row>
    <row r="666" spans="1:11" x14ac:dyDescent="0.25">
      <c r="A666" s="154">
        <v>40946</v>
      </c>
      <c r="B666" s="150" t="s">
        <v>894</v>
      </c>
      <c r="C666" s="57" t="s">
        <v>8</v>
      </c>
      <c r="D666" s="57" t="s">
        <v>26</v>
      </c>
      <c r="E666" s="153">
        <v>4</v>
      </c>
      <c r="F666" s="153">
        <v>45</v>
      </c>
      <c r="G666" s="164"/>
      <c r="H666" s="164">
        <v>180</v>
      </c>
      <c r="I666" s="58">
        <v>72</v>
      </c>
      <c r="K666" s="57"/>
    </row>
    <row r="667" spans="1:11" x14ac:dyDescent="0.25">
      <c r="A667" s="154">
        <v>40953</v>
      </c>
      <c r="B667" s="150" t="s">
        <v>850</v>
      </c>
      <c r="C667" s="57" t="s">
        <v>8</v>
      </c>
      <c r="D667" s="57" t="s">
        <v>26</v>
      </c>
      <c r="E667" s="153">
        <v>4</v>
      </c>
      <c r="F667" s="153">
        <v>40.97</v>
      </c>
      <c r="G667" s="164"/>
      <c r="H667" s="164">
        <v>163.88</v>
      </c>
      <c r="I667" s="58">
        <v>72</v>
      </c>
      <c r="K667" s="57"/>
    </row>
    <row r="668" spans="1:11" x14ac:dyDescent="0.25">
      <c r="A668" s="154">
        <v>40953</v>
      </c>
      <c r="B668" s="150" t="s">
        <v>850</v>
      </c>
      <c r="C668" s="57" t="s">
        <v>8</v>
      </c>
      <c r="D668" s="57" t="s">
        <v>26</v>
      </c>
      <c r="E668" s="153">
        <v>4</v>
      </c>
      <c r="F668" s="153">
        <v>40.97</v>
      </c>
      <c r="G668" s="164"/>
      <c r="H668" s="164">
        <v>163.88</v>
      </c>
      <c r="I668" s="58">
        <v>72</v>
      </c>
      <c r="K668" s="57"/>
    </row>
    <row r="669" spans="1:11" x14ac:dyDescent="0.25">
      <c r="A669" s="154">
        <v>40954</v>
      </c>
      <c r="B669" s="150" t="s">
        <v>850</v>
      </c>
      <c r="C669" s="57" t="s">
        <v>8</v>
      </c>
      <c r="D669" s="57" t="s">
        <v>26</v>
      </c>
      <c r="E669" s="153">
        <v>4.5</v>
      </c>
      <c r="F669" s="153">
        <v>40.97</v>
      </c>
      <c r="G669" s="164"/>
      <c r="H669" s="164">
        <v>184.36500000000001</v>
      </c>
      <c r="I669" s="58">
        <v>72</v>
      </c>
      <c r="K669" s="57"/>
    </row>
    <row r="670" spans="1:11" x14ac:dyDescent="0.25">
      <c r="A670" s="169" t="s">
        <v>682</v>
      </c>
      <c r="B670" s="170" t="s">
        <v>912</v>
      </c>
      <c r="C670" s="171" t="s">
        <v>682</v>
      </c>
      <c r="D670" s="171" t="s">
        <v>682</v>
      </c>
      <c r="E670" s="172"/>
      <c r="F670" s="172"/>
      <c r="G670" s="173"/>
      <c r="H670" s="173">
        <v>18303.345000000005</v>
      </c>
      <c r="I670" s="174" t="s">
        <v>682</v>
      </c>
      <c r="K670" s="57"/>
    </row>
    <row r="671" spans="1:11" x14ac:dyDescent="0.25">
      <c r="A671" s="154" t="s">
        <v>682</v>
      </c>
      <c r="B671" s="150" t="s">
        <v>682</v>
      </c>
      <c r="C671" s="57" t="s">
        <v>682</v>
      </c>
      <c r="D671" s="57" t="s">
        <v>682</v>
      </c>
      <c r="E671" s="153"/>
      <c r="F671" s="153"/>
      <c r="G671" s="164"/>
      <c r="H671" s="164"/>
      <c r="I671" s="58" t="s">
        <v>682</v>
      </c>
      <c r="K671" s="57"/>
    </row>
    <row r="672" spans="1:11" x14ac:dyDescent="0.25">
      <c r="A672" s="166" t="s">
        <v>682</v>
      </c>
      <c r="B672" s="165" t="s">
        <v>913</v>
      </c>
      <c r="C672" s="60" t="s">
        <v>682</v>
      </c>
      <c r="D672" s="60" t="s">
        <v>682</v>
      </c>
      <c r="E672" s="167"/>
      <c r="F672" s="167"/>
      <c r="G672" s="168"/>
      <c r="H672" s="168"/>
      <c r="I672" s="46" t="s">
        <v>682</v>
      </c>
      <c r="K672" s="57"/>
    </row>
    <row r="673" spans="1:11" x14ac:dyDescent="0.25">
      <c r="A673" s="154">
        <v>40843</v>
      </c>
      <c r="B673" s="150" t="s">
        <v>782</v>
      </c>
      <c r="C673" s="57" t="s">
        <v>8</v>
      </c>
      <c r="D673" s="57" t="s">
        <v>26</v>
      </c>
      <c r="E673" s="153">
        <v>9.5</v>
      </c>
      <c r="F673" s="153">
        <v>35.35</v>
      </c>
      <c r="G673" s="164"/>
      <c r="H673" s="164">
        <v>335.82499999999999</v>
      </c>
      <c r="I673" s="58">
        <v>81</v>
      </c>
      <c r="K673" s="57"/>
    </row>
    <row r="674" spans="1:11" x14ac:dyDescent="0.25">
      <c r="A674" s="154">
        <v>40843</v>
      </c>
      <c r="B674" s="150" t="s">
        <v>1188</v>
      </c>
      <c r="C674" s="57" t="s">
        <v>775</v>
      </c>
      <c r="D674" s="57" t="s">
        <v>26</v>
      </c>
      <c r="E674" s="153">
        <v>4</v>
      </c>
      <c r="F674" s="153">
        <v>80</v>
      </c>
      <c r="G674" s="164"/>
      <c r="H674" s="164">
        <v>320</v>
      </c>
      <c r="I674" s="58">
        <v>81</v>
      </c>
      <c r="K674" s="57"/>
    </row>
    <row r="675" spans="1:11" x14ac:dyDescent="0.25">
      <c r="A675" s="154">
        <v>40843</v>
      </c>
      <c r="B675" s="150" t="s">
        <v>865</v>
      </c>
      <c r="C675" s="57" t="s">
        <v>973</v>
      </c>
      <c r="D675" s="57" t="s">
        <v>25</v>
      </c>
      <c r="E675" s="153">
        <v>1</v>
      </c>
      <c r="F675" s="153">
        <v>850</v>
      </c>
      <c r="G675" s="164"/>
      <c r="H675" s="164">
        <v>850</v>
      </c>
      <c r="I675" s="58">
        <v>81</v>
      </c>
      <c r="K675" s="57"/>
    </row>
    <row r="676" spans="1:11" x14ac:dyDescent="0.25">
      <c r="A676" s="154">
        <v>40843</v>
      </c>
      <c r="B676" s="150" t="s">
        <v>776</v>
      </c>
      <c r="C676" s="57" t="s">
        <v>8</v>
      </c>
      <c r="D676" s="57" t="s">
        <v>26</v>
      </c>
      <c r="E676" s="153">
        <v>9.5</v>
      </c>
      <c r="F676" s="153">
        <v>35.35</v>
      </c>
      <c r="G676" s="164"/>
      <c r="H676" s="164">
        <v>335.82499999999999</v>
      </c>
      <c r="I676" s="58">
        <v>81</v>
      </c>
      <c r="K676" s="57"/>
    </row>
    <row r="677" spans="1:11" x14ac:dyDescent="0.25">
      <c r="A677" s="154">
        <v>40843</v>
      </c>
      <c r="B677" s="150" t="s">
        <v>782</v>
      </c>
      <c r="C677" s="57" t="s">
        <v>8</v>
      </c>
      <c r="D677" s="57" t="s">
        <v>26</v>
      </c>
      <c r="E677" s="153">
        <v>9.5</v>
      </c>
      <c r="F677" s="153">
        <v>35.35</v>
      </c>
      <c r="G677" s="164"/>
      <c r="H677" s="164">
        <v>335.82499999999999</v>
      </c>
      <c r="I677" s="58">
        <v>81</v>
      </c>
      <c r="K677" s="57"/>
    </row>
    <row r="678" spans="1:11" x14ac:dyDescent="0.25">
      <c r="A678" s="154">
        <v>40844</v>
      </c>
      <c r="B678" s="150" t="s">
        <v>782</v>
      </c>
      <c r="C678" s="57" t="s">
        <v>8</v>
      </c>
      <c r="D678" s="57" t="s">
        <v>26</v>
      </c>
      <c r="E678" s="153">
        <v>9.5</v>
      </c>
      <c r="F678" s="153">
        <v>35.35</v>
      </c>
      <c r="G678" s="164"/>
      <c r="H678" s="164">
        <v>335.82499999999999</v>
      </c>
      <c r="I678" s="58">
        <v>81</v>
      </c>
      <c r="K678" s="57"/>
    </row>
    <row r="679" spans="1:11" x14ac:dyDescent="0.25">
      <c r="A679" s="154">
        <v>40844</v>
      </c>
      <c r="B679" s="150" t="s">
        <v>914</v>
      </c>
      <c r="C679" s="57" t="s">
        <v>794</v>
      </c>
      <c r="D679" s="57" t="s">
        <v>26</v>
      </c>
      <c r="E679" s="153">
        <v>9.5</v>
      </c>
      <c r="F679" s="153">
        <v>7</v>
      </c>
      <c r="G679" s="164"/>
      <c r="H679" s="164">
        <v>66.5</v>
      </c>
      <c r="I679" s="58">
        <v>81</v>
      </c>
      <c r="K679" s="57"/>
    </row>
    <row r="680" spans="1:11" x14ac:dyDescent="0.25">
      <c r="A680" s="154">
        <v>40844</v>
      </c>
      <c r="B680" s="150" t="s">
        <v>773</v>
      </c>
      <c r="C680" s="57" t="s">
        <v>774</v>
      </c>
      <c r="D680" s="57" t="s">
        <v>26</v>
      </c>
      <c r="E680" s="153">
        <v>9.5</v>
      </c>
      <c r="F680" s="153">
        <v>42.79</v>
      </c>
      <c r="G680" s="164"/>
      <c r="H680" s="164">
        <v>406.505</v>
      </c>
      <c r="I680" s="58">
        <v>81</v>
      </c>
      <c r="K680" s="57"/>
    </row>
    <row r="681" spans="1:11" x14ac:dyDescent="0.25">
      <c r="A681" s="154">
        <v>40844</v>
      </c>
      <c r="B681" s="150" t="s">
        <v>1188</v>
      </c>
      <c r="C681" s="57" t="s">
        <v>775</v>
      </c>
      <c r="D681" s="57" t="s">
        <v>26</v>
      </c>
      <c r="E681" s="153">
        <v>8.5</v>
      </c>
      <c r="F681" s="153">
        <v>80</v>
      </c>
      <c r="G681" s="164"/>
      <c r="H681" s="164">
        <v>680</v>
      </c>
      <c r="I681" s="58">
        <v>81</v>
      </c>
      <c r="K681" s="57"/>
    </row>
    <row r="682" spans="1:11" x14ac:dyDescent="0.25">
      <c r="A682" s="154">
        <v>40844</v>
      </c>
      <c r="B682" s="150" t="s">
        <v>776</v>
      </c>
      <c r="C682" s="57" t="s">
        <v>8</v>
      </c>
      <c r="D682" s="57" t="s">
        <v>26</v>
      </c>
      <c r="E682" s="153">
        <v>9.5</v>
      </c>
      <c r="F682" s="153">
        <v>35.35</v>
      </c>
      <c r="G682" s="164"/>
      <c r="H682" s="164">
        <v>335.82499999999999</v>
      </c>
      <c r="I682" s="58">
        <v>81</v>
      </c>
      <c r="K682" s="57"/>
    </row>
    <row r="683" spans="1:11" x14ac:dyDescent="0.25">
      <c r="A683" s="154">
        <v>40844</v>
      </c>
      <c r="B683" s="150" t="s">
        <v>782</v>
      </c>
      <c r="C683" s="57" t="s">
        <v>8</v>
      </c>
      <c r="D683" s="57" t="s">
        <v>26</v>
      </c>
      <c r="E683" s="153">
        <v>9.5</v>
      </c>
      <c r="F683" s="153">
        <v>35.35</v>
      </c>
      <c r="G683" s="164"/>
      <c r="H683" s="164">
        <v>335.82499999999999</v>
      </c>
      <c r="I683" s="58">
        <v>81</v>
      </c>
      <c r="K683" s="57"/>
    </row>
    <row r="684" spans="1:11" x14ac:dyDescent="0.25">
      <c r="A684" s="154">
        <v>40845</v>
      </c>
      <c r="B684" s="150" t="s">
        <v>773</v>
      </c>
      <c r="C684" s="57" t="s">
        <v>774</v>
      </c>
      <c r="D684" s="57" t="s">
        <v>26</v>
      </c>
      <c r="E684" s="153">
        <v>8</v>
      </c>
      <c r="F684" s="153">
        <v>42.79</v>
      </c>
      <c r="G684" s="164"/>
      <c r="H684" s="164">
        <v>342.32</v>
      </c>
      <c r="I684" s="58">
        <v>81</v>
      </c>
      <c r="K684" s="57"/>
    </row>
    <row r="685" spans="1:11" x14ac:dyDescent="0.25">
      <c r="A685" s="154">
        <v>40845</v>
      </c>
      <c r="B685" s="150" t="s">
        <v>1188</v>
      </c>
      <c r="C685" s="57" t="s">
        <v>775</v>
      </c>
      <c r="D685" s="57" t="s">
        <v>26</v>
      </c>
      <c r="E685" s="153">
        <v>7.5</v>
      </c>
      <c r="F685" s="153">
        <v>80</v>
      </c>
      <c r="G685" s="164"/>
      <c r="H685" s="164">
        <v>600</v>
      </c>
      <c r="I685" s="58">
        <v>81</v>
      </c>
      <c r="K685" s="57"/>
    </row>
    <row r="686" spans="1:11" x14ac:dyDescent="0.25">
      <c r="A686" s="154">
        <v>40845</v>
      </c>
      <c r="B686" s="150" t="s">
        <v>914</v>
      </c>
      <c r="C686" s="57" t="s">
        <v>794</v>
      </c>
      <c r="D686" s="57" t="s">
        <v>26</v>
      </c>
      <c r="E686" s="153">
        <v>9.5</v>
      </c>
      <c r="F686" s="153">
        <v>7</v>
      </c>
      <c r="G686" s="164"/>
      <c r="H686" s="164">
        <v>66.5</v>
      </c>
      <c r="I686" s="58">
        <v>81</v>
      </c>
      <c r="K686" s="57"/>
    </row>
    <row r="687" spans="1:11" x14ac:dyDescent="0.25">
      <c r="A687" s="154">
        <v>40845</v>
      </c>
      <c r="B687" s="150" t="s">
        <v>776</v>
      </c>
      <c r="C687" s="57" t="s">
        <v>8</v>
      </c>
      <c r="D687" s="57" t="s">
        <v>26</v>
      </c>
      <c r="E687" s="153">
        <v>8</v>
      </c>
      <c r="F687" s="153">
        <v>35.35</v>
      </c>
      <c r="G687" s="164"/>
      <c r="H687" s="164">
        <v>282.8</v>
      </c>
      <c r="I687" s="58">
        <v>81</v>
      </c>
      <c r="K687" s="57"/>
    </row>
    <row r="688" spans="1:11" x14ac:dyDescent="0.25">
      <c r="A688" s="154">
        <v>40845</v>
      </c>
      <c r="B688" s="150" t="s">
        <v>776</v>
      </c>
      <c r="C688" s="57" t="s">
        <v>8</v>
      </c>
      <c r="D688" s="57" t="s">
        <v>26</v>
      </c>
      <c r="E688" s="153">
        <v>8</v>
      </c>
      <c r="F688" s="153">
        <v>35.35</v>
      </c>
      <c r="G688" s="164"/>
      <c r="H688" s="164">
        <v>282.8</v>
      </c>
      <c r="I688" s="58">
        <v>81</v>
      </c>
      <c r="K688" s="57"/>
    </row>
    <row r="689" spans="1:11" x14ac:dyDescent="0.25">
      <c r="A689" s="154">
        <v>40845</v>
      </c>
      <c r="B689" s="150" t="s">
        <v>782</v>
      </c>
      <c r="C689" s="57" t="s">
        <v>8</v>
      </c>
      <c r="D689" s="57" t="s">
        <v>26</v>
      </c>
      <c r="E689" s="153">
        <v>8</v>
      </c>
      <c r="F689" s="153">
        <v>35.35</v>
      </c>
      <c r="G689" s="164"/>
      <c r="H689" s="164">
        <v>282.8</v>
      </c>
      <c r="I689" s="58">
        <v>81</v>
      </c>
      <c r="K689" s="57"/>
    </row>
    <row r="690" spans="1:11" x14ac:dyDescent="0.25">
      <c r="A690" s="154">
        <v>40845</v>
      </c>
      <c r="B690" s="150" t="s">
        <v>782</v>
      </c>
      <c r="C690" s="57" t="s">
        <v>8</v>
      </c>
      <c r="D690" s="57" t="s">
        <v>26</v>
      </c>
      <c r="E690" s="153">
        <v>8</v>
      </c>
      <c r="F690" s="153">
        <v>35.35</v>
      </c>
      <c r="G690" s="164"/>
      <c r="H690" s="164">
        <v>282.8</v>
      </c>
      <c r="I690" s="58">
        <v>81</v>
      </c>
      <c r="K690" s="57"/>
    </row>
    <row r="691" spans="1:11" x14ac:dyDescent="0.25">
      <c r="A691" s="154">
        <v>40846</v>
      </c>
      <c r="B691" s="150" t="s">
        <v>776</v>
      </c>
      <c r="C691" s="57" t="s">
        <v>8</v>
      </c>
      <c r="D691" s="57" t="s">
        <v>26</v>
      </c>
      <c r="E691" s="153">
        <v>9.5</v>
      </c>
      <c r="F691" s="153">
        <v>35.35</v>
      </c>
      <c r="G691" s="164"/>
      <c r="H691" s="164">
        <v>335.82499999999999</v>
      </c>
      <c r="I691" s="58">
        <v>81</v>
      </c>
      <c r="K691" s="57"/>
    </row>
    <row r="692" spans="1:11" x14ac:dyDescent="0.25">
      <c r="A692" s="154">
        <v>40846</v>
      </c>
      <c r="B692" s="150" t="s">
        <v>914</v>
      </c>
      <c r="C692" s="57" t="s">
        <v>794</v>
      </c>
      <c r="D692" s="57" t="s">
        <v>26</v>
      </c>
      <c r="E692" s="153">
        <v>9.5</v>
      </c>
      <c r="F692" s="153">
        <v>7</v>
      </c>
      <c r="G692" s="164"/>
      <c r="H692" s="164">
        <v>66.5</v>
      </c>
      <c r="I692" s="58">
        <v>81</v>
      </c>
      <c r="K692" s="57"/>
    </row>
    <row r="693" spans="1:11" x14ac:dyDescent="0.25">
      <c r="A693" s="154">
        <v>40846</v>
      </c>
      <c r="B693" s="150" t="s">
        <v>1188</v>
      </c>
      <c r="C693" s="57" t="s">
        <v>775</v>
      </c>
      <c r="D693" s="57" t="s">
        <v>26</v>
      </c>
      <c r="E693" s="153">
        <v>9</v>
      </c>
      <c r="F693" s="153">
        <v>80</v>
      </c>
      <c r="G693" s="164"/>
      <c r="H693" s="164">
        <v>720</v>
      </c>
      <c r="I693" s="58">
        <v>81</v>
      </c>
      <c r="K693" s="57"/>
    </row>
    <row r="694" spans="1:11" x14ac:dyDescent="0.25">
      <c r="A694" s="154">
        <v>40846</v>
      </c>
      <c r="B694" s="150" t="s">
        <v>776</v>
      </c>
      <c r="C694" s="57" t="s">
        <v>8</v>
      </c>
      <c r="D694" s="57" t="s">
        <v>26</v>
      </c>
      <c r="E694" s="153">
        <v>9.5</v>
      </c>
      <c r="F694" s="153">
        <v>35.35</v>
      </c>
      <c r="G694" s="164"/>
      <c r="H694" s="164">
        <v>335.82499999999999</v>
      </c>
      <c r="I694" s="58">
        <v>81</v>
      </c>
      <c r="K694" s="57"/>
    </row>
    <row r="695" spans="1:11" x14ac:dyDescent="0.25">
      <c r="A695" s="154">
        <v>40846</v>
      </c>
      <c r="B695" s="150" t="s">
        <v>782</v>
      </c>
      <c r="C695" s="57" t="s">
        <v>8</v>
      </c>
      <c r="D695" s="57" t="s">
        <v>26</v>
      </c>
      <c r="E695" s="153">
        <v>9.5</v>
      </c>
      <c r="F695" s="153">
        <v>35.35</v>
      </c>
      <c r="G695" s="164"/>
      <c r="H695" s="164">
        <v>335.82499999999999</v>
      </c>
      <c r="I695" s="58">
        <v>81</v>
      </c>
      <c r="K695" s="57"/>
    </row>
    <row r="696" spans="1:11" x14ac:dyDescent="0.25">
      <c r="A696" s="154">
        <v>40846</v>
      </c>
      <c r="B696" s="150" t="s">
        <v>773</v>
      </c>
      <c r="C696" s="57" t="s">
        <v>774</v>
      </c>
      <c r="D696" s="57" t="s">
        <v>26</v>
      </c>
      <c r="E696" s="153">
        <v>9.5</v>
      </c>
      <c r="F696" s="153">
        <v>42.79</v>
      </c>
      <c r="G696" s="164"/>
      <c r="H696" s="164">
        <v>406.505</v>
      </c>
      <c r="I696" s="58">
        <v>81</v>
      </c>
      <c r="K696" s="57"/>
    </row>
    <row r="697" spans="1:11" x14ac:dyDescent="0.25">
      <c r="A697" s="154">
        <v>40846</v>
      </c>
      <c r="B697" s="150" t="s">
        <v>782</v>
      </c>
      <c r="C697" s="57" t="s">
        <v>8</v>
      </c>
      <c r="D697" s="57" t="s">
        <v>26</v>
      </c>
      <c r="E697" s="153">
        <v>9.5</v>
      </c>
      <c r="F697" s="153">
        <v>35.35</v>
      </c>
      <c r="G697" s="164"/>
      <c r="H697" s="164">
        <v>335.82499999999999</v>
      </c>
      <c r="I697" s="58">
        <v>81</v>
      </c>
      <c r="K697" s="57"/>
    </row>
    <row r="698" spans="1:11" x14ac:dyDescent="0.25">
      <c r="A698" s="154">
        <v>40847</v>
      </c>
      <c r="B698" s="150" t="s">
        <v>776</v>
      </c>
      <c r="C698" s="57" t="s">
        <v>8</v>
      </c>
      <c r="D698" s="57" t="s">
        <v>26</v>
      </c>
      <c r="E698" s="153">
        <v>9.5</v>
      </c>
      <c r="F698" s="153">
        <v>35.35</v>
      </c>
      <c r="G698" s="164"/>
      <c r="H698" s="164">
        <v>335.82499999999999</v>
      </c>
      <c r="I698" s="58">
        <v>81</v>
      </c>
      <c r="K698" s="57"/>
    </row>
    <row r="699" spans="1:11" x14ac:dyDescent="0.25">
      <c r="A699" s="154">
        <v>40847</v>
      </c>
      <c r="B699" s="150" t="s">
        <v>773</v>
      </c>
      <c r="C699" s="57" t="s">
        <v>774</v>
      </c>
      <c r="D699" s="57" t="s">
        <v>26</v>
      </c>
      <c r="E699" s="153">
        <v>9.5</v>
      </c>
      <c r="F699" s="153">
        <v>42.79</v>
      </c>
      <c r="G699" s="164"/>
      <c r="H699" s="164">
        <v>406.505</v>
      </c>
      <c r="I699" s="58">
        <v>81</v>
      </c>
      <c r="K699" s="57"/>
    </row>
    <row r="700" spans="1:11" x14ac:dyDescent="0.25">
      <c r="A700" s="154">
        <v>40847</v>
      </c>
      <c r="B700" s="150" t="s">
        <v>1188</v>
      </c>
      <c r="C700" s="57" t="s">
        <v>775</v>
      </c>
      <c r="D700" s="57" t="s">
        <v>26</v>
      </c>
      <c r="E700" s="153">
        <v>9</v>
      </c>
      <c r="F700" s="153">
        <v>80</v>
      </c>
      <c r="G700" s="164"/>
      <c r="H700" s="164">
        <v>720</v>
      </c>
      <c r="I700" s="58">
        <v>81</v>
      </c>
      <c r="K700" s="57"/>
    </row>
    <row r="701" spans="1:11" x14ac:dyDescent="0.25">
      <c r="A701" s="154">
        <v>40847</v>
      </c>
      <c r="B701" s="150" t="s">
        <v>776</v>
      </c>
      <c r="C701" s="57" t="s">
        <v>8</v>
      </c>
      <c r="D701" s="57" t="s">
        <v>26</v>
      </c>
      <c r="E701" s="153">
        <v>9</v>
      </c>
      <c r="F701" s="153">
        <v>35.35</v>
      </c>
      <c r="G701" s="164"/>
      <c r="H701" s="164">
        <v>318.14999999999998</v>
      </c>
      <c r="I701" s="58">
        <v>81</v>
      </c>
      <c r="K701" s="57"/>
    </row>
    <row r="702" spans="1:11" x14ac:dyDescent="0.25">
      <c r="A702" s="154">
        <v>40847</v>
      </c>
      <c r="B702" s="150" t="s">
        <v>782</v>
      </c>
      <c r="C702" s="57" t="s">
        <v>8</v>
      </c>
      <c r="D702" s="57" t="s">
        <v>26</v>
      </c>
      <c r="E702" s="153">
        <v>9.5</v>
      </c>
      <c r="F702" s="153">
        <v>35.35</v>
      </c>
      <c r="G702" s="164"/>
      <c r="H702" s="164">
        <v>335.82499999999999</v>
      </c>
      <c r="I702" s="58">
        <v>81</v>
      </c>
      <c r="K702" s="57"/>
    </row>
    <row r="703" spans="1:11" x14ac:dyDescent="0.25">
      <c r="A703" s="154">
        <v>40847</v>
      </c>
      <c r="B703" s="150" t="s">
        <v>782</v>
      </c>
      <c r="C703" s="57" t="s">
        <v>8</v>
      </c>
      <c r="D703" s="57" t="s">
        <v>26</v>
      </c>
      <c r="E703" s="153">
        <v>9.5</v>
      </c>
      <c r="F703" s="153">
        <v>35.35</v>
      </c>
      <c r="G703" s="164"/>
      <c r="H703" s="164">
        <v>335.82499999999999</v>
      </c>
      <c r="I703" s="58">
        <v>81</v>
      </c>
      <c r="K703" s="57"/>
    </row>
    <row r="704" spans="1:11" x14ac:dyDescent="0.25">
      <c r="A704" s="154">
        <v>40847</v>
      </c>
      <c r="B704" s="150" t="s">
        <v>915</v>
      </c>
      <c r="C704" s="57" t="s">
        <v>916</v>
      </c>
      <c r="D704" s="57" t="s">
        <v>748</v>
      </c>
      <c r="E704" s="153">
        <v>1</v>
      </c>
      <c r="F704" s="153">
        <v>110</v>
      </c>
      <c r="G704" s="164"/>
      <c r="H704" s="164">
        <v>110</v>
      </c>
      <c r="I704" s="58">
        <v>81</v>
      </c>
      <c r="K704" s="57"/>
    </row>
    <row r="705" spans="1:11" x14ac:dyDescent="0.25">
      <c r="A705" s="154">
        <v>40847</v>
      </c>
      <c r="B705" s="150" t="s">
        <v>917</v>
      </c>
      <c r="C705" s="57" t="s">
        <v>918</v>
      </c>
      <c r="D705" s="57" t="s">
        <v>748</v>
      </c>
      <c r="E705" s="153">
        <v>1</v>
      </c>
      <c r="F705" s="153">
        <v>330</v>
      </c>
      <c r="G705" s="164"/>
      <c r="H705" s="164">
        <v>330</v>
      </c>
      <c r="I705" s="58">
        <v>81</v>
      </c>
      <c r="K705" s="57"/>
    </row>
    <row r="706" spans="1:11" x14ac:dyDescent="0.25">
      <c r="A706" s="154">
        <v>40848</v>
      </c>
      <c r="B706" s="150" t="s">
        <v>782</v>
      </c>
      <c r="C706" s="57" t="s">
        <v>8</v>
      </c>
      <c r="D706" s="57" t="s">
        <v>26</v>
      </c>
      <c r="E706" s="153">
        <v>9.5</v>
      </c>
      <c r="F706" s="153">
        <v>35.35</v>
      </c>
      <c r="G706" s="164"/>
      <c r="H706" s="164">
        <v>335.82499999999999</v>
      </c>
      <c r="I706" s="58">
        <v>81</v>
      </c>
      <c r="K706" s="57"/>
    </row>
    <row r="707" spans="1:11" x14ac:dyDescent="0.25">
      <c r="A707" s="154">
        <v>40848</v>
      </c>
      <c r="B707" s="150" t="s">
        <v>776</v>
      </c>
      <c r="C707" s="57" t="s">
        <v>8</v>
      </c>
      <c r="D707" s="57" t="s">
        <v>26</v>
      </c>
      <c r="E707" s="153">
        <v>9.5</v>
      </c>
      <c r="F707" s="153">
        <v>35.35</v>
      </c>
      <c r="G707" s="164"/>
      <c r="H707" s="164">
        <v>335.82499999999999</v>
      </c>
      <c r="I707" s="58">
        <v>81</v>
      </c>
      <c r="K707" s="57"/>
    </row>
    <row r="708" spans="1:11" x14ac:dyDescent="0.25">
      <c r="A708" s="154">
        <v>40848</v>
      </c>
      <c r="B708" s="150" t="s">
        <v>776</v>
      </c>
      <c r="C708" s="57" t="s">
        <v>8</v>
      </c>
      <c r="D708" s="57" t="s">
        <v>26</v>
      </c>
      <c r="E708" s="153">
        <v>9.5</v>
      </c>
      <c r="F708" s="153">
        <v>35.35</v>
      </c>
      <c r="G708" s="164"/>
      <c r="H708" s="164">
        <v>335.82499999999999</v>
      </c>
      <c r="I708" s="58">
        <v>81</v>
      </c>
      <c r="K708" s="57"/>
    </row>
    <row r="709" spans="1:11" x14ac:dyDescent="0.25">
      <c r="A709" s="154">
        <v>40848</v>
      </c>
      <c r="B709" s="150" t="s">
        <v>780</v>
      </c>
      <c r="C709" s="57" t="s">
        <v>8</v>
      </c>
      <c r="D709" s="57" t="s">
        <v>26</v>
      </c>
      <c r="E709" s="153">
        <v>5.5</v>
      </c>
      <c r="F709" s="153">
        <v>35.35</v>
      </c>
      <c r="G709" s="164"/>
      <c r="H709" s="164">
        <v>194.42500000000001</v>
      </c>
      <c r="I709" s="58">
        <v>81</v>
      </c>
      <c r="K709" s="57"/>
    </row>
    <row r="710" spans="1:11" x14ac:dyDescent="0.25">
      <c r="A710" s="154">
        <v>40848</v>
      </c>
      <c r="B710" s="150" t="s">
        <v>782</v>
      </c>
      <c r="C710" s="57" t="s">
        <v>8</v>
      </c>
      <c r="D710" s="57" t="s">
        <v>26</v>
      </c>
      <c r="E710" s="153">
        <v>9.5</v>
      </c>
      <c r="F710" s="153">
        <v>35.35</v>
      </c>
      <c r="G710" s="164"/>
      <c r="H710" s="164">
        <v>335.82499999999999</v>
      </c>
      <c r="I710" s="58">
        <v>81</v>
      </c>
      <c r="K710" s="57"/>
    </row>
    <row r="711" spans="1:11" ht="30" x14ac:dyDescent="0.25">
      <c r="A711" s="154">
        <v>40848</v>
      </c>
      <c r="B711" s="150" t="s">
        <v>919</v>
      </c>
      <c r="C711" s="57" t="s">
        <v>920</v>
      </c>
      <c r="D711" s="57" t="s">
        <v>748</v>
      </c>
      <c r="E711" s="153">
        <v>1</v>
      </c>
      <c r="F711" s="153">
        <v>104.5</v>
      </c>
      <c r="G711" s="164"/>
      <c r="H711" s="164">
        <v>104.5</v>
      </c>
      <c r="I711" s="58">
        <v>81</v>
      </c>
      <c r="K711" s="57"/>
    </row>
    <row r="712" spans="1:11" x14ac:dyDescent="0.25">
      <c r="A712" s="154">
        <v>40848</v>
      </c>
      <c r="B712" s="150" t="s">
        <v>773</v>
      </c>
      <c r="C712" s="57" t="s">
        <v>774</v>
      </c>
      <c r="D712" s="57" t="s">
        <v>26</v>
      </c>
      <c r="E712" s="153">
        <v>9.5</v>
      </c>
      <c r="F712" s="153">
        <v>42.79</v>
      </c>
      <c r="G712" s="164"/>
      <c r="H712" s="164">
        <v>406.505</v>
      </c>
      <c r="I712" s="58">
        <v>81</v>
      </c>
      <c r="K712" s="57"/>
    </row>
    <row r="713" spans="1:11" x14ac:dyDescent="0.25">
      <c r="A713" s="154">
        <v>40849</v>
      </c>
      <c r="B713" s="150" t="s">
        <v>782</v>
      </c>
      <c r="C713" s="57" t="s">
        <v>8</v>
      </c>
      <c r="D713" s="57" t="s">
        <v>26</v>
      </c>
      <c r="E713" s="153">
        <v>9.5</v>
      </c>
      <c r="F713" s="153">
        <v>35.35</v>
      </c>
      <c r="G713" s="164"/>
      <c r="H713" s="164">
        <v>335.82499999999999</v>
      </c>
      <c r="I713" s="58">
        <v>81</v>
      </c>
      <c r="K713" s="57"/>
    </row>
    <row r="714" spans="1:11" x14ac:dyDescent="0.25">
      <c r="A714" s="154">
        <v>40849</v>
      </c>
      <c r="B714" s="150" t="s">
        <v>776</v>
      </c>
      <c r="C714" s="57" t="s">
        <v>8</v>
      </c>
      <c r="D714" s="57" t="s">
        <v>26</v>
      </c>
      <c r="E714" s="153">
        <v>9.5</v>
      </c>
      <c r="F714" s="153">
        <v>35.35</v>
      </c>
      <c r="G714" s="164"/>
      <c r="H714" s="164">
        <v>335.82499999999999</v>
      </c>
      <c r="I714" s="58">
        <v>81</v>
      </c>
      <c r="K714" s="57"/>
    </row>
    <row r="715" spans="1:11" x14ac:dyDescent="0.25">
      <c r="A715" s="154">
        <v>40849</v>
      </c>
      <c r="B715" s="150" t="s">
        <v>782</v>
      </c>
      <c r="C715" s="57" t="s">
        <v>8</v>
      </c>
      <c r="D715" s="57" t="s">
        <v>26</v>
      </c>
      <c r="E715" s="153">
        <v>9.5</v>
      </c>
      <c r="F715" s="153">
        <v>35.35</v>
      </c>
      <c r="G715" s="164"/>
      <c r="H715" s="164">
        <v>335.82499999999999</v>
      </c>
      <c r="I715" s="58">
        <v>81</v>
      </c>
      <c r="K715" s="57"/>
    </row>
    <row r="716" spans="1:11" x14ac:dyDescent="0.25">
      <c r="A716" s="154">
        <v>40849</v>
      </c>
      <c r="B716" s="150" t="s">
        <v>780</v>
      </c>
      <c r="C716" s="57" t="s">
        <v>8</v>
      </c>
      <c r="D716" s="57" t="s">
        <v>26</v>
      </c>
      <c r="E716" s="153">
        <v>9.5</v>
      </c>
      <c r="F716" s="153">
        <v>35.35</v>
      </c>
      <c r="G716" s="164"/>
      <c r="H716" s="164">
        <v>335.82499999999999</v>
      </c>
      <c r="I716" s="58">
        <v>81</v>
      </c>
      <c r="K716" s="57"/>
    </row>
    <row r="717" spans="1:11" x14ac:dyDescent="0.25">
      <c r="A717" s="154">
        <v>40849</v>
      </c>
      <c r="B717" s="150" t="s">
        <v>776</v>
      </c>
      <c r="C717" s="57" t="s">
        <v>8</v>
      </c>
      <c r="D717" s="57" t="s">
        <v>26</v>
      </c>
      <c r="E717" s="153">
        <v>9.5</v>
      </c>
      <c r="F717" s="153">
        <v>35.35</v>
      </c>
      <c r="G717" s="164"/>
      <c r="H717" s="164">
        <v>335.82499999999999</v>
      </c>
      <c r="I717" s="58">
        <v>81</v>
      </c>
      <c r="K717" s="57"/>
    </row>
    <row r="718" spans="1:11" x14ac:dyDescent="0.25">
      <c r="A718" s="154">
        <v>40849</v>
      </c>
      <c r="B718" s="150" t="s">
        <v>773</v>
      </c>
      <c r="C718" s="57" t="s">
        <v>774</v>
      </c>
      <c r="D718" s="57" t="s">
        <v>26</v>
      </c>
      <c r="E718" s="153">
        <v>9.5</v>
      </c>
      <c r="F718" s="153">
        <v>42.79</v>
      </c>
      <c r="G718" s="164"/>
      <c r="H718" s="164">
        <v>406.505</v>
      </c>
      <c r="I718" s="58">
        <v>81</v>
      </c>
      <c r="K718" s="57"/>
    </row>
    <row r="719" spans="1:11" x14ac:dyDescent="0.25">
      <c r="A719" s="154">
        <v>40850</v>
      </c>
      <c r="B719" s="150" t="s">
        <v>773</v>
      </c>
      <c r="C719" s="57" t="s">
        <v>774</v>
      </c>
      <c r="D719" s="57" t="s">
        <v>26</v>
      </c>
      <c r="E719" s="153">
        <v>9.5</v>
      </c>
      <c r="F719" s="153">
        <v>42.79</v>
      </c>
      <c r="G719" s="164"/>
      <c r="H719" s="164">
        <v>406.505</v>
      </c>
      <c r="I719" s="58">
        <v>81</v>
      </c>
      <c r="K719" s="57"/>
    </row>
    <row r="720" spans="1:11" x14ac:dyDescent="0.25">
      <c r="A720" s="154">
        <v>40850</v>
      </c>
      <c r="B720" s="150" t="s">
        <v>780</v>
      </c>
      <c r="C720" s="57" t="s">
        <v>8</v>
      </c>
      <c r="D720" s="57" t="s">
        <v>26</v>
      </c>
      <c r="E720" s="153">
        <v>4.5</v>
      </c>
      <c r="F720" s="153">
        <v>35.35</v>
      </c>
      <c r="G720" s="164"/>
      <c r="H720" s="164">
        <v>159.07499999999999</v>
      </c>
      <c r="I720" s="58">
        <v>81</v>
      </c>
      <c r="K720" s="57"/>
    </row>
    <row r="721" spans="1:11" x14ac:dyDescent="0.25">
      <c r="A721" s="154">
        <v>40850</v>
      </c>
      <c r="B721" s="150" t="s">
        <v>776</v>
      </c>
      <c r="C721" s="57" t="s">
        <v>8</v>
      </c>
      <c r="D721" s="57" t="s">
        <v>26</v>
      </c>
      <c r="E721" s="153">
        <v>4.5</v>
      </c>
      <c r="F721" s="153">
        <v>35.35</v>
      </c>
      <c r="G721" s="164"/>
      <c r="H721" s="164">
        <v>159.07499999999999</v>
      </c>
      <c r="I721" s="58">
        <v>81</v>
      </c>
      <c r="K721" s="57"/>
    </row>
    <row r="722" spans="1:11" ht="30" x14ac:dyDescent="0.25">
      <c r="A722" s="154">
        <v>40850</v>
      </c>
      <c r="B722" s="150" t="s">
        <v>921</v>
      </c>
      <c r="C722" s="57" t="s">
        <v>793</v>
      </c>
      <c r="D722" s="57" t="s">
        <v>748</v>
      </c>
      <c r="E722" s="153">
        <v>1</v>
      </c>
      <c r="F722" s="153">
        <v>77</v>
      </c>
      <c r="G722" s="164"/>
      <c r="H722" s="164">
        <v>77</v>
      </c>
      <c r="I722" s="58">
        <v>81</v>
      </c>
      <c r="K722" s="57"/>
    </row>
    <row r="723" spans="1:11" x14ac:dyDescent="0.25">
      <c r="A723" s="154">
        <v>40850</v>
      </c>
      <c r="B723" s="150" t="s">
        <v>776</v>
      </c>
      <c r="C723" s="57" t="s">
        <v>8</v>
      </c>
      <c r="D723" s="57" t="s">
        <v>26</v>
      </c>
      <c r="E723" s="153">
        <v>9.5</v>
      </c>
      <c r="F723" s="153">
        <v>35.35</v>
      </c>
      <c r="G723" s="164"/>
      <c r="H723" s="164">
        <v>335.82499999999999</v>
      </c>
      <c r="I723" s="58">
        <v>81</v>
      </c>
      <c r="K723" s="57"/>
    </row>
    <row r="724" spans="1:11" ht="30" x14ac:dyDescent="0.25">
      <c r="A724" s="154">
        <v>40850</v>
      </c>
      <c r="B724" s="150" t="s">
        <v>922</v>
      </c>
      <c r="C724" s="57" t="s">
        <v>918</v>
      </c>
      <c r="D724" s="57" t="s">
        <v>748</v>
      </c>
      <c r="E724" s="153">
        <v>1</v>
      </c>
      <c r="F724" s="153">
        <v>165</v>
      </c>
      <c r="G724" s="164"/>
      <c r="H724" s="164">
        <v>165</v>
      </c>
      <c r="I724" s="58">
        <v>81</v>
      </c>
      <c r="K724" s="57"/>
    </row>
    <row r="725" spans="1:11" x14ac:dyDescent="0.25">
      <c r="A725" s="154">
        <v>40850</v>
      </c>
      <c r="B725" s="150" t="s">
        <v>782</v>
      </c>
      <c r="C725" s="57" t="s">
        <v>8</v>
      </c>
      <c r="D725" s="57" t="s">
        <v>26</v>
      </c>
      <c r="E725" s="153">
        <v>4.5</v>
      </c>
      <c r="F725" s="153">
        <v>35.35</v>
      </c>
      <c r="G725" s="164"/>
      <c r="H725" s="164">
        <v>159.07499999999999</v>
      </c>
      <c r="I725" s="58">
        <v>81</v>
      </c>
      <c r="K725" s="57"/>
    </row>
    <row r="726" spans="1:11" x14ac:dyDescent="0.25">
      <c r="A726" s="154">
        <v>40850</v>
      </c>
      <c r="B726" s="150" t="s">
        <v>782</v>
      </c>
      <c r="C726" s="57" t="s">
        <v>8</v>
      </c>
      <c r="D726" s="57" t="s">
        <v>26</v>
      </c>
      <c r="E726" s="153">
        <v>4.5</v>
      </c>
      <c r="F726" s="153">
        <v>35.35</v>
      </c>
      <c r="G726" s="164"/>
      <c r="H726" s="164">
        <v>159.07499999999999</v>
      </c>
      <c r="I726" s="58">
        <v>81</v>
      </c>
      <c r="K726" s="57"/>
    </row>
    <row r="727" spans="1:11" x14ac:dyDescent="0.25">
      <c r="A727" s="154">
        <v>40850</v>
      </c>
      <c r="B727" s="150" t="s">
        <v>1188</v>
      </c>
      <c r="C727" s="57" t="s">
        <v>775</v>
      </c>
      <c r="D727" s="57" t="s">
        <v>26</v>
      </c>
      <c r="E727" s="153">
        <v>5.5</v>
      </c>
      <c r="F727" s="153">
        <v>80</v>
      </c>
      <c r="G727" s="164"/>
      <c r="H727" s="164">
        <v>440</v>
      </c>
      <c r="I727" s="58">
        <v>81</v>
      </c>
      <c r="K727" s="57"/>
    </row>
    <row r="728" spans="1:11" ht="30" x14ac:dyDescent="0.25">
      <c r="A728" s="154">
        <v>40850</v>
      </c>
      <c r="B728" s="150" t="s">
        <v>923</v>
      </c>
      <c r="C728" s="57" t="s">
        <v>916</v>
      </c>
      <c r="D728" s="57" t="s">
        <v>748</v>
      </c>
      <c r="E728" s="153">
        <v>1</v>
      </c>
      <c r="F728" s="153">
        <v>110</v>
      </c>
      <c r="G728" s="164"/>
      <c r="H728" s="164">
        <v>110</v>
      </c>
      <c r="I728" s="58">
        <v>81</v>
      </c>
      <c r="K728" s="57"/>
    </row>
    <row r="729" spans="1:11" x14ac:dyDescent="0.25">
      <c r="A729" s="154">
        <v>40857</v>
      </c>
      <c r="B729" s="150" t="s">
        <v>776</v>
      </c>
      <c r="C729" s="57" t="s">
        <v>8</v>
      </c>
      <c r="D729" s="57" t="s">
        <v>26</v>
      </c>
      <c r="E729" s="153">
        <v>11</v>
      </c>
      <c r="F729" s="153">
        <v>35.35</v>
      </c>
      <c r="G729" s="164"/>
      <c r="H729" s="164">
        <v>388.85</v>
      </c>
      <c r="I729" s="58">
        <v>81</v>
      </c>
      <c r="K729" s="57"/>
    </row>
    <row r="730" spans="1:11" x14ac:dyDescent="0.25">
      <c r="A730" s="154">
        <v>40857</v>
      </c>
      <c r="B730" s="150" t="s">
        <v>780</v>
      </c>
      <c r="C730" s="57" t="s">
        <v>8</v>
      </c>
      <c r="D730" s="57" t="s">
        <v>26</v>
      </c>
      <c r="E730" s="153">
        <v>10</v>
      </c>
      <c r="F730" s="153">
        <v>35.35</v>
      </c>
      <c r="G730" s="164"/>
      <c r="H730" s="164">
        <v>353.5</v>
      </c>
      <c r="I730" s="58">
        <v>81</v>
      </c>
      <c r="K730" s="57"/>
    </row>
    <row r="731" spans="1:11" x14ac:dyDescent="0.25">
      <c r="A731" s="154">
        <v>40857</v>
      </c>
      <c r="B731" s="150" t="s">
        <v>776</v>
      </c>
      <c r="C731" s="57" t="s">
        <v>8</v>
      </c>
      <c r="D731" s="57" t="s">
        <v>26</v>
      </c>
      <c r="E731" s="153">
        <v>10</v>
      </c>
      <c r="F731" s="153">
        <v>35.35</v>
      </c>
      <c r="G731" s="164"/>
      <c r="H731" s="164">
        <v>353.5</v>
      </c>
      <c r="I731" s="58">
        <v>81</v>
      </c>
      <c r="K731" s="57"/>
    </row>
    <row r="732" spans="1:11" x14ac:dyDescent="0.25">
      <c r="A732" s="154">
        <v>40857</v>
      </c>
      <c r="B732" s="150" t="s">
        <v>1188</v>
      </c>
      <c r="C732" s="57" t="s">
        <v>775</v>
      </c>
      <c r="D732" s="57" t="s">
        <v>26</v>
      </c>
      <c r="E732" s="153">
        <v>10</v>
      </c>
      <c r="F732" s="153">
        <v>80</v>
      </c>
      <c r="G732" s="164"/>
      <c r="H732" s="164">
        <v>800</v>
      </c>
      <c r="I732" s="58">
        <v>81</v>
      </c>
      <c r="K732" s="57"/>
    </row>
    <row r="733" spans="1:11" x14ac:dyDescent="0.25">
      <c r="A733" s="154">
        <v>40857</v>
      </c>
      <c r="B733" s="150" t="s">
        <v>773</v>
      </c>
      <c r="C733" s="57" t="s">
        <v>774</v>
      </c>
      <c r="D733" s="57" t="s">
        <v>26</v>
      </c>
      <c r="E733" s="153">
        <v>11</v>
      </c>
      <c r="F733" s="153">
        <v>42.79</v>
      </c>
      <c r="G733" s="164"/>
      <c r="H733" s="164">
        <v>470.69</v>
      </c>
      <c r="I733" s="58">
        <v>81</v>
      </c>
      <c r="K733" s="57"/>
    </row>
    <row r="734" spans="1:11" x14ac:dyDescent="0.25">
      <c r="A734" s="154">
        <v>40857</v>
      </c>
      <c r="B734" s="150" t="s">
        <v>782</v>
      </c>
      <c r="C734" s="57" t="s">
        <v>8</v>
      </c>
      <c r="D734" s="57" t="s">
        <v>26</v>
      </c>
      <c r="E734" s="153">
        <v>10</v>
      </c>
      <c r="F734" s="153">
        <v>35.35</v>
      </c>
      <c r="G734" s="164"/>
      <c r="H734" s="164">
        <v>353.5</v>
      </c>
      <c r="I734" s="58">
        <v>81</v>
      </c>
      <c r="K734" s="57"/>
    </row>
    <row r="735" spans="1:11" x14ac:dyDescent="0.25">
      <c r="A735" s="154">
        <v>40857</v>
      </c>
      <c r="B735" s="150" t="s">
        <v>782</v>
      </c>
      <c r="C735" s="57" t="s">
        <v>8</v>
      </c>
      <c r="D735" s="57" t="s">
        <v>26</v>
      </c>
      <c r="E735" s="153">
        <v>10</v>
      </c>
      <c r="F735" s="153">
        <v>35.35</v>
      </c>
      <c r="G735" s="164"/>
      <c r="H735" s="164">
        <v>353.5</v>
      </c>
      <c r="I735" s="58">
        <v>81</v>
      </c>
      <c r="K735" s="57"/>
    </row>
    <row r="736" spans="1:11" x14ac:dyDescent="0.25">
      <c r="A736" s="154">
        <v>40861</v>
      </c>
      <c r="B736" s="150" t="s">
        <v>924</v>
      </c>
      <c r="C736" s="57" t="s">
        <v>822</v>
      </c>
      <c r="D736" s="57" t="s">
        <v>748</v>
      </c>
      <c r="E736" s="153">
        <v>1</v>
      </c>
      <c r="F736" s="153">
        <v>1940</v>
      </c>
      <c r="G736" s="164"/>
      <c r="H736" s="164">
        <v>1940</v>
      </c>
      <c r="I736" s="58">
        <v>81</v>
      </c>
      <c r="K736" s="57"/>
    </row>
    <row r="737" spans="1:11" ht="30" x14ac:dyDescent="0.25">
      <c r="A737" s="154">
        <v>40861</v>
      </c>
      <c r="B737" s="150" t="s">
        <v>925</v>
      </c>
      <c r="C737" s="57" t="s">
        <v>918</v>
      </c>
      <c r="D737" s="57" t="s">
        <v>748</v>
      </c>
      <c r="E737" s="153">
        <v>1</v>
      </c>
      <c r="F737" s="153">
        <v>247.5</v>
      </c>
      <c r="G737" s="164"/>
      <c r="H737" s="164">
        <v>247.5</v>
      </c>
      <c r="I737" s="58">
        <v>81</v>
      </c>
      <c r="K737" s="57"/>
    </row>
    <row r="738" spans="1:11" ht="30" x14ac:dyDescent="0.25">
      <c r="A738" s="154">
        <v>40863</v>
      </c>
      <c r="B738" s="150" t="s">
        <v>926</v>
      </c>
      <c r="C738" s="57" t="s">
        <v>920</v>
      </c>
      <c r="D738" s="57" t="s">
        <v>748</v>
      </c>
      <c r="E738" s="153">
        <v>1</v>
      </c>
      <c r="F738" s="153">
        <v>275</v>
      </c>
      <c r="G738" s="164"/>
      <c r="H738" s="164">
        <v>275</v>
      </c>
      <c r="I738" s="58">
        <v>81</v>
      </c>
      <c r="K738" s="57"/>
    </row>
    <row r="739" spans="1:11" x14ac:dyDescent="0.25">
      <c r="A739" s="154">
        <v>40870</v>
      </c>
      <c r="B739" s="150" t="s">
        <v>780</v>
      </c>
      <c r="C739" s="57" t="s">
        <v>8</v>
      </c>
      <c r="D739" s="57" t="s">
        <v>26</v>
      </c>
      <c r="E739" s="153">
        <v>6</v>
      </c>
      <c r="F739" s="153">
        <v>35.35</v>
      </c>
      <c r="G739" s="164"/>
      <c r="H739" s="164">
        <v>212.1</v>
      </c>
      <c r="I739" s="58">
        <v>81</v>
      </c>
      <c r="K739" s="57"/>
    </row>
    <row r="740" spans="1:11" x14ac:dyDescent="0.25">
      <c r="A740" s="154">
        <v>40870</v>
      </c>
      <c r="B740" s="150" t="s">
        <v>1188</v>
      </c>
      <c r="C740" s="57" t="s">
        <v>775</v>
      </c>
      <c r="D740" s="57" t="s">
        <v>26</v>
      </c>
      <c r="E740" s="153">
        <v>6</v>
      </c>
      <c r="F740" s="153">
        <v>80</v>
      </c>
      <c r="G740" s="164"/>
      <c r="H740" s="164">
        <v>480</v>
      </c>
      <c r="I740" s="58">
        <v>81</v>
      </c>
      <c r="K740" s="57"/>
    </row>
    <row r="741" spans="1:11" x14ac:dyDescent="0.25">
      <c r="A741" s="154">
        <v>40870</v>
      </c>
      <c r="B741" s="150" t="s">
        <v>782</v>
      </c>
      <c r="C741" s="57" t="s">
        <v>8</v>
      </c>
      <c r="D741" s="57" t="s">
        <v>26</v>
      </c>
      <c r="E741" s="153">
        <v>6</v>
      </c>
      <c r="F741" s="153">
        <v>35.35</v>
      </c>
      <c r="G741" s="164"/>
      <c r="H741" s="164">
        <v>212.1</v>
      </c>
      <c r="I741" s="58">
        <v>81</v>
      </c>
      <c r="K741" s="57"/>
    </row>
    <row r="742" spans="1:11" x14ac:dyDescent="0.25">
      <c r="A742" s="154">
        <v>40870</v>
      </c>
      <c r="B742" s="150" t="s">
        <v>804</v>
      </c>
      <c r="C742" s="57" t="s">
        <v>8</v>
      </c>
      <c r="D742" s="57" t="s">
        <v>26</v>
      </c>
      <c r="E742" s="153">
        <v>6</v>
      </c>
      <c r="F742" s="153">
        <v>44.2</v>
      </c>
      <c r="G742" s="164"/>
      <c r="H742" s="164">
        <v>265.2</v>
      </c>
      <c r="I742" s="58">
        <v>81</v>
      </c>
      <c r="K742" s="57"/>
    </row>
    <row r="743" spans="1:11" x14ac:dyDescent="0.25">
      <c r="A743" s="154">
        <v>40871</v>
      </c>
      <c r="B743" s="150" t="s">
        <v>804</v>
      </c>
      <c r="C743" s="57" t="s">
        <v>8</v>
      </c>
      <c r="D743" s="57" t="s">
        <v>26</v>
      </c>
      <c r="E743" s="153">
        <v>10</v>
      </c>
      <c r="F743" s="153">
        <v>44.2</v>
      </c>
      <c r="G743" s="164"/>
      <c r="H743" s="164">
        <v>442</v>
      </c>
      <c r="I743" s="58">
        <v>81</v>
      </c>
      <c r="K743" s="57"/>
    </row>
    <row r="744" spans="1:11" x14ac:dyDescent="0.25">
      <c r="A744" s="154">
        <v>40871</v>
      </c>
      <c r="B744" s="150" t="s">
        <v>782</v>
      </c>
      <c r="C744" s="57" t="s">
        <v>8</v>
      </c>
      <c r="D744" s="57" t="s">
        <v>26</v>
      </c>
      <c r="E744" s="153">
        <v>10</v>
      </c>
      <c r="F744" s="153">
        <v>35.35</v>
      </c>
      <c r="G744" s="164"/>
      <c r="H744" s="164">
        <v>353.5</v>
      </c>
      <c r="I744" s="58">
        <v>81</v>
      </c>
      <c r="K744" s="57"/>
    </row>
    <row r="745" spans="1:11" x14ac:dyDescent="0.25">
      <c r="A745" s="154">
        <v>40871</v>
      </c>
      <c r="B745" s="150" t="s">
        <v>780</v>
      </c>
      <c r="C745" s="57" t="s">
        <v>8</v>
      </c>
      <c r="D745" s="57" t="s">
        <v>26</v>
      </c>
      <c r="E745" s="153">
        <v>10</v>
      </c>
      <c r="F745" s="153">
        <v>35.35</v>
      </c>
      <c r="G745" s="164"/>
      <c r="H745" s="164">
        <v>353.5</v>
      </c>
      <c r="I745" s="58">
        <v>81</v>
      </c>
      <c r="K745" s="57"/>
    </row>
    <row r="746" spans="1:11" x14ac:dyDescent="0.25">
      <c r="A746" s="154">
        <v>40871</v>
      </c>
      <c r="B746" s="150" t="s">
        <v>1188</v>
      </c>
      <c r="C746" s="57" t="s">
        <v>775</v>
      </c>
      <c r="D746" s="57" t="s">
        <v>26</v>
      </c>
      <c r="E746" s="153">
        <v>10</v>
      </c>
      <c r="F746" s="153">
        <v>80</v>
      </c>
      <c r="G746" s="164"/>
      <c r="H746" s="164">
        <v>800</v>
      </c>
      <c r="I746" s="58">
        <v>81</v>
      </c>
      <c r="K746" s="57"/>
    </row>
    <row r="747" spans="1:11" x14ac:dyDescent="0.25">
      <c r="A747" s="154">
        <v>40872</v>
      </c>
      <c r="B747" s="150" t="s">
        <v>782</v>
      </c>
      <c r="C747" s="57" t="s">
        <v>8</v>
      </c>
      <c r="D747" s="57" t="s">
        <v>26</v>
      </c>
      <c r="E747" s="153">
        <v>10.5</v>
      </c>
      <c r="F747" s="153">
        <v>35.35</v>
      </c>
      <c r="G747" s="164"/>
      <c r="H747" s="164">
        <v>371.17500000000001</v>
      </c>
      <c r="I747" s="58">
        <v>81</v>
      </c>
      <c r="K747" s="57"/>
    </row>
    <row r="748" spans="1:11" x14ac:dyDescent="0.25">
      <c r="A748" s="154">
        <v>40872</v>
      </c>
      <c r="B748" s="150" t="s">
        <v>804</v>
      </c>
      <c r="C748" s="57" t="s">
        <v>8</v>
      </c>
      <c r="D748" s="57" t="s">
        <v>26</v>
      </c>
      <c r="E748" s="153">
        <v>3</v>
      </c>
      <c r="F748" s="153">
        <v>44.2</v>
      </c>
      <c r="G748" s="164"/>
      <c r="H748" s="164">
        <v>132.6</v>
      </c>
      <c r="I748" s="58">
        <v>81</v>
      </c>
      <c r="K748" s="57"/>
    </row>
    <row r="749" spans="1:11" x14ac:dyDescent="0.25">
      <c r="A749" s="154">
        <v>40872</v>
      </c>
      <c r="B749" s="150" t="s">
        <v>780</v>
      </c>
      <c r="C749" s="57" t="s">
        <v>8</v>
      </c>
      <c r="D749" s="57" t="s">
        <v>26</v>
      </c>
      <c r="E749" s="153">
        <v>3</v>
      </c>
      <c r="F749" s="153">
        <v>35.35</v>
      </c>
      <c r="G749" s="164"/>
      <c r="H749" s="164">
        <v>106.05</v>
      </c>
      <c r="I749" s="58">
        <v>81</v>
      </c>
      <c r="K749" s="57"/>
    </row>
    <row r="750" spans="1:11" x14ac:dyDescent="0.25">
      <c r="A750" s="154">
        <v>40872</v>
      </c>
      <c r="B750" s="150" t="s">
        <v>1188</v>
      </c>
      <c r="C750" s="57" t="s">
        <v>775</v>
      </c>
      <c r="D750" s="57" t="s">
        <v>26</v>
      </c>
      <c r="E750" s="153">
        <v>3</v>
      </c>
      <c r="F750" s="153">
        <v>80</v>
      </c>
      <c r="G750" s="164"/>
      <c r="H750" s="164">
        <v>240</v>
      </c>
      <c r="I750" s="58">
        <v>81</v>
      </c>
      <c r="K750" s="57"/>
    </row>
    <row r="751" spans="1:11" x14ac:dyDescent="0.25">
      <c r="A751" s="154">
        <v>40872</v>
      </c>
      <c r="B751" s="150" t="s">
        <v>782</v>
      </c>
      <c r="C751" s="57" t="s">
        <v>8</v>
      </c>
      <c r="D751" s="57" t="s">
        <v>26</v>
      </c>
      <c r="E751" s="153">
        <v>3</v>
      </c>
      <c r="F751" s="153">
        <v>35.35</v>
      </c>
      <c r="G751" s="164"/>
      <c r="H751" s="164">
        <v>106.05</v>
      </c>
      <c r="I751" s="58">
        <v>81</v>
      </c>
      <c r="K751" s="57"/>
    </row>
    <row r="752" spans="1:11" x14ac:dyDescent="0.25">
      <c r="A752" s="154">
        <v>40932</v>
      </c>
      <c r="B752" s="150" t="s">
        <v>894</v>
      </c>
      <c r="C752" s="57" t="s">
        <v>8</v>
      </c>
      <c r="D752" s="57" t="s">
        <v>26</v>
      </c>
      <c r="E752" s="153">
        <v>6</v>
      </c>
      <c r="F752" s="153">
        <v>45</v>
      </c>
      <c r="G752" s="164"/>
      <c r="H752" s="164">
        <v>270</v>
      </c>
      <c r="I752" s="58">
        <v>81</v>
      </c>
      <c r="K752" s="57"/>
    </row>
    <row r="753" spans="1:11" x14ac:dyDescent="0.25">
      <c r="A753" s="154">
        <v>40947</v>
      </c>
      <c r="B753" s="150" t="s">
        <v>1188</v>
      </c>
      <c r="C753" s="57" t="s">
        <v>775</v>
      </c>
      <c r="D753" s="57" t="s">
        <v>26</v>
      </c>
      <c r="E753" s="153">
        <v>10</v>
      </c>
      <c r="F753" s="153">
        <v>80</v>
      </c>
      <c r="G753" s="164"/>
      <c r="H753" s="164">
        <v>800</v>
      </c>
      <c r="I753" s="58">
        <v>81</v>
      </c>
      <c r="K753" s="57"/>
    </row>
    <row r="754" spans="1:11" x14ac:dyDescent="0.25">
      <c r="A754" s="154">
        <v>40947</v>
      </c>
      <c r="B754" s="150" t="s">
        <v>773</v>
      </c>
      <c r="C754" s="57" t="s">
        <v>774</v>
      </c>
      <c r="D754" s="57" t="s">
        <v>26</v>
      </c>
      <c r="E754" s="153">
        <v>5.5</v>
      </c>
      <c r="F754" s="153">
        <v>42.79</v>
      </c>
      <c r="G754" s="164"/>
      <c r="H754" s="164">
        <v>235.345</v>
      </c>
      <c r="I754" s="58">
        <v>81</v>
      </c>
      <c r="K754" s="57"/>
    </row>
    <row r="755" spans="1:11" x14ac:dyDescent="0.25">
      <c r="A755" s="169" t="s">
        <v>682</v>
      </c>
      <c r="B755" s="170" t="s">
        <v>927</v>
      </c>
      <c r="C755" s="171" t="s">
        <v>682</v>
      </c>
      <c r="D755" s="171" t="s">
        <v>682</v>
      </c>
      <c r="E755" s="172"/>
      <c r="F755" s="172"/>
      <c r="G755" s="173"/>
      <c r="H755" s="173">
        <v>29127.06</v>
      </c>
      <c r="I755" s="174" t="s">
        <v>682</v>
      </c>
      <c r="K755" s="57"/>
    </row>
    <row r="756" spans="1:11" x14ac:dyDescent="0.25">
      <c r="A756" s="154" t="s">
        <v>682</v>
      </c>
      <c r="B756" s="150" t="s">
        <v>682</v>
      </c>
      <c r="C756" s="57" t="s">
        <v>682</v>
      </c>
      <c r="D756" s="57" t="s">
        <v>682</v>
      </c>
      <c r="E756" s="153"/>
      <c r="F756" s="153"/>
      <c r="G756" s="164"/>
      <c r="H756" s="164"/>
      <c r="I756" s="58" t="s">
        <v>682</v>
      </c>
      <c r="K756" s="57"/>
    </row>
    <row r="757" spans="1:11" x14ac:dyDescent="0.25">
      <c r="A757" s="166" t="s">
        <v>682</v>
      </c>
      <c r="B757" s="165" t="s">
        <v>928</v>
      </c>
      <c r="C757" s="60" t="s">
        <v>682</v>
      </c>
      <c r="D757" s="60" t="s">
        <v>682</v>
      </c>
      <c r="E757" s="167"/>
      <c r="F757" s="167"/>
      <c r="G757" s="168"/>
      <c r="H757" s="168"/>
      <c r="I757" s="46" t="s">
        <v>682</v>
      </c>
      <c r="K757" s="57"/>
    </row>
    <row r="758" spans="1:11" x14ac:dyDescent="0.25">
      <c r="A758" s="154">
        <v>40886</v>
      </c>
      <c r="B758" s="150" t="s">
        <v>1188</v>
      </c>
      <c r="C758" s="57" t="s">
        <v>775</v>
      </c>
      <c r="D758" s="57" t="s">
        <v>26</v>
      </c>
      <c r="E758" s="153">
        <v>8.5</v>
      </c>
      <c r="F758" s="153">
        <v>80</v>
      </c>
      <c r="G758" s="164"/>
      <c r="H758" s="164">
        <v>680</v>
      </c>
      <c r="I758" s="58">
        <v>111</v>
      </c>
      <c r="K758" s="57"/>
    </row>
    <row r="759" spans="1:11" x14ac:dyDescent="0.25">
      <c r="A759" s="154">
        <v>40886</v>
      </c>
      <c r="B759" s="150" t="s">
        <v>780</v>
      </c>
      <c r="C759" s="57" t="s">
        <v>8</v>
      </c>
      <c r="D759" s="57" t="s">
        <v>26</v>
      </c>
      <c r="E759" s="153">
        <v>8.5</v>
      </c>
      <c r="F759" s="153">
        <v>35.35</v>
      </c>
      <c r="G759" s="164"/>
      <c r="H759" s="164">
        <v>300.47500000000002</v>
      </c>
      <c r="I759" s="58">
        <v>111</v>
      </c>
      <c r="K759" s="57"/>
    </row>
    <row r="760" spans="1:11" x14ac:dyDescent="0.25">
      <c r="A760" s="154">
        <v>40886</v>
      </c>
      <c r="B760" s="150" t="s">
        <v>782</v>
      </c>
      <c r="C760" s="57" t="s">
        <v>8</v>
      </c>
      <c r="D760" s="57" t="s">
        <v>26</v>
      </c>
      <c r="E760" s="153">
        <v>6</v>
      </c>
      <c r="F760" s="153">
        <v>35.35</v>
      </c>
      <c r="G760" s="164"/>
      <c r="H760" s="164">
        <v>212.1</v>
      </c>
      <c r="I760" s="58">
        <v>111</v>
      </c>
      <c r="K760" s="57"/>
    </row>
    <row r="761" spans="1:11" x14ac:dyDescent="0.25">
      <c r="A761" s="154">
        <v>40886</v>
      </c>
      <c r="B761" s="150" t="s">
        <v>782</v>
      </c>
      <c r="C761" s="57" t="s">
        <v>8</v>
      </c>
      <c r="D761" s="57" t="s">
        <v>26</v>
      </c>
      <c r="E761" s="153">
        <v>8.5</v>
      </c>
      <c r="F761" s="153">
        <v>35.35</v>
      </c>
      <c r="G761" s="164"/>
      <c r="H761" s="164">
        <v>300.47500000000002</v>
      </c>
      <c r="I761" s="58">
        <v>111</v>
      </c>
      <c r="K761" s="57"/>
    </row>
    <row r="762" spans="1:11" x14ac:dyDescent="0.25">
      <c r="A762" s="154">
        <v>40886</v>
      </c>
      <c r="B762" s="150" t="s">
        <v>776</v>
      </c>
      <c r="C762" s="57" t="s">
        <v>8</v>
      </c>
      <c r="D762" s="57" t="s">
        <v>26</v>
      </c>
      <c r="E762" s="153">
        <v>3</v>
      </c>
      <c r="F762" s="153">
        <v>35.35</v>
      </c>
      <c r="G762" s="164"/>
      <c r="H762" s="164">
        <v>106.05</v>
      </c>
      <c r="I762" s="58">
        <v>111</v>
      </c>
      <c r="K762" s="57"/>
    </row>
    <row r="763" spans="1:11" x14ac:dyDescent="0.25">
      <c r="A763" s="154">
        <v>40886</v>
      </c>
      <c r="B763" s="150" t="s">
        <v>773</v>
      </c>
      <c r="C763" s="57" t="s">
        <v>774</v>
      </c>
      <c r="D763" s="57" t="s">
        <v>26</v>
      </c>
      <c r="E763" s="153">
        <v>3</v>
      </c>
      <c r="F763" s="153">
        <v>42.79</v>
      </c>
      <c r="G763" s="164"/>
      <c r="H763" s="164">
        <v>128.37</v>
      </c>
      <c r="I763" s="58">
        <v>111</v>
      </c>
      <c r="K763" s="57"/>
    </row>
    <row r="764" spans="1:11" x14ac:dyDescent="0.25">
      <c r="A764" s="154">
        <v>40886</v>
      </c>
      <c r="B764" s="150" t="s">
        <v>782</v>
      </c>
      <c r="C764" s="57" t="s">
        <v>8</v>
      </c>
      <c r="D764" s="57" t="s">
        <v>26</v>
      </c>
      <c r="E764" s="153">
        <v>8</v>
      </c>
      <c r="F764" s="153">
        <v>35.35</v>
      </c>
      <c r="G764" s="164"/>
      <c r="H764" s="164">
        <v>282.8</v>
      </c>
      <c r="I764" s="58">
        <v>111</v>
      </c>
      <c r="K764" s="57"/>
    </row>
    <row r="765" spans="1:11" x14ac:dyDescent="0.25">
      <c r="A765" s="154">
        <v>40948</v>
      </c>
      <c r="B765" s="150" t="s">
        <v>776</v>
      </c>
      <c r="C765" s="57" t="s">
        <v>8</v>
      </c>
      <c r="D765" s="57" t="s">
        <v>26</v>
      </c>
      <c r="E765" s="153">
        <v>5.5</v>
      </c>
      <c r="F765" s="153">
        <v>35.35</v>
      </c>
      <c r="G765" s="164"/>
      <c r="H765" s="164">
        <v>194.42500000000001</v>
      </c>
      <c r="I765" s="58">
        <v>111</v>
      </c>
      <c r="K765" s="57"/>
    </row>
    <row r="766" spans="1:11" x14ac:dyDescent="0.25">
      <c r="A766" s="154">
        <v>40948</v>
      </c>
      <c r="B766" s="150" t="s">
        <v>773</v>
      </c>
      <c r="C766" s="57" t="s">
        <v>774</v>
      </c>
      <c r="D766" s="57" t="s">
        <v>26</v>
      </c>
      <c r="E766" s="153">
        <v>5.5</v>
      </c>
      <c r="F766" s="153">
        <v>42.79</v>
      </c>
      <c r="G766" s="164"/>
      <c r="H766" s="164">
        <v>235.345</v>
      </c>
      <c r="I766" s="58">
        <v>111</v>
      </c>
      <c r="K766" s="57"/>
    </row>
    <row r="767" spans="1:11" x14ac:dyDescent="0.25">
      <c r="A767" s="154">
        <v>40948</v>
      </c>
      <c r="B767" s="150" t="s">
        <v>776</v>
      </c>
      <c r="C767" s="57" t="s">
        <v>8</v>
      </c>
      <c r="D767" s="57" t="s">
        <v>26</v>
      </c>
      <c r="E767" s="153">
        <v>5</v>
      </c>
      <c r="F767" s="153">
        <v>35.35</v>
      </c>
      <c r="G767" s="164"/>
      <c r="H767" s="164">
        <v>176.75</v>
      </c>
      <c r="I767" s="58">
        <v>111</v>
      </c>
      <c r="K767" s="57"/>
    </row>
    <row r="768" spans="1:11" x14ac:dyDescent="0.25">
      <c r="A768" s="154">
        <v>40948</v>
      </c>
      <c r="B768" s="150" t="s">
        <v>780</v>
      </c>
      <c r="C768" s="57" t="s">
        <v>8</v>
      </c>
      <c r="D768" s="57" t="s">
        <v>26</v>
      </c>
      <c r="E768" s="153">
        <v>5.5</v>
      </c>
      <c r="F768" s="153">
        <v>35.35</v>
      </c>
      <c r="G768" s="164"/>
      <c r="H768" s="164">
        <v>194.42500000000001</v>
      </c>
      <c r="I768" s="58">
        <v>111</v>
      </c>
      <c r="K768" s="57"/>
    </row>
    <row r="769" spans="1:11" x14ac:dyDescent="0.25">
      <c r="A769" s="154">
        <v>40948</v>
      </c>
      <c r="B769" s="150" t="s">
        <v>682</v>
      </c>
      <c r="C769" s="57" t="s">
        <v>794</v>
      </c>
      <c r="D769" s="57" t="s">
        <v>26</v>
      </c>
      <c r="E769" s="153">
        <v>5.5</v>
      </c>
      <c r="F769" s="153">
        <v>7</v>
      </c>
      <c r="G769" s="164"/>
      <c r="H769" s="164">
        <v>38.5</v>
      </c>
      <c r="I769" s="58">
        <v>111</v>
      </c>
      <c r="K769" s="57"/>
    </row>
    <row r="770" spans="1:11" x14ac:dyDescent="0.25">
      <c r="A770" s="154">
        <v>40948</v>
      </c>
      <c r="B770" s="150" t="s">
        <v>894</v>
      </c>
      <c r="C770" s="57" t="s">
        <v>8</v>
      </c>
      <c r="D770" s="57" t="s">
        <v>26</v>
      </c>
      <c r="E770" s="153">
        <v>4</v>
      </c>
      <c r="F770" s="153">
        <v>45</v>
      </c>
      <c r="G770" s="164"/>
      <c r="H770" s="164">
        <v>180</v>
      </c>
      <c r="I770" s="58">
        <v>111</v>
      </c>
      <c r="K770" s="57"/>
    </row>
    <row r="771" spans="1:11" x14ac:dyDescent="0.25">
      <c r="A771" s="154">
        <v>40948</v>
      </c>
      <c r="B771" s="150" t="s">
        <v>850</v>
      </c>
      <c r="C771" s="57" t="s">
        <v>8</v>
      </c>
      <c r="D771" s="57" t="s">
        <v>26</v>
      </c>
      <c r="E771" s="153">
        <v>4</v>
      </c>
      <c r="F771" s="153">
        <v>40.97</v>
      </c>
      <c r="G771" s="164"/>
      <c r="H771" s="164">
        <v>163.88</v>
      </c>
      <c r="I771" s="58">
        <v>111</v>
      </c>
      <c r="K771" s="57"/>
    </row>
    <row r="772" spans="1:11" x14ac:dyDescent="0.25">
      <c r="A772" s="154">
        <v>40948</v>
      </c>
      <c r="B772" s="150" t="s">
        <v>1188</v>
      </c>
      <c r="C772" s="57" t="s">
        <v>775</v>
      </c>
      <c r="D772" s="57" t="s">
        <v>26</v>
      </c>
      <c r="E772" s="153">
        <v>5.5</v>
      </c>
      <c r="F772" s="153">
        <v>80</v>
      </c>
      <c r="G772" s="164"/>
      <c r="H772" s="164">
        <v>440</v>
      </c>
      <c r="I772" s="58">
        <v>111</v>
      </c>
      <c r="K772" s="57"/>
    </row>
    <row r="773" spans="1:11" x14ac:dyDescent="0.25">
      <c r="A773" s="154">
        <v>40949</v>
      </c>
      <c r="B773" s="150" t="s">
        <v>773</v>
      </c>
      <c r="C773" s="57" t="s">
        <v>774</v>
      </c>
      <c r="D773" s="57" t="s">
        <v>26</v>
      </c>
      <c r="E773" s="153">
        <v>5</v>
      </c>
      <c r="F773" s="153">
        <v>42.79</v>
      </c>
      <c r="G773" s="164"/>
      <c r="H773" s="164">
        <v>213.95</v>
      </c>
      <c r="I773" s="58">
        <v>111</v>
      </c>
      <c r="K773" s="57"/>
    </row>
    <row r="774" spans="1:11" x14ac:dyDescent="0.25">
      <c r="A774" s="154">
        <v>40949</v>
      </c>
      <c r="B774" s="150" t="s">
        <v>682</v>
      </c>
      <c r="C774" s="57" t="s">
        <v>794</v>
      </c>
      <c r="D774" s="57" t="s">
        <v>26</v>
      </c>
      <c r="E774" s="153">
        <v>5</v>
      </c>
      <c r="F774" s="153">
        <v>7</v>
      </c>
      <c r="G774" s="164"/>
      <c r="H774" s="164">
        <v>35</v>
      </c>
      <c r="I774" s="58">
        <v>111</v>
      </c>
      <c r="K774" s="57"/>
    </row>
    <row r="775" spans="1:11" x14ac:dyDescent="0.25">
      <c r="A775" s="154">
        <v>40949</v>
      </c>
      <c r="B775" s="150" t="s">
        <v>1188</v>
      </c>
      <c r="C775" s="57" t="s">
        <v>775</v>
      </c>
      <c r="D775" s="57" t="s">
        <v>26</v>
      </c>
      <c r="E775" s="153">
        <v>5</v>
      </c>
      <c r="F775" s="153">
        <v>80</v>
      </c>
      <c r="G775" s="164"/>
      <c r="H775" s="164">
        <v>400</v>
      </c>
      <c r="I775" s="58">
        <v>111</v>
      </c>
      <c r="K775" s="57"/>
    </row>
    <row r="776" spans="1:11" x14ac:dyDescent="0.25">
      <c r="A776" s="154">
        <v>40949</v>
      </c>
      <c r="B776" s="150" t="s">
        <v>776</v>
      </c>
      <c r="C776" s="57" t="s">
        <v>8</v>
      </c>
      <c r="D776" s="57" t="s">
        <v>26</v>
      </c>
      <c r="E776" s="153">
        <v>5</v>
      </c>
      <c r="F776" s="153">
        <v>35.35</v>
      </c>
      <c r="G776" s="164"/>
      <c r="H776" s="164">
        <v>176.75</v>
      </c>
      <c r="I776" s="58">
        <v>111</v>
      </c>
      <c r="K776" s="57"/>
    </row>
    <row r="777" spans="1:11" x14ac:dyDescent="0.25">
      <c r="A777" s="154">
        <v>40949</v>
      </c>
      <c r="B777" s="150" t="s">
        <v>780</v>
      </c>
      <c r="C777" s="57" t="s">
        <v>8</v>
      </c>
      <c r="D777" s="57" t="s">
        <v>26</v>
      </c>
      <c r="E777" s="153">
        <v>5</v>
      </c>
      <c r="F777" s="153">
        <v>35.35</v>
      </c>
      <c r="G777" s="164"/>
      <c r="H777" s="164">
        <v>176.75</v>
      </c>
      <c r="I777" s="58">
        <v>111</v>
      </c>
      <c r="K777" s="57"/>
    </row>
    <row r="778" spans="1:11" x14ac:dyDescent="0.25">
      <c r="A778" s="154">
        <v>40949</v>
      </c>
      <c r="B778" s="150" t="s">
        <v>776</v>
      </c>
      <c r="C778" s="57" t="s">
        <v>8</v>
      </c>
      <c r="D778" s="57" t="s">
        <v>26</v>
      </c>
      <c r="E778" s="153">
        <v>5</v>
      </c>
      <c r="F778" s="153">
        <v>35.35</v>
      </c>
      <c r="G778" s="164"/>
      <c r="H778" s="164">
        <v>176.75</v>
      </c>
      <c r="I778" s="58">
        <v>111</v>
      </c>
      <c r="K778" s="57"/>
    </row>
    <row r="779" spans="1:11" x14ac:dyDescent="0.25">
      <c r="A779" s="154">
        <v>40949</v>
      </c>
      <c r="B779" s="150" t="s">
        <v>850</v>
      </c>
      <c r="C779" s="57" t="s">
        <v>8</v>
      </c>
      <c r="D779" s="57" t="s">
        <v>26</v>
      </c>
      <c r="E779" s="153">
        <v>4</v>
      </c>
      <c r="F779" s="153">
        <v>40.97</v>
      </c>
      <c r="G779" s="164"/>
      <c r="H779" s="164">
        <v>163.88</v>
      </c>
      <c r="I779" s="58">
        <v>111</v>
      </c>
      <c r="K779" s="57"/>
    </row>
    <row r="780" spans="1:11" ht="30" x14ac:dyDescent="0.25">
      <c r="A780" s="154">
        <v>40949</v>
      </c>
      <c r="B780" s="150" t="s">
        <v>929</v>
      </c>
      <c r="C780" s="57" t="s">
        <v>930</v>
      </c>
      <c r="D780" s="57" t="s">
        <v>748</v>
      </c>
      <c r="E780" s="153">
        <v>1</v>
      </c>
      <c r="F780" s="153">
        <v>132</v>
      </c>
      <c r="G780" s="164"/>
      <c r="H780" s="164">
        <v>132</v>
      </c>
      <c r="I780" s="58">
        <v>111</v>
      </c>
      <c r="K780" s="57"/>
    </row>
    <row r="781" spans="1:11" x14ac:dyDescent="0.25">
      <c r="A781" s="154">
        <v>40950</v>
      </c>
      <c r="B781" s="150" t="s">
        <v>776</v>
      </c>
      <c r="C781" s="57" t="s">
        <v>8</v>
      </c>
      <c r="D781" s="57" t="s">
        <v>26</v>
      </c>
      <c r="E781" s="153">
        <v>4</v>
      </c>
      <c r="F781" s="153">
        <v>35.35</v>
      </c>
      <c r="G781" s="164"/>
      <c r="H781" s="164">
        <v>141.4</v>
      </c>
      <c r="I781" s="58">
        <v>111</v>
      </c>
      <c r="K781" s="57"/>
    </row>
    <row r="782" spans="1:11" x14ac:dyDescent="0.25">
      <c r="A782" s="154">
        <v>40950</v>
      </c>
      <c r="B782" s="150" t="s">
        <v>850</v>
      </c>
      <c r="C782" s="57" t="s">
        <v>8</v>
      </c>
      <c r="D782" s="57" t="s">
        <v>26</v>
      </c>
      <c r="E782" s="153">
        <v>6.5</v>
      </c>
      <c r="F782" s="153">
        <v>40.97</v>
      </c>
      <c r="G782" s="164"/>
      <c r="H782" s="164">
        <v>266.30500000000001</v>
      </c>
      <c r="I782" s="58">
        <v>111</v>
      </c>
      <c r="K782" s="57"/>
    </row>
    <row r="783" spans="1:11" x14ac:dyDescent="0.25">
      <c r="A783" s="154">
        <v>40950</v>
      </c>
      <c r="B783" s="150" t="s">
        <v>1188</v>
      </c>
      <c r="C783" s="57" t="s">
        <v>775</v>
      </c>
      <c r="D783" s="57" t="s">
        <v>26</v>
      </c>
      <c r="E783" s="153">
        <v>7.5</v>
      </c>
      <c r="F783" s="153">
        <v>80</v>
      </c>
      <c r="G783" s="164"/>
      <c r="H783" s="164">
        <v>600</v>
      </c>
      <c r="I783" s="58">
        <v>111</v>
      </c>
      <c r="K783" s="57"/>
    </row>
    <row r="784" spans="1:11" x14ac:dyDescent="0.25">
      <c r="A784" s="154">
        <v>40950</v>
      </c>
      <c r="B784" s="150" t="s">
        <v>682</v>
      </c>
      <c r="C784" s="57" t="s">
        <v>794</v>
      </c>
      <c r="D784" s="57" t="s">
        <v>26</v>
      </c>
      <c r="E784" s="153">
        <v>8</v>
      </c>
      <c r="F784" s="153">
        <v>7</v>
      </c>
      <c r="G784" s="164"/>
      <c r="H784" s="164">
        <v>56</v>
      </c>
      <c r="I784" s="58">
        <v>111</v>
      </c>
      <c r="K784" s="57"/>
    </row>
    <row r="785" spans="1:11" x14ac:dyDescent="0.25">
      <c r="A785" s="154">
        <v>40950</v>
      </c>
      <c r="B785" s="150" t="s">
        <v>773</v>
      </c>
      <c r="C785" s="57" t="s">
        <v>774</v>
      </c>
      <c r="D785" s="57" t="s">
        <v>26</v>
      </c>
      <c r="E785" s="153">
        <v>5</v>
      </c>
      <c r="F785" s="153">
        <v>42.79</v>
      </c>
      <c r="G785" s="164"/>
      <c r="H785" s="164">
        <v>213.95</v>
      </c>
      <c r="I785" s="58">
        <v>111</v>
      </c>
      <c r="K785" s="57"/>
    </row>
    <row r="786" spans="1:11" x14ac:dyDescent="0.25">
      <c r="A786" s="154">
        <v>40951</v>
      </c>
      <c r="B786" s="150" t="s">
        <v>850</v>
      </c>
      <c r="C786" s="57" t="s">
        <v>8</v>
      </c>
      <c r="D786" s="57" t="s">
        <v>26</v>
      </c>
      <c r="E786" s="153">
        <v>11</v>
      </c>
      <c r="F786" s="153">
        <v>40.97</v>
      </c>
      <c r="G786" s="164"/>
      <c r="H786" s="164">
        <v>450.67</v>
      </c>
      <c r="I786" s="58">
        <v>111</v>
      </c>
      <c r="K786" s="57"/>
    </row>
    <row r="787" spans="1:11" x14ac:dyDescent="0.25">
      <c r="A787" s="154">
        <v>40953</v>
      </c>
      <c r="B787" s="150" t="s">
        <v>773</v>
      </c>
      <c r="C787" s="57" t="s">
        <v>774</v>
      </c>
      <c r="D787" s="57" t="s">
        <v>26</v>
      </c>
      <c r="E787" s="153">
        <v>10.5</v>
      </c>
      <c r="F787" s="153">
        <v>42.79</v>
      </c>
      <c r="G787" s="164"/>
      <c r="H787" s="164">
        <v>449.29500000000002</v>
      </c>
      <c r="I787" s="58">
        <v>111</v>
      </c>
      <c r="K787" s="57"/>
    </row>
    <row r="788" spans="1:11" x14ac:dyDescent="0.25">
      <c r="A788" s="154">
        <v>40977</v>
      </c>
      <c r="B788" s="150" t="s">
        <v>776</v>
      </c>
      <c r="C788" s="57" t="s">
        <v>8</v>
      </c>
      <c r="D788" s="57" t="s">
        <v>26</v>
      </c>
      <c r="E788" s="153">
        <v>4</v>
      </c>
      <c r="F788" s="153">
        <v>35.35</v>
      </c>
      <c r="G788" s="164"/>
      <c r="H788" s="164">
        <v>141.4</v>
      </c>
      <c r="I788" s="58">
        <v>111</v>
      </c>
      <c r="K788" s="57"/>
    </row>
    <row r="789" spans="1:11" x14ac:dyDescent="0.25">
      <c r="A789" s="154">
        <v>40977</v>
      </c>
      <c r="B789" s="150" t="s">
        <v>682</v>
      </c>
      <c r="C789" s="57" t="s">
        <v>794</v>
      </c>
      <c r="D789" s="57" t="s">
        <v>26</v>
      </c>
      <c r="E789" s="153">
        <v>8</v>
      </c>
      <c r="F789" s="153">
        <v>7</v>
      </c>
      <c r="G789" s="164"/>
      <c r="H789" s="164">
        <v>56</v>
      </c>
      <c r="I789" s="58">
        <v>111</v>
      </c>
      <c r="K789" s="57"/>
    </row>
    <row r="790" spans="1:11" x14ac:dyDescent="0.25">
      <c r="A790" s="154">
        <v>40977</v>
      </c>
      <c r="B790" s="150" t="s">
        <v>1188</v>
      </c>
      <c r="C790" s="57" t="s">
        <v>775</v>
      </c>
      <c r="D790" s="57" t="s">
        <v>26</v>
      </c>
      <c r="E790" s="153">
        <v>8</v>
      </c>
      <c r="F790" s="153">
        <v>80</v>
      </c>
      <c r="G790" s="164"/>
      <c r="H790" s="164">
        <v>640</v>
      </c>
      <c r="I790" s="58">
        <v>111</v>
      </c>
      <c r="K790" s="57"/>
    </row>
    <row r="791" spans="1:11" x14ac:dyDescent="0.25">
      <c r="A791" s="154">
        <v>40977</v>
      </c>
      <c r="B791" s="150" t="s">
        <v>780</v>
      </c>
      <c r="C791" s="57" t="s">
        <v>8</v>
      </c>
      <c r="D791" s="57" t="s">
        <v>26</v>
      </c>
      <c r="E791" s="153">
        <v>4</v>
      </c>
      <c r="F791" s="153">
        <v>35.35</v>
      </c>
      <c r="G791" s="164"/>
      <c r="H791" s="164">
        <v>141.4</v>
      </c>
      <c r="I791" s="58">
        <v>111</v>
      </c>
      <c r="K791" s="57"/>
    </row>
    <row r="792" spans="1:11" x14ac:dyDescent="0.25">
      <c r="A792" s="154">
        <v>40977</v>
      </c>
      <c r="B792" s="150" t="s">
        <v>773</v>
      </c>
      <c r="C792" s="57" t="s">
        <v>774</v>
      </c>
      <c r="D792" s="57" t="s">
        <v>26</v>
      </c>
      <c r="E792" s="153">
        <v>8</v>
      </c>
      <c r="F792" s="153">
        <v>42.79</v>
      </c>
      <c r="G792" s="164"/>
      <c r="H792" s="164">
        <v>342.32</v>
      </c>
      <c r="I792" s="58">
        <v>111</v>
      </c>
      <c r="K792" s="57"/>
    </row>
    <row r="793" spans="1:11" x14ac:dyDescent="0.25">
      <c r="A793" s="154">
        <v>40977</v>
      </c>
      <c r="B793" s="150" t="s">
        <v>776</v>
      </c>
      <c r="C793" s="57" t="s">
        <v>8</v>
      </c>
      <c r="D793" s="57" t="s">
        <v>26</v>
      </c>
      <c r="E793" s="153">
        <v>4</v>
      </c>
      <c r="F793" s="153">
        <v>35.35</v>
      </c>
      <c r="G793" s="164"/>
      <c r="H793" s="164">
        <v>141.4</v>
      </c>
      <c r="I793" s="58">
        <v>111</v>
      </c>
      <c r="K793" s="57"/>
    </row>
    <row r="794" spans="1:11" x14ac:dyDescent="0.25">
      <c r="A794" s="154">
        <v>40977</v>
      </c>
      <c r="B794" s="150" t="s">
        <v>776</v>
      </c>
      <c r="C794" s="57" t="s">
        <v>8</v>
      </c>
      <c r="D794" s="57" t="s">
        <v>26</v>
      </c>
      <c r="E794" s="153">
        <v>4</v>
      </c>
      <c r="F794" s="153">
        <v>35.35</v>
      </c>
      <c r="G794" s="164"/>
      <c r="H794" s="164">
        <v>141.4</v>
      </c>
      <c r="I794" s="58">
        <v>111</v>
      </c>
      <c r="K794" s="57"/>
    </row>
    <row r="795" spans="1:11" x14ac:dyDescent="0.25">
      <c r="A795" s="169" t="s">
        <v>682</v>
      </c>
      <c r="B795" s="170" t="s">
        <v>931</v>
      </c>
      <c r="C795" s="171" t="s">
        <v>682</v>
      </c>
      <c r="D795" s="171" t="s">
        <v>682</v>
      </c>
      <c r="E795" s="172"/>
      <c r="F795" s="172"/>
      <c r="G795" s="173"/>
      <c r="H795" s="173">
        <v>8890.2149999999983</v>
      </c>
      <c r="I795" s="174" t="s">
        <v>682</v>
      </c>
      <c r="K795" s="57"/>
    </row>
    <row r="796" spans="1:11" x14ac:dyDescent="0.25">
      <c r="A796" s="154" t="s">
        <v>682</v>
      </c>
      <c r="B796" s="150" t="s">
        <v>682</v>
      </c>
      <c r="C796" s="57" t="s">
        <v>682</v>
      </c>
      <c r="D796" s="57" t="s">
        <v>682</v>
      </c>
      <c r="E796" s="153"/>
      <c r="F796" s="153"/>
      <c r="G796" s="164"/>
      <c r="H796" s="164"/>
      <c r="I796" s="58" t="s">
        <v>682</v>
      </c>
      <c r="K796" s="57"/>
    </row>
    <row r="797" spans="1:11" x14ac:dyDescent="0.25">
      <c r="A797" s="166" t="s">
        <v>682</v>
      </c>
      <c r="B797" s="165" t="s">
        <v>932</v>
      </c>
      <c r="C797" s="60" t="s">
        <v>682</v>
      </c>
      <c r="D797" s="60" t="s">
        <v>682</v>
      </c>
      <c r="E797" s="167"/>
      <c r="F797" s="167"/>
      <c r="G797" s="168"/>
      <c r="H797" s="168"/>
      <c r="I797" s="46" t="s">
        <v>682</v>
      </c>
      <c r="K797" s="57"/>
    </row>
    <row r="798" spans="1:11" ht="30" x14ac:dyDescent="0.25">
      <c r="A798" s="154">
        <v>40855</v>
      </c>
      <c r="B798" s="150" t="s">
        <v>933</v>
      </c>
      <c r="C798" s="57" t="s">
        <v>934</v>
      </c>
      <c r="D798" s="57" t="s">
        <v>748</v>
      </c>
      <c r="E798" s="153">
        <v>1</v>
      </c>
      <c r="F798" s="153">
        <v>815.71</v>
      </c>
      <c r="G798" s="164"/>
      <c r="H798" s="164">
        <v>815.71</v>
      </c>
      <c r="I798" s="58">
        <v>141</v>
      </c>
      <c r="K798" s="57"/>
    </row>
    <row r="799" spans="1:11" x14ac:dyDescent="0.25">
      <c r="A799" s="154">
        <v>40860</v>
      </c>
      <c r="B799" s="150" t="s">
        <v>782</v>
      </c>
      <c r="C799" s="57" t="s">
        <v>8</v>
      </c>
      <c r="D799" s="57" t="s">
        <v>26</v>
      </c>
      <c r="E799" s="153">
        <v>5</v>
      </c>
      <c r="F799" s="153">
        <v>35.35</v>
      </c>
      <c r="G799" s="164"/>
      <c r="H799" s="164">
        <v>176.75</v>
      </c>
      <c r="I799" s="58">
        <v>141</v>
      </c>
      <c r="K799" s="57"/>
    </row>
    <row r="800" spans="1:11" ht="30" x14ac:dyDescent="0.25">
      <c r="A800" s="154">
        <v>40863</v>
      </c>
      <c r="B800" s="150" t="s">
        <v>935</v>
      </c>
      <c r="C800" s="57" t="s">
        <v>934</v>
      </c>
      <c r="D800" s="57" t="s">
        <v>748</v>
      </c>
      <c r="E800" s="153">
        <v>1</v>
      </c>
      <c r="F800" s="153">
        <v>1110.5</v>
      </c>
      <c r="G800" s="164"/>
      <c r="H800" s="164">
        <v>1110.5</v>
      </c>
      <c r="I800" s="58">
        <v>141</v>
      </c>
      <c r="K800" s="57"/>
    </row>
    <row r="801" spans="1:11" x14ac:dyDescent="0.25">
      <c r="A801" s="154">
        <v>40869</v>
      </c>
      <c r="B801" s="150" t="s">
        <v>856</v>
      </c>
      <c r="C801" s="57" t="s">
        <v>8</v>
      </c>
      <c r="D801" s="57" t="s">
        <v>26</v>
      </c>
      <c r="E801" s="153">
        <v>5</v>
      </c>
      <c r="F801" s="153">
        <v>40.97</v>
      </c>
      <c r="G801" s="164"/>
      <c r="H801" s="164">
        <v>204.85</v>
      </c>
      <c r="I801" s="58">
        <v>141</v>
      </c>
      <c r="K801" s="57"/>
    </row>
    <row r="802" spans="1:11" x14ac:dyDescent="0.25">
      <c r="A802" s="154">
        <v>40869</v>
      </c>
      <c r="B802" s="150" t="s">
        <v>936</v>
      </c>
      <c r="C802" s="57" t="s">
        <v>8</v>
      </c>
      <c r="D802" s="57" t="s">
        <v>26</v>
      </c>
      <c r="E802" s="153">
        <v>5</v>
      </c>
      <c r="F802" s="153">
        <v>40.97</v>
      </c>
      <c r="G802" s="164"/>
      <c r="H802" s="164">
        <v>204.85</v>
      </c>
      <c r="I802" s="58">
        <v>141</v>
      </c>
      <c r="K802" s="57"/>
    </row>
    <row r="803" spans="1:11" x14ac:dyDescent="0.25">
      <c r="A803" s="154">
        <v>40870</v>
      </c>
      <c r="B803" s="150" t="s">
        <v>936</v>
      </c>
      <c r="C803" s="57" t="s">
        <v>8</v>
      </c>
      <c r="D803" s="57" t="s">
        <v>26</v>
      </c>
      <c r="E803" s="153">
        <v>10.5</v>
      </c>
      <c r="F803" s="153">
        <v>40.97</v>
      </c>
      <c r="G803" s="164"/>
      <c r="H803" s="164">
        <v>430.185</v>
      </c>
      <c r="I803" s="58">
        <v>141</v>
      </c>
      <c r="K803" s="57"/>
    </row>
    <row r="804" spans="1:11" x14ac:dyDescent="0.25">
      <c r="A804" s="154">
        <v>40870</v>
      </c>
      <c r="B804" s="150" t="s">
        <v>856</v>
      </c>
      <c r="C804" s="57" t="s">
        <v>8</v>
      </c>
      <c r="D804" s="57" t="s">
        <v>26</v>
      </c>
      <c r="E804" s="153">
        <v>10.5</v>
      </c>
      <c r="F804" s="153">
        <v>40.97</v>
      </c>
      <c r="G804" s="164"/>
      <c r="H804" s="164">
        <v>430.185</v>
      </c>
      <c r="I804" s="58">
        <v>141</v>
      </c>
      <c r="K804" s="57"/>
    </row>
    <row r="805" spans="1:11" x14ac:dyDescent="0.25">
      <c r="A805" s="154">
        <v>40871</v>
      </c>
      <c r="B805" s="150" t="s">
        <v>856</v>
      </c>
      <c r="C805" s="57" t="s">
        <v>8</v>
      </c>
      <c r="D805" s="57" t="s">
        <v>26</v>
      </c>
      <c r="E805" s="153">
        <v>10.5</v>
      </c>
      <c r="F805" s="153">
        <v>40.97</v>
      </c>
      <c r="G805" s="164"/>
      <c r="H805" s="164">
        <v>430.185</v>
      </c>
      <c r="I805" s="58">
        <v>141</v>
      </c>
      <c r="K805" s="57"/>
    </row>
    <row r="806" spans="1:11" x14ac:dyDescent="0.25">
      <c r="A806" s="154">
        <v>40871</v>
      </c>
      <c r="B806" s="150" t="s">
        <v>936</v>
      </c>
      <c r="C806" s="57" t="s">
        <v>8</v>
      </c>
      <c r="D806" s="57" t="s">
        <v>26</v>
      </c>
      <c r="E806" s="153">
        <v>10.5</v>
      </c>
      <c r="F806" s="153">
        <v>40.97</v>
      </c>
      <c r="G806" s="164"/>
      <c r="H806" s="164">
        <v>430.185</v>
      </c>
      <c r="I806" s="58">
        <v>141</v>
      </c>
      <c r="K806" s="57"/>
    </row>
    <row r="807" spans="1:11" x14ac:dyDescent="0.25">
      <c r="A807" s="154">
        <v>40872</v>
      </c>
      <c r="B807" s="150" t="s">
        <v>856</v>
      </c>
      <c r="C807" s="57" t="s">
        <v>8</v>
      </c>
      <c r="D807" s="57" t="s">
        <v>26</v>
      </c>
      <c r="E807" s="153">
        <v>10.5</v>
      </c>
      <c r="F807" s="153">
        <v>40.97</v>
      </c>
      <c r="G807" s="164"/>
      <c r="H807" s="164">
        <v>430.185</v>
      </c>
      <c r="I807" s="58">
        <v>141</v>
      </c>
      <c r="K807" s="57"/>
    </row>
    <row r="808" spans="1:11" x14ac:dyDescent="0.25">
      <c r="A808" s="154">
        <v>40872</v>
      </c>
      <c r="B808" s="150" t="s">
        <v>936</v>
      </c>
      <c r="C808" s="57" t="s">
        <v>8</v>
      </c>
      <c r="D808" s="57" t="s">
        <v>26</v>
      </c>
      <c r="E808" s="153">
        <v>10.5</v>
      </c>
      <c r="F808" s="153">
        <v>40.97</v>
      </c>
      <c r="G808" s="164"/>
      <c r="H808" s="164">
        <v>430.185</v>
      </c>
      <c r="I808" s="58">
        <v>141</v>
      </c>
      <c r="K808" s="57"/>
    </row>
    <row r="809" spans="1:11" x14ac:dyDescent="0.25">
      <c r="A809" s="154">
        <v>40872</v>
      </c>
      <c r="B809" s="150" t="s">
        <v>782</v>
      </c>
      <c r="C809" s="57" t="s">
        <v>8</v>
      </c>
      <c r="D809" s="57" t="s">
        <v>26</v>
      </c>
      <c r="E809" s="153">
        <v>3</v>
      </c>
      <c r="F809" s="153">
        <v>35.35</v>
      </c>
      <c r="G809" s="164"/>
      <c r="H809" s="164">
        <v>106.05</v>
      </c>
      <c r="I809" s="58">
        <v>141</v>
      </c>
      <c r="K809" s="57"/>
    </row>
    <row r="810" spans="1:11" x14ac:dyDescent="0.25">
      <c r="A810" s="154">
        <v>40872</v>
      </c>
      <c r="B810" s="150" t="s">
        <v>804</v>
      </c>
      <c r="C810" s="57" t="s">
        <v>8</v>
      </c>
      <c r="D810" s="57" t="s">
        <v>26</v>
      </c>
      <c r="E810" s="153">
        <v>0.5</v>
      </c>
      <c r="F810" s="153">
        <v>44.2</v>
      </c>
      <c r="G810" s="164"/>
      <c r="H810" s="164">
        <v>22.1</v>
      </c>
      <c r="I810" s="58">
        <v>141</v>
      </c>
      <c r="K810" s="57"/>
    </row>
    <row r="811" spans="1:11" x14ac:dyDescent="0.25">
      <c r="A811" s="154">
        <v>40872</v>
      </c>
      <c r="B811" s="150" t="s">
        <v>782</v>
      </c>
      <c r="C811" s="57" t="s">
        <v>8</v>
      </c>
      <c r="D811" s="57" t="s">
        <v>26</v>
      </c>
      <c r="E811" s="153">
        <v>0.5</v>
      </c>
      <c r="F811" s="153">
        <v>35.35</v>
      </c>
      <c r="G811" s="164"/>
      <c r="H811" s="164">
        <v>17.675000000000001</v>
      </c>
      <c r="I811" s="58">
        <v>141</v>
      </c>
      <c r="K811" s="57"/>
    </row>
    <row r="812" spans="1:11" x14ac:dyDescent="0.25">
      <c r="A812" s="154">
        <v>40873</v>
      </c>
      <c r="B812" s="150" t="s">
        <v>936</v>
      </c>
      <c r="C812" s="57" t="s">
        <v>8</v>
      </c>
      <c r="D812" s="57" t="s">
        <v>26</v>
      </c>
      <c r="E812" s="153">
        <v>10.5</v>
      </c>
      <c r="F812" s="153">
        <v>40.97</v>
      </c>
      <c r="G812" s="164"/>
      <c r="H812" s="164">
        <v>430.185</v>
      </c>
      <c r="I812" s="58">
        <v>141</v>
      </c>
      <c r="K812" s="57"/>
    </row>
    <row r="813" spans="1:11" x14ac:dyDescent="0.25">
      <c r="A813" s="154">
        <v>40873</v>
      </c>
      <c r="B813" s="150" t="s">
        <v>856</v>
      </c>
      <c r="C813" s="57" t="s">
        <v>8</v>
      </c>
      <c r="D813" s="57" t="s">
        <v>26</v>
      </c>
      <c r="E813" s="153">
        <v>10.5</v>
      </c>
      <c r="F813" s="153">
        <v>40.97</v>
      </c>
      <c r="G813" s="164"/>
      <c r="H813" s="164">
        <v>430.185</v>
      </c>
      <c r="I813" s="58">
        <v>141</v>
      </c>
      <c r="K813" s="57"/>
    </row>
    <row r="814" spans="1:11" x14ac:dyDescent="0.25">
      <c r="A814" s="154">
        <v>40874</v>
      </c>
      <c r="B814" s="150" t="s">
        <v>856</v>
      </c>
      <c r="C814" s="57" t="s">
        <v>8</v>
      </c>
      <c r="D814" s="57" t="s">
        <v>26</v>
      </c>
      <c r="E814" s="153">
        <v>10.5</v>
      </c>
      <c r="F814" s="153">
        <v>40.97</v>
      </c>
      <c r="G814" s="164"/>
      <c r="H814" s="164">
        <v>430.185</v>
      </c>
      <c r="I814" s="58">
        <v>141</v>
      </c>
      <c r="K814" s="57"/>
    </row>
    <row r="815" spans="1:11" x14ac:dyDescent="0.25">
      <c r="A815" s="154">
        <v>40874</v>
      </c>
      <c r="B815" s="150" t="s">
        <v>936</v>
      </c>
      <c r="C815" s="57" t="s">
        <v>8</v>
      </c>
      <c r="D815" s="57" t="s">
        <v>26</v>
      </c>
      <c r="E815" s="153">
        <v>10.5</v>
      </c>
      <c r="F815" s="153">
        <v>40.97</v>
      </c>
      <c r="G815" s="164"/>
      <c r="H815" s="164">
        <v>430.185</v>
      </c>
      <c r="I815" s="58">
        <v>141</v>
      </c>
      <c r="K815" s="57"/>
    </row>
    <row r="816" spans="1:11" x14ac:dyDescent="0.25">
      <c r="A816" s="154">
        <v>40875</v>
      </c>
      <c r="B816" s="150" t="s">
        <v>936</v>
      </c>
      <c r="C816" s="57" t="s">
        <v>8</v>
      </c>
      <c r="D816" s="57" t="s">
        <v>26</v>
      </c>
      <c r="E816" s="153">
        <v>10.5</v>
      </c>
      <c r="F816" s="153">
        <v>40.97</v>
      </c>
      <c r="G816" s="164"/>
      <c r="H816" s="164">
        <v>430.185</v>
      </c>
      <c r="I816" s="58">
        <v>141</v>
      </c>
      <c r="K816" s="57"/>
    </row>
    <row r="817" spans="1:11" x14ac:dyDescent="0.25">
      <c r="A817" s="154">
        <v>40875</v>
      </c>
      <c r="B817" s="150" t="s">
        <v>856</v>
      </c>
      <c r="C817" s="57" t="s">
        <v>8</v>
      </c>
      <c r="D817" s="57" t="s">
        <v>26</v>
      </c>
      <c r="E817" s="153">
        <v>10.5</v>
      </c>
      <c r="F817" s="153">
        <v>40.97</v>
      </c>
      <c r="G817" s="164"/>
      <c r="H817" s="164">
        <v>430.185</v>
      </c>
      <c r="I817" s="58">
        <v>141</v>
      </c>
      <c r="K817" s="57"/>
    </row>
    <row r="818" spans="1:11" x14ac:dyDescent="0.25">
      <c r="A818" s="154">
        <v>40876</v>
      </c>
      <c r="B818" s="150" t="s">
        <v>856</v>
      </c>
      <c r="C818" s="57" t="s">
        <v>8</v>
      </c>
      <c r="D818" s="57" t="s">
        <v>26</v>
      </c>
      <c r="E818" s="153">
        <v>10.5</v>
      </c>
      <c r="F818" s="153">
        <v>40.97</v>
      </c>
      <c r="G818" s="164"/>
      <c r="H818" s="164">
        <v>430.185</v>
      </c>
      <c r="I818" s="58">
        <v>141</v>
      </c>
      <c r="K818" s="57"/>
    </row>
    <row r="819" spans="1:11" x14ac:dyDescent="0.25">
      <c r="A819" s="154">
        <v>40876</v>
      </c>
      <c r="B819" s="150" t="s">
        <v>936</v>
      </c>
      <c r="C819" s="57" t="s">
        <v>8</v>
      </c>
      <c r="D819" s="57" t="s">
        <v>26</v>
      </c>
      <c r="E819" s="153">
        <v>10.5</v>
      </c>
      <c r="F819" s="153">
        <v>40.97</v>
      </c>
      <c r="G819" s="164"/>
      <c r="H819" s="164">
        <v>430.185</v>
      </c>
      <c r="I819" s="58">
        <v>141</v>
      </c>
      <c r="K819" s="57"/>
    </row>
    <row r="820" spans="1:11" ht="30" x14ac:dyDescent="0.25">
      <c r="A820" s="154">
        <v>40877</v>
      </c>
      <c r="B820" s="150" t="s">
        <v>937</v>
      </c>
      <c r="C820" s="57" t="s">
        <v>938</v>
      </c>
      <c r="D820" s="57" t="s">
        <v>748</v>
      </c>
      <c r="E820" s="153">
        <v>1</v>
      </c>
      <c r="F820" s="153">
        <v>3280.2</v>
      </c>
      <c r="G820" s="164"/>
      <c r="H820" s="164">
        <v>3280.2</v>
      </c>
      <c r="I820" s="58">
        <v>141</v>
      </c>
      <c r="K820" s="57"/>
    </row>
    <row r="821" spans="1:11" x14ac:dyDescent="0.25">
      <c r="A821" s="154">
        <v>40877</v>
      </c>
      <c r="B821" s="150" t="s">
        <v>936</v>
      </c>
      <c r="C821" s="57" t="s">
        <v>8</v>
      </c>
      <c r="D821" s="57" t="s">
        <v>26</v>
      </c>
      <c r="E821" s="153">
        <v>10.5</v>
      </c>
      <c r="F821" s="153">
        <v>40.97</v>
      </c>
      <c r="G821" s="164"/>
      <c r="H821" s="164">
        <v>430.185</v>
      </c>
      <c r="I821" s="58">
        <v>141</v>
      </c>
      <c r="K821" s="57"/>
    </row>
    <row r="822" spans="1:11" x14ac:dyDescent="0.25">
      <c r="A822" s="154">
        <v>40877</v>
      </c>
      <c r="B822" s="150" t="s">
        <v>856</v>
      </c>
      <c r="C822" s="57" t="s">
        <v>8</v>
      </c>
      <c r="D822" s="57" t="s">
        <v>26</v>
      </c>
      <c r="E822" s="153">
        <v>10.5</v>
      </c>
      <c r="F822" s="153">
        <v>40.97</v>
      </c>
      <c r="G822" s="164"/>
      <c r="H822" s="164">
        <v>430.185</v>
      </c>
      <c r="I822" s="58">
        <v>141</v>
      </c>
      <c r="K822" s="57"/>
    </row>
    <row r="823" spans="1:11" x14ac:dyDescent="0.25">
      <c r="A823" s="154">
        <v>40878</v>
      </c>
      <c r="B823" s="150" t="s">
        <v>936</v>
      </c>
      <c r="C823" s="57" t="s">
        <v>8</v>
      </c>
      <c r="D823" s="57" t="s">
        <v>26</v>
      </c>
      <c r="E823" s="153">
        <v>6.5</v>
      </c>
      <c r="F823" s="153">
        <v>40.97</v>
      </c>
      <c r="G823" s="164"/>
      <c r="H823" s="164">
        <v>266.30500000000001</v>
      </c>
      <c r="I823" s="58">
        <v>141</v>
      </c>
      <c r="K823" s="57"/>
    </row>
    <row r="824" spans="1:11" x14ac:dyDescent="0.25">
      <c r="A824" s="154">
        <v>40878</v>
      </c>
      <c r="B824" s="150" t="s">
        <v>856</v>
      </c>
      <c r="C824" s="57" t="s">
        <v>8</v>
      </c>
      <c r="D824" s="57" t="s">
        <v>26</v>
      </c>
      <c r="E824" s="153">
        <v>10.5</v>
      </c>
      <c r="F824" s="153">
        <v>40.97</v>
      </c>
      <c r="G824" s="164"/>
      <c r="H824" s="164">
        <v>430.185</v>
      </c>
      <c r="I824" s="58">
        <v>141</v>
      </c>
      <c r="K824" s="57"/>
    </row>
    <row r="825" spans="1:11" x14ac:dyDescent="0.25">
      <c r="A825" s="154">
        <v>40884</v>
      </c>
      <c r="B825" s="150" t="s">
        <v>845</v>
      </c>
      <c r="C825" s="57" t="s">
        <v>8</v>
      </c>
      <c r="D825" s="57" t="s">
        <v>26</v>
      </c>
      <c r="E825" s="153">
        <v>9.5</v>
      </c>
      <c r="F825" s="153">
        <v>40.97</v>
      </c>
      <c r="G825" s="164"/>
      <c r="H825" s="164">
        <v>389.21499999999997</v>
      </c>
      <c r="I825" s="58">
        <v>141</v>
      </c>
      <c r="K825" s="57"/>
    </row>
    <row r="826" spans="1:11" x14ac:dyDescent="0.25">
      <c r="A826" s="154">
        <v>40884</v>
      </c>
      <c r="B826" s="150" t="s">
        <v>780</v>
      </c>
      <c r="C826" s="57" t="s">
        <v>8</v>
      </c>
      <c r="D826" s="57" t="s">
        <v>26</v>
      </c>
      <c r="E826" s="153">
        <v>5</v>
      </c>
      <c r="F826" s="153">
        <v>35.35</v>
      </c>
      <c r="G826" s="164"/>
      <c r="H826" s="164">
        <v>176.75</v>
      </c>
      <c r="I826" s="58">
        <v>141</v>
      </c>
      <c r="K826" s="57"/>
    </row>
    <row r="827" spans="1:11" x14ac:dyDescent="0.25">
      <c r="A827" s="154">
        <v>40885</v>
      </c>
      <c r="B827" s="150" t="s">
        <v>845</v>
      </c>
      <c r="C827" s="57" t="s">
        <v>8</v>
      </c>
      <c r="D827" s="57" t="s">
        <v>26</v>
      </c>
      <c r="E827" s="153">
        <v>11</v>
      </c>
      <c r="F827" s="153">
        <v>40.97</v>
      </c>
      <c r="G827" s="164"/>
      <c r="H827" s="164">
        <v>450.67</v>
      </c>
      <c r="I827" s="58">
        <v>141</v>
      </c>
      <c r="K827" s="57"/>
    </row>
    <row r="828" spans="1:11" x14ac:dyDescent="0.25">
      <c r="A828" s="154">
        <v>40885</v>
      </c>
      <c r="B828" s="150" t="s">
        <v>856</v>
      </c>
      <c r="C828" s="57" t="s">
        <v>8</v>
      </c>
      <c r="D828" s="57" t="s">
        <v>26</v>
      </c>
      <c r="E828" s="153">
        <v>11.5</v>
      </c>
      <c r="F828" s="153">
        <v>40.97</v>
      </c>
      <c r="G828" s="164"/>
      <c r="H828" s="164">
        <v>471.15499999999997</v>
      </c>
      <c r="I828" s="58">
        <v>141</v>
      </c>
      <c r="K828" s="57"/>
    </row>
    <row r="829" spans="1:11" x14ac:dyDescent="0.25">
      <c r="A829" s="154">
        <v>40886</v>
      </c>
      <c r="B829" s="150" t="s">
        <v>845</v>
      </c>
      <c r="C829" s="57" t="s">
        <v>8</v>
      </c>
      <c r="D829" s="57" t="s">
        <v>26</v>
      </c>
      <c r="E829" s="153">
        <v>11</v>
      </c>
      <c r="F829" s="153">
        <v>40.97</v>
      </c>
      <c r="G829" s="164"/>
      <c r="H829" s="164">
        <v>450.67</v>
      </c>
      <c r="I829" s="58">
        <v>141</v>
      </c>
      <c r="K829" s="57"/>
    </row>
    <row r="830" spans="1:11" x14ac:dyDescent="0.25">
      <c r="A830" s="154">
        <v>40886</v>
      </c>
      <c r="B830" s="150" t="s">
        <v>856</v>
      </c>
      <c r="C830" s="57" t="s">
        <v>8</v>
      </c>
      <c r="D830" s="57" t="s">
        <v>26</v>
      </c>
      <c r="E830" s="153">
        <v>11.5</v>
      </c>
      <c r="F830" s="153">
        <v>40.97</v>
      </c>
      <c r="G830" s="164"/>
      <c r="H830" s="164">
        <v>471.15499999999997</v>
      </c>
      <c r="I830" s="58">
        <v>141</v>
      </c>
      <c r="K830" s="57"/>
    </row>
    <row r="831" spans="1:11" x14ac:dyDescent="0.25">
      <c r="A831" s="154">
        <v>40886</v>
      </c>
      <c r="B831" s="150" t="s">
        <v>782</v>
      </c>
      <c r="C831" s="57" t="s">
        <v>8</v>
      </c>
      <c r="D831" s="57" t="s">
        <v>26</v>
      </c>
      <c r="E831" s="153">
        <v>2.5</v>
      </c>
      <c r="F831" s="153">
        <v>35.35</v>
      </c>
      <c r="G831" s="164"/>
      <c r="H831" s="164">
        <v>88.375</v>
      </c>
      <c r="I831" s="58">
        <v>141</v>
      </c>
      <c r="K831" s="57"/>
    </row>
    <row r="832" spans="1:11" x14ac:dyDescent="0.25">
      <c r="A832" s="154">
        <v>40887</v>
      </c>
      <c r="B832" s="150" t="s">
        <v>845</v>
      </c>
      <c r="C832" s="57" t="s">
        <v>8</v>
      </c>
      <c r="D832" s="57" t="s">
        <v>26</v>
      </c>
      <c r="E832" s="153">
        <v>11</v>
      </c>
      <c r="F832" s="153">
        <v>40.97</v>
      </c>
      <c r="G832" s="164"/>
      <c r="H832" s="164">
        <v>450.67</v>
      </c>
      <c r="I832" s="58">
        <v>141</v>
      </c>
      <c r="K832" s="57"/>
    </row>
    <row r="833" spans="1:11" x14ac:dyDescent="0.25">
      <c r="A833" s="154">
        <v>40887</v>
      </c>
      <c r="B833" s="150" t="s">
        <v>856</v>
      </c>
      <c r="C833" s="57" t="s">
        <v>8</v>
      </c>
      <c r="D833" s="57" t="s">
        <v>26</v>
      </c>
      <c r="E833" s="153">
        <v>11.5</v>
      </c>
      <c r="F833" s="153">
        <v>40.97</v>
      </c>
      <c r="G833" s="164"/>
      <c r="H833" s="164">
        <v>471.15499999999997</v>
      </c>
      <c r="I833" s="58">
        <v>141</v>
      </c>
      <c r="K833" s="57"/>
    </row>
    <row r="834" spans="1:11" x14ac:dyDescent="0.25">
      <c r="A834" s="154">
        <v>40888</v>
      </c>
      <c r="B834" s="150" t="s">
        <v>845</v>
      </c>
      <c r="C834" s="57" t="s">
        <v>8</v>
      </c>
      <c r="D834" s="57" t="s">
        <v>26</v>
      </c>
      <c r="E834" s="153">
        <v>10.45</v>
      </c>
      <c r="F834" s="153">
        <v>40.97</v>
      </c>
      <c r="G834" s="164"/>
      <c r="H834" s="164">
        <v>428.13650000000001</v>
      </c>
      <c r="I834" s="58">
        <v>141</v>
      </c>
      <c r="K834" s="57"/>
    </row>
    <row r="835" spans="1:11" x14ac:dyDescent="0.25">
      <c r="A835" s="154">
        <v>40888</v>
      </c>
      <c r="B835" s="150" t="s">
        <v>856</v>
      </c>
      <c r="C835" s="57" t="s">
        <v>8</v>
      </c>
      <c r="D835" s="57" t="s">
        <v>26</v>
      </c>
      <c r="E835" s="153">
        <v>10</v>
      </c>
      <c r="F835" s="153">
        <v>40.97</v>
      </c>
      <c r="G835" s="164"/>
      <c r="H835" s="164">
        <v>409.7</v>
      </c>
      <c r="I835" s="58">
        <v>141</v>
      </c>
      <c r="K835" s="57"/>
    </row>
    <row r="836" spans="1:11" x14ac:dyDescent="0.25">
      <c r="A836" s="154">
        <v>40889</v>
      </c>
      <c r="B836" s="150" t="s">
        <v>856</v>
      </c>
      <c r="C836" s="57" t="s">
        <v>8</v>
      </c>
      <c r="D836" s="57" t="s">
        <v>26</v>
      </c>
      <c r="E836" s="153">
        <v>10.5</v>
      </c>
      <c r="F836" s="153">
        <v>40.97</v>
      </c>
      <c r="G836" s="164"/>
      <c r="H836" s="164">
        <v>430.185</v>
      </c>
      <c r="I836" s="58">
        <v>141</v>
      </c>
      <c r="K836" s="57"/>
    </row>
    <row r="837" spans="1:11" ht="30" x14ac:dyDescent="0.25">
      <c r="A837" s="154">
        <v>40889</v>
      </c>
      <c r="B837" s="150" t="s">
        <v>939</v>
      </c>
      <c r="C837" s="57" t="s">
        <v>938</v>
      </c>
      <c r="D837" s="57" t="s">
        <v>748</v>
      </c>
      <c r="E837" s="153">
        <v>1</v>
      </c>
      <c r="F837" s="153">
        <v>1718.2</v>
      </c>
      <c r="G837" s="164"/>
      <c r="H837" s="164">
        <v>1718.2</v>
      </c>
      <c r="I837" s="58">
        <v>141</v>
      </c>
      <c r="K837" s="57"/>
    </row>
    <row r="838" spans="1:11" x14ac:dyDescent="0.25">
      <c r="A838" s="154">
        <v>40889</v>
      </c>
      <c r="B838" s="150" t="s">
        <v>845</v>
      </c>
      <c r="C838" s="57" t="s">
        <v>8</v>
      </c>
      <c r="D838" s="57" t="s">
        <v>26</v>
      </c>
      <c r="E838" s="153">
        <v>10.5</v>
      </c>
      <c r="F838" s="153">
        <v>40.97</v>
      </c>
      <c r="G838" s="164"/>
      <c r="H838" s="164">
        <v>430.185</v>
      </c>
      <c r="I838" s="58">
        <v>141</v>
      </c>
      <c r="K838" s="57"/>
    </row>
    <row r="839" spans="1:11" x14ac:dyDescent="0.25">
      <c r="A839" s="154">
        <v>40890</v>
      </c>
      <c r="B839" s="150" t="s">
        <v>845</v>
      </c>
      <c r="C839" s="57" t="s">
        <v>8</v>
      </c>
      <c r="D839" s="57" t="s">
        <v>26</v>
      </c>
      <c r="E839" s="153">
        <v>10.5</v>
      </c>
      <c r="F839" s="153">
        <v>40.97</v>
      </c>
      <c r="G839" s="164"/>
      <c r="H839" s="164">
        <v>430.185</v>
      </c>
      <c r="I839" s="58">
        <v>141</v>
      </c>
      <c r="K839" s="57"/>
    </row>
    <row r="840" spans="1:11" x14ac:dyDescent="0.25">
      <c r="A840" s="154">
        <v>40894</v>
      </c>
      <c r="B840" s="150" t="s">
        <v>782</v>
      </c>
      <c r="C840" s="57" t="s">
        <v>8</v>
      </c>
      <c r="D840" s="57" t="s">
        <v>26</v>
      </c>
      <c r="E840" s="153">
        <v>3</v>
      </c>
      <c r="F840" s="153">
        <v>35.35</v>
      </c>
      <c r="G840" s="164"/>
      <c r="H840" s="164">
        <v>106.05</v>
      </c>
      <c r="I840" s="58">
        <v>141</v>
      </c>
      <c r="K840" s="57"/>
    </row>
    <row r="841" spans="1:11" x14ac:dyDescent="0.25">
      <c r="A841" s="154">
        <v>40896</v>
      </c>
      <c r="B841" s="150" t="s">
        <v>940</v>
      </c>
      <c r="C841" s="57" t="s">
        <v>889</v>
      </c>
      <c r="D841" s="57" t="s">
        <v>748</v>
      </c>
      <c r="E841" s="153">
        <v>1</v>
      </c>
      <c r="F841" s="153">
        <v>2118.1</v>
      </c>
      <c r="G841" s="164"/>
      <c r="H841" s="164">
        <v>2118.1</v>
      </c>
      <c r="I841" s="58">
        <v>141</v>
      </c>
      <c r="K841" s="57"/>
    </row>
    <row r="842" spans="1:11" x14ac:dyDescent="0.25">
      <c r="A842" s="154">
        <v>40917</v>
      </c>
      <c r="B842" s="150" t="s">
        <v>850</v>
      </c>
      <c r="C842" s="57" t="s">
        <v>8</v>
      </c>
      <c r="D842" s="57" t="s">
        <v>26</v>
      </c>
      <c r="E842" s="153">
        <v>11</v>
      </c>
      <c r="F842" s="153">
        <v>40.97</v>
      </c>
      <c r="G842" s="164"/>
      <c r="H842" s="164">
        <v>450.67</v>
      </c>
      <c r="I842" s="58">
        <v>141</v>
      </c>
      <c r="K842" s="57"/>
    </row>
    <row r="843" spans="1:11" x14ac:dyDescent="0.25">
      <c r="A843" s="154">
        <v>40917</v>
      </c>
      <c r="B843" s="150" t="s">
        <v>856</v>
      </c>
      <c r="C843" s="57" t="s">
        <v>8</v>
      </c>
      <c r="D843" s="57" t="s">
        <v>26</v>
      </c>
      <c r="E843" s="153">
        <v>11</v>
      </c>
      <c r="F843" s="153">
        <v>40.97</v>
      </c>
      <c r="G843" s="164"/>
      <c r="H843" s="164">
        <v>450.67</v>
      </c>
      <c r="I843" s="58">
        <v>141</v>
      </c>
      <c r="K843" s="57"/>
    </row>
    <row r="844" spans="1:11" x14ac:dyDescent="0.25">
      <c r="A844" s="154">
        <v>40918</v>
      </c>
      <c r="B844" s="150" t="s">
        <v>850</v>
      </c>
      <c r="C844" s="57" t="s">
        <v>8</v>
      </c>
      <c r="D844" s="57" t="s">
        <v>26</v>
      </c>
      <c r="E844" s="153">
        <v>10.5</v>
      </c>
      <c r="F844" s="153">
        <v>40.97</v>
      </c>
      <c r="G844" s="164"/>
      <c r="H844" s="164">
        <v>430.185</v>
      </c>
      <c r="I844" s="58">
        <v>141</v>
      </c>
      <c r="K844" s="57"/>
    </row>
    <row r="845" spans="1:11" x14ac:dyDescent="0.25">
      <c r="A845" s="154">
        <v>40918</v>
      </c>
      <c r="B845" s="150" t="s">
        <v>856</v>
      </c>
      <c r="C845" s="57" t="s">
        <v>8</v>
      </c>
      <c r="D845" s="57" t="s">
        <v>26</v>
      </c>
      <c r="E845" s="153">
        <v>11</v>
      </c>
      <c r="F845" s="153">
        <v>40.97</v>
      </c>
      <c r="G845" s="164"/>
      <c r="H845" s="164">
        <v>450.67</v>
      </c>
      <c r="I845" s="58">
        <v>141</v>
      </c>
      <c r="K845" s="57"/>
    </row>
    <row r="846" spans="1:11" x14ac:dyDescent="0.25">
      <c r="A846" s="154">
        <v>40919</v>
      </c>
      <c r="B846" s="150" t="s">
        <v>856</v>
      </c>
      <c r="C846" s="57" t="s">
        <v>8</v>
      </c>
      <c r="D846" s="57" t="s">
        <v>26</v>
      </c>
      <c r="E846" s="153">
        <v>10.5</v>
      </c>
      <c r="F846" s="153">
        <v>40.97</v>
      </c>
      <c r="G846" s="164"/>
      <c r="H846" s="164">
        <v>430.185</v>
      </c>
      <c r="I846" s="58">
        <v>141</v>
      </c>
      <c r="K846" s="57"/>
    </row>
    <row r="847" spans="1:11" x14ac:dyDescent="0.25">
      <c r="A847" s="154">
        <v>40919</v>
      </c>
      <c r="B847" s="150" t="s">
        <v>850</v>
      </c>
      <c r="C847" s="57" t="s">
        <v>8</v>
      </c>
      <c r="D847" s="57" t="s">
        <v>26</v>
      </c>
      <c r="E847" s="153">
        <v>10.5</v>
      </c>
      <c r="F847" s="153">
        <v>40.97</v>
      </c>
      <c r="G847" s="164"/>
      <c r="H847" s="164">
        <v>430.185</v>
      </c>
      <c r="I847" s="58">
        <v>141</v>
      </c>
      <c r="K847" s="57"/>
    </row>
    <row r="848" spans="1:11" x14ac:dyDescent="0.25">
      <c r="A848" s="154">
        <v>40920</v>
      </c>
      <c r="B848" s="150" t="s">
        <v>856</v>
      </c>
      <c r="C848" s="57" t="s">
        <v>8</v>
      </c>
      <c r="D848" s="57" t="s">
        <v>26</v>
      </c>
      <c r="E848" s="153">
        <v>11</v>
      </c>
      <c r="F848" s="153">
        <v>40.97</v>
      </c>
      <c r="G848" s="164"/>
      <c r="H848" s="164">
        <v>450.67</v>
      </c>
      <c r="I848" s="58">
        <v>141</v>
      </c>
      <c r="K848" s="57"/>
    </row>
    <row r="849" spans="1:11" x14ac:dyDescent="0.25">
      <c r="A849" s="154">
        <v>40920</v>
      </c>
      <c r="B849" s="150" t="s">
        <v>850</v>
      </c>
      <c r="C849" s="57" t="s">
        <v>8</v>
      </c>
      <c r="D849" s="57" t="s">
        <v>26</v>
      </c>
      <c r="E849" s="153">
        <v>11</v>
      </c>
      <c r="F849" s="153">
        <v>40.97</v>
      </c>
      <c r="G849" s="164"/>
      <c r="H849" s="164">
        <v>450.67</v>
      </c>
      <c r="I849" s="58">
        <v>141</v>
      </c>
      <c r="K849" s="57"/>
    </row>
    <row r="850" spans="1:11" ht="30" x14ac:dyDescent="0.25">
      <c r="A850" s="154">
        <v>40920</v>
      </c>
      <c r="B850" s="150" t="s">
        <v>941</v>
      </c>
      <c r="C850" s="57" t="s">
        <v>938</v>
      </c>
      <c r="D850" s="57" t="s">
        <v>748</v>
      </c>
      <c r="E850" s="153">
        <v>1</v>
      </c>
      <c r="F850" s="153">
        <v>1718.2</v>
      </c>
      <c r="G850" s="164"/>
      <c r="H850" s="164">
        <v>1718.2</v>
      </c>
      <c r="I850" s="58">
        <v>141</v>
      </c>
      <c r="K850" s="57"/>
    </row>
    <row r="851" spans="1:11" x14ac:dyDescent="0.25">
      <c r="A851" s="154">
        <v>40921</v>
      </c>
      <c r="B851" s="150" t="s">
        <v>856</v>
      </c>
      <c r="C851" s="57" t="s">
        <v>8</v>
      </c>
      <c r="D851" s="57" t="s">
        <v>26</v>
      </c>
      <c r="E851" s="153">
        <v>11</v>
      </c>
      <c r="F851" s="153">
        <v>40.97</v>
      </c>
      <c r="G851" s="164"/>
      <c r="H851" s="164">
        <v>450.67</v>
      </c>
      <c r="I851" s="58">
        <v>141</v>
      </c>
      <c r="K851" s="57"/>
    </row>
    <row r="852" spans="1:11" x14ac:dyDescent="0.25">
      <c r="A852" s="154">
        <v>40921</v>
      </c>
      <c r="B852" s="150" t="s">
        <v>850</v>
      </c>
      <c r="C852" s="57" t="s">
        <v>8</v>
      </c>
      <c r="D852" s="57" t="s">
        <v>26</v>
      </c>
      <c r="E852" s="153">
        <v>11</v>
      </c>
      <c r="F852" s="153">
        <v>40.97</v>
      </c>
      <c r="G852" s="164"/>
      <c r="H852" s="164">
        <v>450.67</v>
      </c>
      <c r="I852" s="58">
        <v>141</v>
      </c>
      <c r="K852" s="57"/>
    </row>
    <row r="853" spans="1:11" x14ac:dyDescent="0.25">
      <c r="A853" s="154">
        <v>40922</v>
      </c>
      <c r="B853" s="150" t="s">
        <v>856</v>
      </c>
      <c r="C853" s="57" t="s">
        <v>8</v>
      </c>
      <c r="D853" s="57" t="s">
        <v>26</v>
      </c>
      <c r="E853" s="153">
        <v>6.5</v>
      </c>
      <c r="F853" s="153">
        <v>40.97</v>
      </c>
      <c r="G853" s="164"/>
      <c r="H853" s="164">
        <v>266.30500000000001</v>
      </c>
      <c r="I853" s="58">
        <v>141</v>
      </c>
      <c r="K853" s="57"/>
    </row>
    <row r="854" spans="1:11" x14ac:dyDescent="0.25">
      <c r="A854" s="154">
        <v>40922</v>
      </c>
      <c r="B854" s="150" t="s">
        <v>942</v>
      </c>
      <c r="C854" s="57" t="s">
        <v>8</v>
      </c>
      <c r="D854" s="57" t="s">
        <v>26</v>
      </c>
      <c r="E854" s="153">
        <v>2.5</v>
      </c>
      <c r="F854" s="153">
        <v>40.97</v>
      </c>
      <c r="G854" s="164"/>
      <c r="H854" s="164">
        <v>102.425</v>
      </c>
      <c r="I854" s="58">
        <v>141</v>
      </c>
      <c r="K854" s="57"/>
    </row>
    <row r="855" spans="1:11" x14ac:dyDescent="0.25">
      <c r="A855" s="154">
        <v>40925</v>
      </c>
      <c r="B855" s="150" t="s">
        <v>845</v>
      </c>
      <c r="C855" s="57" t="s">
        <v>8</v>
      </c>
      <c r="D855" s="57" t="s">
        <v>26</v>
      </c>
      <c r="E855" s="153">
        <v>11.5</v>
      </c>
      <c r="F855" s="153">
        <v>40.97</v>
      </c>
      <c r="G855" s="164"/>
      <c r="H855" s="164">
        <v>471.15499999999997</v>
      </c>
      <c r="I855" s="58">
        <v>141</v>
      </c>
      <c r="K855" s="57"/>
    </row>
    <row r="856" spans="1:11" x14ac:dyDescent="0.25">
      <c r="A856" s="154">
        <v>40926</v>
      </c>
      <c r="B856" s="150" t="s">
        <v>845</v>
      </c>
      <c r="C856" s="57" t="s">
        <v>8</v>
      </c>
      <c r="D856" s="57" t="s">
        <v>26</v>
      </c>
      <c r="E856" s="153">
        <v>6</v>
      </c>
      <c r="F856" s="153">
        <v>40.97</v>
      </c>
      <c r="G856" s="164"/>
      <c r="H856" s="164">
        <v>245.82</v>
      </c>
      <c r="I856" s="58">
        <v>141</v>
      </c>
      <c r="K856" s="57"/>
    </row>
    <row r="857" spans="1:11" x14ac:dyDescent="0.25">
      <c r="A857" s="154">
        <v>40927</v>
      </c>
      <c r="B857" s="150" t="s">
        <v>845</v>
      </c>
      <c r="C857" s="57" t="s">
        <v>8</v>
      </c>
      <c r="D857" s="57" t="s">
        <v>26</v>
      </c>
      <c r="E857" s="153">
        <v>7.5</v>
      </c>
      <c r="F857" s="153">
        <v>40.97</v>
      </c>
      <c r="G857" s="164"/>
      <c r="H857" s="164">
        <v>307.27499999999998</v>
      </c>
      <c r="I857" s="58">
        <v>141</v>
      </c>
      <c r="K857" s="57"/>
    </row>
    <row r="858" spans="1:11" x14ac:dyDescent="0.25">
      <c r="A858" s="154">
        <v>40934</v>
      </c>
      <c r="B858" s="150" t="s">
        <v>845</v>
      </c>
      <c r="C858" s="57" t="s">
        <v>8</v>
      </c>
      <c r="D858" s="57" t="s">
        <v>26</v>
      </c>
      <c r="E858" s="153">
        <v>10.5</v>
      </c>
      <c r="F858" s="153">
        <v>40.97</v>
      </c>
      <c r="G858" s="164"/>
      <c r="H858" s="164">
        <v>430.185</v>
      </c>
      <c r="I858" s="58">
        <v>141</v>
      </c>
      <c r="K858" s="57"/>
    </row>
    <row r="859" spans="1:11" x14ac:dyDescent="0.25">
      <c r="A859" s="154">
        <v>40936</v>
      </c>
      <c r="B859" s="150" t="s">
        <v>845</v>
      </c>
      <c r="C859" s="57" t="s">
        <v>8</v>
      </c>
      <c r="D859" s="57" t="s">
        <v>26</v>
      </c>
      <c r="E859" s="153">
        <v>9</v>
      </c>
      <c r="F859" s="153">
        <v>40.97</v>
      </c>
      <c r="G859" s="164"/>
      <c r="H859" s="164">
        <v>368.73</v>
      </c>
      <c r="I859" s="58">
        <v>141</v>
      </c>
      <c r="K859" s="57"/>
    </row>
    <row r="860" spans="1:11" x14ac:dyDescent="0.25">
      <c r="A860" s="154">
        <v>40937</v>
      </c>
      <c r="B860" s="150" t="s">
        <v>856</v>
      </c>
      <c r="C860" s="57" t="s">
        <v>8</v>
      </c>
      <c r="D860" s="57" t="s">
        <v>26</v>
      </c>
      <c r="E860" s="153">
        <v>3</v>
      </c>
      <c r="F860" s="153">
        <v>40.97</v>
      </c>
      <c r="G860" s="164"/>
      <c r="H860" s="164">
        <v>122.91</v>
      </c>
      <c r="I860" s="58">
        <v>141</v>
      </c>
      <c r="K860" s="57"/>
    </row>
    <row r="861" spans="1:11" x14ac:dyDescent="0.25">
      <c r="A861" s="154">
        <v>40937</v>
      </c>
      <c r="B861" s="150" t="s">
        <v>845</v>
      </c>
      <c r="C861" s="57" t="s">
        <v>8</v>
      </c>
      <c r="D861" s="57" t="s">
        <v>26</v>
      </c>
      <c r="E861" s="153">
        <v>10</v>
      </c>
      <c r="F861" s="153">
        <v>40.97</v>
      </c>
      <c r="G861" s="164"/>
      <c r="H861" s="164">
        <v>409.7</v>
      </c>
      <c r="I861" s="58">
        <v>141</v>
      </c>
      <c r="K861" s="57"/>
    </row>
    <row r="862" spans="1:11" x14ac:dyDescent="0.25">
      <c r="A862" s="154">
        <v>40938</v>
      </c>
      <c r="B862" s="150" t="s">
        <v>943</v>
      </c>
      <c r="C862" s="57" t="s">
        <v>8</v>
      </c>
      <c r="D862" s="57" t="s">
        <v>26</v>
      </c>
      <c r="E862" s="153">
        <v>2.5</v>
      </c>
      <c r="F862" s="153">
        <v>40.97</v>
      </c>
      <c r="G862" s="164"/>
      <c r="H862" s="164">
        <v>102.425</v>
      </c>
      <c r="I862" s="58">
        <v>141</v>
      </c>
      <c r="K862" s="57"/>
    </row>
    <row r="863" spans="1:11" x14ac:dyDescent="0.25">
      <c r="A863" s="154">
        <v>40938</v>
      </c>
      <c r="B863" s="150" t="s">
        <v>845</v>
      </c>
      <c r="C863" s="57" t="s">
        <v>8</v>
      </c>
      <c r="D863" s="57" t="s">
        <v>26</v>
      </c>
      <c r="E863" s="153">
        <v>10.5</v>
      </c>
      <c r="F863" s="153">
        <v>40.97</v>
      </c>
      <c r="G863" s="164"/>
      <c r="H863" s="164">
        <v>430.185</v>
      </c>
      <c r="I863" s="58">
        <v>141</v>
      </c>
      <c r="K863" s="57"/>
    </row>
    <row r="864" spans="1:11" ht="30" x14ac:dyDescent="0.25">
      <c r="A864" s="154">
        <v>40939</v>
      </c>
      <c r="B864" s="150" t="s">
        <v>944</v>
      </c>
      <c r="C864" s="57" t="s">
        <v>938</v>
      </c>
      <c r="D864" s="57" t="s">
        <v>748</v>
      </c>
      <c r="E864" s="153">
        <v>1</v>
      </c>
      <c r="F864" s="153">
        <v>2200</v>
      </c>
      <c r="G864" s="164"/>
      <c r="H864" s="164">
        <v>2200</v>
      </c>
      <c r="I864" s="58">
        <v>141</v>
      </c>
      <c r="K864" s="57"/>
    </row>
    <row r="865" spans="1:11" ht="30" x14ac:dyDescent="0.25">
      <c r="A865" s="154">
        <v>40948</v>
      </c>
      <c r="B865" s="150" t="s">
        <v>1166</v>
      </c>
      <c r="C865" s="57" t="s">
        <v>934</v>
      </c>
      <c r="D865" s="57" t="s">
        <v>748</v>
      </c>
      <c r="E865" s="153">
        <v>1</v>
      </c>
      <c r="F865" s="153">
        <v>272.95999999999998</v>
      </c>
      <c r="G865" s="164"/>
      <c r="H865" s="164">
        <v>272.95999999999998</v>
      </c>
      <c r="I865" s="58">
        <v>141</v>
      </c>
      <c r="K865" s="57"/>
    </row>
    <row r="866" spans="1:11" x14ac:dyDescent="0.25">
      <c r="A866" s="154">
        <v>40946</v>
      </c>
      <c r="B866" s="150" t="s">
        <v>845</v>
      </c>
      <c r="C866" s="57" t="s">
        <v>8</v>
      </c>
      <c r="D866" s="57" t="s">
        <v>26</v>
      </c>
      <c r="E866" s="153">
        <v>6</v>
      </c>
      <c r="F866" s="153">
        <v>40.97</v>
      </c>
      <c r="G866" s="164"/>
      <c r="H866" s="164">
        <v>245.82</v>
      </c>
      <c r="I866" s="58">
        <v>141</v>
      </c>
      <c r="K866" s="57"/>
    </row>
    <row r="867" spans="1:11" x14ac:dyDescent="0.25">
      <c r="A867" s="154">
        <v>40947</v>
      </c>
      <c r="B867" s="150" t="s">
        <v>845</v>
      </c>
      <c r="C867" s="57" t="s">
        <v>8</v>
      </c>
      <c r="D867" s="57" t="s">
        <v>26</v>
      </c>
      <c r="E867" s="153">
        <v>8.5</v>
      </c>
      <c r="F867" s="153">
        <v>40.97</v>
      </c>
      <c r="G867" s="164"/>
      <c r="H867" s="164">
        <v>348.245</v>
      </c>
      <c r="I867" s="58">
        <v>141</v>
      </c>
      <c r="K867" s="57"/>
    </row>
    <row r="868" spans="1:11" x14ac:dyDescent="0.25">
      <c r="A868" s="154">
        <v>40947</v>
      </c>
      <c r="B868" s="150" t="s">
        <v>850</v>
      </c>
      <c r="C868" s="57" t="s">
        <v>8</v>
      </c>
      <c r="D868" s="57" t="s">
        <v>26</v>
      </c>
      <c r="E868" s="153">
        <v>4</v>
      </c>
      <c r="F868" s="153">
        <v>40.97</v>
      </c>
      <c r="G868" s="164"/>
      <c r="H868" s="164">
        <v>163.88</v>
      </c>
      <c r="I868" s="58">
        <v>141</v>
      </c>
      <c r="K868" s="57"/>
    </row>
    <row r="869" spans="1:11" x14ac:dyDescent="0.25">
      <c r="A869" s="154">
        <v>40948</v>
      </c>
      <c r="B869" s="150" t="s">
        <v>850</v>
      </c>
      <c r="C869" s="57" t="s">
        <v>8</v>
      </c>
      <c r="D869" s="57" t="s">
        <v>26</v>
      </c>
      <c r="E869" s="153">
        <v>3</v>
      </c>
      <c r="F869" s="153">
        <v>40.97</v>
      </c>
      <c r="G869" s="164"/>
      <c r="H869" s="164">
        <v>122.91</v>
      </c>
      <c r="I869" s="58">
        <v>141</v>
      </c>
      <c r="K869" s="57"/>
    </row>
    <row r="870" spans="1:11" x14ac:dyDescent="0.25">
      <c r="A870" s="154">
        <v>40948</v>
      </c>
      <c r="B870" s="150" t="s">
        <v>845</v>
      </c>
      <c r="C870" s="57" t="s">
        <v>8</v>
      </c>
      <c r="D870" s="57" t="s">
        <v>26</v>
      </c>
      <c r="E870" s="153">
        <v>10.5</v>
      </c>
      <c r="F870" s="153">
        <v>40.97</v>
      </c>
      <c r="G870" s="164"/>
      <c r="H870" s="164">
        <v>430.185</v>
      </c>
      <c r="I870" s="58">
        <v>141</v>
      </c>
      <c r="K870" s="57"/>
    </row>
    <row r="871" spans="1:11" x14ac:dyDescent="0.25">
      <c r="A871" s="154">
        <v>40949</v>
      </c>
      <c r="B871" s="150" t="s">
        <v>845</v>
      </c>
      <c r="C871" s="57" t="s">
        <v>8</v>
      </c>
      <c r="D871" s="57" t="s">
        <v>26</v>
      </c>
      <c r="E871" s="153">
        <v>10</v>
      </c>
      <c r="F871" s="153">
        <v>40.97</v>
      </c>
      <c r="G871" s="164"/>
      <c r="H871" s="164">
        <v>409.7</v>
      </c>
      <c r="I871" s="58">
        <v>141</v>
      </c>
      <c r="K871" s="57"/>
    </row>
    <row r="872" spans="1:11" x14ac:dyDescent="0.25">
      <c r="A872" s="154">
        <v>40949</v>
      </c>
      <c r="B872" s="150" t="s">
        <v>850</v>
      </c>
      <c r="C872" s="57" t="s">
        <v>8</v>
      </c>
      <c r="D872" s="57" t="s">
        <v>26</v>
      </c>
      <c r="E872" s="153">
        <v>3</v>
      </c>
      <c r="F872" s="153">
        <v>40.97</v>
      </c>
      <c r="G872" s="164"/>
      <c r="H872" s="164">
        <v>122.91</v>
      </c>
      <c r="I872" s="58">
        <v>141</v>
      </c>
      <c r="K872" s="57"/>
    </row>
    <row r="873" spans="1:11" x14ac:dyDescent="0.25">
      <c r="A873" s="154">
        <v>40950</v>
      </c>
      <c r="B873" s="150" t="s">
        <v>845</v>
      </c>
      <c r="C873" s="57" t="s">
        <v>8</v>
      </c>
      <c r="D873" s="57" t="s">
        <v>26</v>
      </c>
      <c r="E873" s="153">
        <v>8</v>
      </c>
      <c r="F873" s="153">
        <v>40.97</v>
      </c>
      <c r="G873" s="164"/>
      <c r="H873" s="164">
        <v>327.76</v>
      </c>
      <c r="I873" s="58">
        <v>141</v>
      </c>
      <c r="K873" s="57"/>
    </row>
    <row r="874" spans="1:11" x14ac:dyDescent="0.25">
      <c r="A874" s="154">
        <v>40953</v>
      </c>
      <c r="B874" s="150" t="s">
        <v>845</v>
      </c>
      <c r="C874" s="57" t="s">
        <v>8</v>
      </c>
      <c r="D874" s="57" t="s">
        <v>26</v>
      </c>
      <c r="E874" s="153">
        <v>10.5</v>
      </c>
      <c r="F874" s="153">
        <v>40.97</v>
      </c>
      <c r="G874" s="164"/>
      <c r="H874" s="164">
        <v>430.185</v>
      </c>
      <c r="I874" s="58">
        <v>141</v>
      </c>
      <c r="K874" s="57"/>
    </row>
    <row r="875" spans="1:11" ht="30" x14ac:dyDescent="0.25">
      <c r="A875" s="154">
        <v>40959</v>
      </c>
      <c r="B875" s="150" t="s">
        <v>945</v>
      </c>
      <c r="C875" s="57" t="s">
        <v>889</v>
      </c>
      <c r="D875" s="57" t="s">
        <v>748</v>
      </c>
      <c r="E875" s="153">
        <v>1</v>
      </c>
      <c r="F875" s="153">
        <v>2155.25</v>
      </c>
      <c r="G875" s="164"/>
      <c r="H875" s="164">
        <v>2155.25</v>
      </c>
      <c r="I875" s="58">
        <v>141</v>
      </c>
      <c r="K875" s="57"/>
    </row>
    <row r="876" spans="1:11" x14ac:dyDescent="0.25">
      <c r="A876" s="154">
        <v>40966</v>
      </c>
      <c r="B876" s="150" t="s">
        <v>946</v>
      </c>
      <c r="C876" s="57" t="s">
        <v>889</v>
      </c>
      <c r="D876" s="57" t="s">
        <v>748</v>
      </c>
      <c r="E876" s="153">
        <v>1</v>
      </c>
      <c r="F876" s="153">
        <v>8687.4500000000007</v>
      </c>
      <c r="G876" s="164"/>
      <c r="H876" s="164">
        <v>8687.4500000000007</v>
      </c>
      <c r="I876" s="58">
        <v>141</v>
      </c>
      <c r="K876" s="57"/>
    </row>
    <row r="877" spans="1:11" ht="30" x14ac:dyDescent="0.25">
      <c r="A877" s="154">
        <v>40968</v>
      </c>
      <c r="B877" s="150" t="s">
        <v>947</v>
      </c>
      <c r="C877" s="57" t="s">
        <v>938</v>
      </c>
      <c r="D877" s="57" t="s">
        <v>748</v>
      </c>
      <c r="E877" s="153">
        <v>1</v>
      </c>
      <c r="F877" s="153">
        <v>2500</v>
      </c>
      <c r="G877" s="164"/>
      <c r="H877" s="164">
        <v>2500</v>
      </c>
      <c r="I877" s="58">
        <v>141</v>
      </c>
      <c r="K877" s="57"/>
    </row>
    <row r="878" spans="1:11" x14ac:dyDescent="0.25">
      <c r="A878" s="154">
        <v>40975</v>
      </c>
      <c r="B878" s="150" t="s">
        <v>875</v>
      </c>
      <c r="C878" s="57" t="s">
        <v>8</v>
      </c>
      <c r="D878" s="57" t="s">
        <v>26</v>
      </c>
      <c r="E878" s="153">
        <v>4</v>
      </c>
      <c r="F878" s="153">
        <v>42.624000000000002</v>
      </c>
      <c r="G878" s="164"/>
      <c r="H878" s="164">
        <v>170.49600000000001</v>
      </c>
      <c r="I878" s="58">
        <v>141</v>
      </c>
      <c r="K878" s="57"/>
    </row>
    <row r="879" spans="1:11" x14ac:dyDescent="0.25">
      <c r="A879" s="154">
        <v>41075</v>
      </c>
      <c r="B879" s="150" t="s">
        <v>948</v>
      </c>
      <c r="C879" s="57" t="s">
        <v>889</v>
      </c>
      <c r="D879" s="57" t="s">
        <v>748</v>
      </c>
      <c r="E879" s="153">
        <v>1</v>
      </c>
      <c r="F879" s="153">
        <v>1435.65</v>
      </c>
      <c r="G879" s="164"/>
      <c r="H879" s="164">
        <v>1435.65</v>
      </c>
      <c r="I879" s="58">
        <v>141</v>
      </c>
      <c r="K879" s="57"/>
    </row>
    <row r="880" spans="1:11" x14ac:dyDescent="0.25">
      <c r="A880" s="154">
        <v>41085</v>
      </c>
      <c r="B880" s="150" t="s">
        <v>949</v>
      </c>
      <c r="C880" s="57" t="s">
        <v>889</v>
      </c>
      <c r="D880" s="57" t="s">
        <v>748</v>
      </c>
      <c r="E880" s="153">
        <v>1</v>
      </c>
      <c r="F880" s="153">
        <v>2734.4</v>
      </c>
      <c r="G880" s="164"/>
      <c r="H880" s="164">
        <v>2734.4</v>
      </c>
      <c r="I880" s="58">
        <v>141</v>
      </c>
      <c r="K880" s="57"/>
    </row>
    <row r="881" spans="1:11" x14ac:dyDescent="0.25">
      <c r="A881" s="154">
        <v>41085</v>
      </c>
      <c r="B881" s="150" t="s">
        <v>950</v>
      </c>
      <c r="C881" s="57" t="s">
        <v>889</v>
      </c>
      <c r="D881" s="57" t="s">
        <v>748</v>
      </c>
      <c r="E881" s="153">
        <v>1</v>
      </c>
      <c r="F881" s="153">
        <v>2246.5</v>
      </c>
      <c r="G881" s="164"/>
      <c r="H881" s="164">
        <v>2246.5</v>
      </c>
      <c r="I881" s="58">
        <v>141</v>
      </c>
      <c r="K881" s="57"/>
    </row>
    <row r="882" spans="1:11" x14ac:dyDescent="0.25">
      <c r="A882" s="169" t="s">
        <v>682</v>
      </c>
      <c r="B882" s="170" t="s">
        <v>951</v>
      </c>
      <c r="C882" s="171" t="s">
        <v>682</v>
      </c>
      <c r="D882" s="171" t="s">
        <v>682</v>
      </c>
      <c r="E882" s="172"/>
      <c r="F882" s="172"/>
      <c r="G882" s="173"/>
      <c r="H882" s="173">
        <v>57433.552500000005</v>
      </c>
      <c r="I882" s="174" t="s">
        <v>682</v>
      </c>
      <c r="K882" s="57"/>
    </row>
    <row r="883" spans="1:11" x14ac:dyDescent="0.25">
      <c r="A883" s="154" t="s">
        <v>682</v>
      </c>
      <c r="B883" s="150" t="s">
        <v>682</v>
      </c>
      <c r="C883" s="57" t="s">
        <v>682</v>
      </c>
      <c r="D883" s="57" t="s">
        <v>682</v>
      </c>
      <c r="E883" s="153"/>
      <c r="F883" s="153"/>
      <c r="G883" s="164"/>
      <c r="H883" s="164"/>
      <c r="I883" s="58" t="s">
        <v>682</v>
      </c>
      <c r="K883" s="57"/>
    </row>
    <row r="884" spans="1:11" x14ac:dyDescent="0.25">
      <c r="A884" s="166" t="s">
        <v>682</v>
      </c>
      <c r="B884" s="165" t="s">
        <v>952</v>
      </c>
      <c r="C884" s="60" t="s">
        <v>682</v>
      </c>
      <c r="D884" s="60" t="s">
        <v>682</v>
      </c>
      <c r="E884" s="167"/>
      <c r="F884" s="167"/>
      <c r="G884" s="168"/>
      <c r="H884" s="168"/>
      <c r="I884" s="46" t="s">
        <v>682</v>
      </c>
      <c r="K884" s="57"/>
    </row>
    <row r="885" spans="1:11" x14ac:dyDescent="0.25">
      <c r="A885" s="154">
        <v>40932</v>
      </c>
      <c r="B885" s="150" t="s">
        <v>782</v>
      </c>
      <c r="C885" s="57" t="s">
        <v>8</v>
      </c>
      <c r="D885" s="57" t="s">
        <v>26</v>
      </c>
      <c r="E885" s="153">
        <v>8.5</v>
      </c>
      <c r="F885" s="153">
        <v>35.35</v>
      </c>
      <c r="G885" s="164"/>
      <c r="H885" s="164">
        <v>300.47500000000002</v>
      </c>
      <c r="I885" s="58">
        <v>151</v>
      </c>
      <c r="K885" s="57"/>
    </row>
    <row r="886" spans="1:11" x14ac:dyDescent="0.25">
      <c r="A886" s="154">
        <v>40932</v>
      </c>
      <c r="B886" s="150" t="s">
        <v>791</v>
      </c>
      <c r="C886" s="57" t="s">
        <v>1189</v>
      </c>
      <c r="D886" s="57" t="s">
        <v>26</v>
      </c>
      <c r="E886" s="153">
        <v>7.5</v>
      </c>
      <c r="F886" s="153">
        <v>130</v>
      </c>
      <c r="G886" s="164"/>
      <c r="H886" s="164">
        <v>975</v>
      </c>
      <c r="I886" s="58">
        <v>151</v>
      </c>
      <c r="K886" s="57"/>
    </row>
    <row r="887" spans="1:11" x14ac:dyDescent="0.25">
      <c r="A887" s="154">
        <v>40932</v>
      </c>
      <c r="B887" s="150" t="s">
        <v>782</v>
      </c>
      <c r="C887" s="57" t="s">
        <v>8</v>
      </c>
      <c r="D887" s="57" t="s">
        <v>26</v>
      </c>
      <c r="E887" s="153">
        <v>7.5</v>
      </c>
      <c r="F887" s="153">
        <v>35.35</v>
      </c>
      <c r="G887" s="164"/>
      <c r="H887" s="164">
        <v>265.125</v>
      </c>
      <c r="I887" s="58">
        <v>151</v>
      </c>
      <c r="K887" s="57"/>
    </row>
    <row r="888" spans="1:11" x14ac:dyDescent="0.25">
      <c r="A888" s="154">
        <v>40932</v>
      </c>
      <c r="B888" s="150" t="s">
        <v>451</v>
      </c>
      <c r="C888" s="57" t="s">
        <v>788</v>
      </c>
      <c r="D888" s="57" t="s">
        <v>26</v>
      </c>
      <c r="E888" s="153">
        <v>5</v>
      </c>
      <c r="F888" s="153">
        <v>66.069999999999993</v>
      </c>
      <c r="G888" s="164"/>
      <c r="H888" s="164">
        <v>330.35</v>
      </c>
      <c r="I888" s="58">
        <v>151</v>
      </c>
      <c r="K888" s="57"/>
    </row>
    <row r="889" spans="1:11" x14ac:dyDescent="0.25">
      <c r="A889" s="154">
        <v>40932</v>
      </c>
      <c r="B889" s="150" t="s">
        <v>780</v>
      </c>
      <c r="C889" s="57" t="s">
        <v>8</v>
      </c>
      <c r="D889" s="57" t="s">
        <v>26</v>
      </c>
      <c r="E889" s="153">
        <v>7.5</v>
      </c>
      <c r="F889" s="153">
        <v>35.35</v>
      </c>
      <c r="G889" s="164"/>
      <c r="H889" s="164">
        <v>265.125</v>
      </c>
      <c r="I889" s="58">
        <v>151</v>
      </c>
      <c r="K889" s="57"/>
    </row>
    <row r="890" spans="1:11" x14ac:dyDescent="0.25">
      <c r="A890" s="154">
        <v>40934</v>
      </c>
      <c r="B890" s="150" t="s">
        <v>451</v>
      </c>
      <c r="C890" s="57" t="s">
        <v>788</v>
      </c>
      <c r="D890" s="57" t="s">
        <v>26</v>
      </c>
      <c r="E890" s="153">
        <v>5</v>
      </c>
      <c r="F890" s="153">
        <v>66.069999999999993</v>
      </c>
      <c r="G890" s="164"/>
      <c r="H890" s="164">
        <v>330.35</v>
      </c>
      <c r="I890" s="58">
        <v>151</v>
      </c>
      <c r="K890" s="57"/>
    </row>
    <row r="891" spans="1:11" x14ac:dyDescent="0.25">
      <c r="A891" s="169" t="s">
        <v>682</v>
      </c>
      <c r="B891" s="170" t="s">
        <v>953</v>
      </c>
      <c r="C891" s="171" t="s">
        <v>682</v>
      </c>
      <c r="D891" s="171" t="s">
        <v>682</v>
      </c>
      <c r="E891" s="172"/>
      <c r="F891" s="172"/>
      <c r="G891" s="173"/>
      <c r="H891" s="173">
        <v>2466.4249999999997</v>
      </c>
      <c r="I891" s="174" t="s">
        <v>682</v>
      </c>
      <c r="K891" s="57"/>
    </row>
    <row r="892" spans="1:11" x14ac:dyDescent="0.25">
      <c r="A892" s="154" t="s">
        <v>682</v>
      </c>
      <c r="B892" s="150" t="s">
        <v>682</v>
      </c>
      <c r="C892" s="57" t="s">
        <v>682</v>
      </c>
      <c r="D892" s="57" t="s">
        <v>682</v>
      </c>
      <c r="E892" s="153"/>
      <c r="F892" s="153"/>
      <c r="G892" s="164"/>
      <c r="H892" s="164"/>
      <c r="I892" s="58" t="s">
        <v>682</v>
      </c>
      <c r="K892" s="57"/>
    </row>
    <row r="893" spans="1:11" x14ac:dyDescent="0.25">
      <c r="A893" s="166" t="s">
        <v>682</v>
      </c>
      <c r="B893" s="165" t="s">
        <v>954</v>
      </c>
      <c r="C893" s="60" t="s">
        <v>682</v>
      </c>
      <c r="D893" s="60" t="s">
        <v>682</v>
      </c>
      <c r="E893" s="167"/>
      <c r="F893" s="167"/>
      <c r="G893" s="168"/>
      <c r="H893" s="168"/>
      <c r="I893" s="46" t="s">
        <v>682</v>
      </c>
      <c r="K893" s="57"/>
    </row>
    <row r="894" spans="1:11" x14ac:dyDescent="0.25">
      <c r="A894" s="154">
        <v>40848</v>
      </c>
      <c r="B894" s="150" t="s">
        <v>955</v>
      </c>
      <c r="C894" s="57" t="s">
        <v>956</v>
      </c>
      <c r="D894" s="57" t="s">
        <v>748</v>
      </c>
      <c r="E894" s="153">
        <v>12.32</v>
      </c>
      <c r="F894" s="153">
        <v>16.8</v>
      </c>
      <c r="G894" s="164"/>
      <c r="H894" s="164">
        <v>206.976</v>
      </c>
      <c r="I894" s="58">
        <v>181</v>
      </c>
      <c r="K894" s="57"/>
    </row>
    <row r="895" spans="1:11" x14ac:dyDescent="0.25">
      <c r="A895" s="154">
        <v>40855</v>
      </c>
      <c r="B895" s="150" t="s">
        <v>780</v>
      </c>
      <c r="C895" s="57" t="s">
        <v>8</v>
      </c>
      <c r="D895" s="57" t="s">
        <v>26</v>
      </c>
      <c r="E895" s="153">
        <v>5</v>
      </c>
      <c r="F895" s="153">
        <v>35.35</v>
      </c>
      <c r="G895" s="164"/>
      <c r="H895" s="164">
        <v>176.75</v>
      </c>
      <c r="I895" s="58">
        <v>181</v>
      </c>
      <c r="K895" s="57"/>
    </row>
    <row r="896" spans="1:11" x14ac:dyDescent="0.25">
      <c r="A896" s="154">
        <v>40855</v>
      </c>
      <c r="B896" s="150" t="s">
        <v>1188</v>
      </c>
      <c r="C896" s="57" t="s">
        <v>775</v>
      </c>
      <c r="D896" s="57" t="s">
        <v>26</v>
      </c>
      <c r="E896" s="153">
        <v>4.5</v>
      </c>
      <c r="F896" s="153">
        <v>80</v>
      </c>
      <c r="G896" s="164"/>
      <c r="H896" s="164">
        <v>360</v>
      </c>
      <c r="I896" s="58">
        <v>181</v>
      </c>
      <c r="K896" s="57"/>
    </row>
    <row r="897" spans="1:11" x14ac:dyDescent="0.25">
      <c r="A897" s="154">
        <v>40855</v>
      </c>
      <c r="B897" s="150" t="s">
        <v>782</v>
      </c>
      <c r="C897" s="57" t="s">
        <v>8</v>
      </c>
      <c r="D897" s="57" t="s">
        <v>26</v>
      </c>
      <c r="E897" s="153">
        <v>6</v>
      </c>
      <c r="F897" s="153">
        <v>35.35</v>
      </c>
      <c r="G897" s="164"/>
      <c r="H897" s="164">
        <v>212.1</v>
      </c>
      <c r="I897" s="58">
        <v>181</v>
      </c>
      <c r="K897" s="57"/>
    </row>
    <row r="898" spans="1:11" x14ac:dyDescent="0.25">
      <c r="A898" s="154">
        <v>40855</v>
      </c>
      <c r="B898" s="150" t="s">
        <v>782</v>
      </c>
      <c r="C898" s="57" t="s">
        <v>8</v>
      </c>
      <c r="D898" s="57" t="s">
        <v>26</v>
      </c>
      <c r="E898" s="153">
        <v>5</v>
      </c>
      <c r="F898" s="153">
        <v>35.35</v>
      </c>
      <c r="G898" s="164"/>
      <c r="H898" s="164">
        <v>176.75</v>
      </c>
      <c r="I898" s="58">
        <v>181</v>
      </c>
      <c r="K898" s="57"/>
    </row>
    <row r="899" spans="1:11" x14ac:dyDescent="0.25">
      <c r="A899" s="154">
        <v>40855</v>
      </c>
      <c r="B899" s="150" t="s">
        <v>776</v>
      </c>
      <c r="C899" s="57" t="s">
        <v>8</v>
      </c>
      <c r="D899" s="57" t="s">
        <v>26</v>
      </c>
      <c r="E899" s="153">
        <v>5</v>
      </c>
      <c r="F899" s="153">
        <v>35.35</v>
      </c>
      <c r="G899" s="164"/>
      <c r="H899" s="164">
        <v>176.75</v>
      </c>
      <c r="I899" s="58">
        <v>181</v>
      </c>
      <c r="K899" s="57"/>
    </row>
    <row r="900" spans="1:11" x14ac:dyDescent="0.25">
      <c r="A900" s="154">
        <v>40856</v>
      </c>
      <c r="B900" s="150" t="s">
        <v>780</v>
      </c>
      <c r="C900" s="57" t="s">
        <v>8</v>
      </c>
      <c r="D900" s="57" t="s">
        <v>26</v>
      </c>
      <c r="E900" s="153">
        <v>10</v>
      </c>
      <c r="F900" s="153">
        <v>35.35</v>
      </c>
      <c r="G900" s="164"/>
      <c r="H900" s="164">
        <v>353.5</v>
      </c>
      <c r="I900" s="58">
        <v>181</v>
      </c>
      <c r="K900" s="57"/>
    </row>
    <row r="901" spans="1:11" x14ac:dyDescent="0.25">
      <c r="A901" s="154">
        <v>40856</v>
      </c>
      <c r="B901" s="150" t="s">
        <v>782</v>
      </c>
      <c r="C901" s="57" t="s">
        <v>8</v>
      </c>
      <c r="D901" s="57" t="s">
        <v>26</v>
      </c>
      <c r="E901" s="153">
        <v>10</v>
      </c>
      <c r="F901" s="153">
        <v>35.35</v>
      </c>
      <c r="G901" s="164"/>
      <c r="H901" s="164">
        <v>353.5</v>
      </c>
      <c r="I901" s="58">
        <v>181</v>
      </c>
      <c r="K901" s="57"/>
    </row>
    <row r="902" spans="1:11" x14ac:dyDescent="0.25">
      <c r="A902" s="154">
        <v>40856</v>
      </c>
      <c r="B902" s="150" t="s">
        <v>782</v>
      </c>
      <c r="C902" s="57" t="s">
        <v>8</v>
      </c>
      <c r="D902" s="57" t="s">
        <v>26</v>
      </c>
      <c r="E902" s="153">
        <v>10</v>
      </c>
      <c r="F902" s="153">
        <v>35.35</v>
      </c>
      <c r="G902" s="164"/>
      <c r="H902" s="164">
        <v>353.5</v>
      </c>
      <c r="I902" s="58">
        <v>181</v>
      </c>
      <c r="K902" s="57"/>
    </row>
    <row r="903" spans="1:11" x14ac:dyDescent="0.25">
      <c r="A903" s="154">
        <v>40856</v>
      </c>
      <c r="B903" s="150" t="s">
        <v>776</v>
      </c>
      <c r="C903" s="57" t="s">
        <v>8</v>
      </c>
      <c r="D903" s="57" t="s">
        <v>26</v>
      </c>
      <c r="E903" s="153">
        <v>10</v>
      </c>
      <c r="F903" s="153">
        <v>35.35</v>
      </c>
      <c r="G903" s="164"/>
      <c r="H903" s="164">
        <v>353.5</v>
      </c>
      <c r="I903" s="58">
        <v>181</v>
      </c>
      <c r="K903" s="57"/>
    </row>
    <row r="904" spans="1:11" ht="30" x14ac:dyDescent="0.25">
      <c r="A904" s="154">
        <v>40857</v>
      </c>
      <c r="B904" s="150" t="s">
        <v>957</v>
      </c>
      <c r="C904" s="57" t="s">
        <v>909</v>
      </c>
      <c r="D904" s="57" t="s">
        <v>748</v>
      </c>
      <c r="E904" s="153">
        <v>1</v>
      </c>
      <c r="F904" s="153">
        <v>779.8</v>
      </c>
      <c r="G904" s="164"/>
      <c r="H904" s="164">
        <v>779.8</v>
      </c>
      <c r="I904" s="58">
        <v>181</v>
      </c>
      <c r="K904" s="57"/>
    </row>
    <row r="905" spans="1:11" x14ac:dyDescent="0.25">
      <c r="A905" s="154">
        <v>40858</v>
      </c>
      <c r="B905" s="150" t="s">
        <v>780</v>
      </c>
      <c r="C905" s="57" t="s">
        <v>8</v>
      </c>
      <c r="D905" s="57" t="s">
        <v>26</v>
      </c>
      <c r="E905" s="153">
        <v>10</v>
      </c>
      <c r="F905" s="153">
        <v>35.35</v>
      </c>
      <c r="G905" s="164"/>
      <c r="H905" s="164">
        <v>353.5</v>
      </c>
      <c r="I905" s="58">
        <v>181</v>
      </c>
      <c r="K905" s="57"/>
    </row>
    <row r="906" spans="1:11" x14ac:dyDescent="0.25">
      <c r="A906" s="154">
        <v>40858</v>
      </c>
      <c r="B906" s="150" t="s">
        <v>1188</v>
      </c>
      <c r="C906" s="57" t="s">
        <v>775</v>
      </c>
      <c r="D906" s="57" t="s">
        <v>26</v>
      </c>
      <c r="E906" s="153">
        <v>9.5</v>
      </c>
      <c r="F906" s="153">
        <v>80</v>
      </c>
      <c r="G906" s="164"/>
      <c r="H906" s="164">
        <v>760</v>
      </c>
      <c r="I906" s="58">
        <v>181</v>
      </c>
      <c r="K906" s="57"/>
    </row>
    <row r="907" spans="1:11" x14ac:dyDescent="0.25">
      <c r="A907" s="154">
        <v>40858</v>
      </c>
      <c r="B907" s="150" t="s">
        <v>773</v>
      </c>
      <c r="C907" s="57" t="s">
        <v>774</v>
      </c>
      <c r="D907" s="57" t="s">
        <v>26</v>
      </c>
      <c r="E907" s="153">
        <v>11</v>
      </c>
      <c r="F907" s="153">
        <v>42.79</v>
      </c>
      <c r="G907" s="164"/>
      <c r="H907" s="164">
        <v>470.69</v>
      </c>
      <c r="I907" s="58">
        <v>181</v>
      </c>
      <c r="K907" s="57"/>
    </row>
    <row r="908" spans="1:11" x14ac:dyDescent="0.25">
      <c r="A908" s="154">
        <v>40858</v>
      </c>
      <c r="B908" s="150" t="s">
        <v>776</v>
      </c>
      <c r="C908" s="57" t="s">
        <v>8</v>
      </c>
      <c r="D908" s="57" t="s">
        <v>26</v>
      </c>
      <c r="E908" s="153">
        <v>10</v>
      </c>
      <c r="F908" s="153">
        <v>35.35</v>
      </c>
      <c r="G908" s="164"/>
      <c r="H908" s="164">
        <v>353.5</v>
      </c>
      <c r="I908" s="58">
        <v>181</v>
      </c>
      <c r="K908" s="57"/>
    </row>
    <row r="909" spans="1:11" x14ac:dyDescent="0.25">
      <c r="A909" s="154">
        <v>40858</v>
      </c>
      <c r="B909" s="150" t="s">
        <v>776</v>
      </c>
      <c r="C909" s="57" t="s">
        <v>8</v>
      </c>
      <c r="D909" s="57" t="s">
        <v>26</v>
      </c>
      <c r="E909" s="153">
        <v>13</v>
      </c>
      <c r="F909" s="153">
        <v>35.35</v>
      </c>
      <c r="G909" s="164"/>
      <c r="H909" s="164">
        <v>459.55</v>
      </c>
      <c r="I909" s="58">
        <v>181</v>
      </c>
      <c r="K909" s="57"/>
    </row>
    <row r="910" spans="1:11" x14ac:dyDescent="0.25">
      <c r="A910" s="154">
        <v>40858</v>
      </c>
      <c r="B910" s="150" t="s">
        <v>782</v>
      </c>
      <c r="C910" s="57" t="s">
        <v>8</v>
      </c>
      <c r="D910" s="57" t="s">
        <v>26</v>
      </c>
      <c r="E910" s="153">
        <v>10</v>
      </c>
      <c r="F910" s="153">
        <v>35.35</v>
      </c>
      <c r="G910" s="164"/>
      <c r="H910" s="164">
        <v>353.5</v>
      </c>
      <c r="I910" s="58">
        <v>181</v>
      </c>
      <c r="K910" s="57"/>
    </row>
    <row r="911" spans="1:11" x14ac:dyDescent="0.25">
      <c r="A911" s="154">
        <v>40858</v>
      </c>
      <c r="B911" s="150" t="s">
        <v>782</v>
      </c>
      <c r="C911" s="57" t="s">
        <v>8</v>
      </c>
      <c r="D911" s="57" t="s">
        <v>26</v>
      </c>
      <c r="E911" s="153">
        <v>10</v>
      </c>
      <c r="F911" s="153">
        <v>35.35</v>
      </c>
      <c r="G911" s="164"/>
      <c r="H911" s="164">
        <v>353.5</v>
      </c>
      <c r="I911" s="58">
        <v>181</v>
      </c>
      <c r="K911" s="57"/>
    </row>
    <row r="912" spans="1:11" x14ac:dyDescent="0.25">
      <c r="A912" s="154">
        <v>40859</v>
      </c>
      <c r="B912" s="150" t="s">
        <v>1188</v>
      </c>
      <c r="C912" s="57" t="s">
        <v>775</v>
      </c>
      <c r="D912" s="57" t="s">
        <v>26</v>
      </c>
      <c r="E912" s="153">
        <v>7</v>
      </c>
      <c r="F912" s="153">
        <v>80</v>
      </c>
      <c r="G912" s="164"/>
      <c r="H912" s="164">
        <v>560</v>
      </c>
      <c r="I912" s="58">
        <v>181</v>
      </c>
      <c r="K912" s="57"/>
    </row>
    <row r="913" spans="1:11" x14ac:dyDescent="0.25">
      <c r="A913" s="154">
        <v>40859</v>
      </c>
      <c r="B913" s="150" t="s">
        <v>780</v>
      </c>
      <c r="C913" s="57" t="s">
        <v>8</v>
      </c>
      <c r="D913" s="57" t="s">
        <v>26</v>
      </c>
      <c r="E913" s="153">
        <v>7</v>
      </c>
      <c r="F913" s="153">
        <v>35.35</v>
      </c>
      <c r="G913" s="164"/>
      <c r="H913" s="164">
        <v>247.45</v>
      </c>
      <c r="I913" s="58">
        <v>181</v>
      </c>
      <c r="K913" s="57"/>
    </row>
    <row r="914" spans="1:11" x14ac:dyDescent="0.25">
      <c r="A914" s="154">
        <v>40859</v>
      </c>
      <c r="B914" s="150" t="s">
        <v>776</v>
      </c>
      <c r="C914" s="57" t="s">
        <v>8</v>
      </c>
      <c r="D914" s="57" t="s">
        <v>26</v>
      </c>
      <c r="E914" s="153">
        <v>7.5</v>
      </c>
      <c r="F914" s="153">
        <v>35.35</v>
      </c>
      <c r="G914" s="164"/>
      <c r="H914" s="164">
        <v>265.125</v>
      </c>
      <c r="I914" s="58">
        <v>181</v>
      </c>
      <c r="K914" s="57"/>
    </row>
    <row r="915" spans="1:11" ht="30" x14ac:dyDescent="0.25">
      <c r="A915" s="154">
        <v>40859</v>
      </c>
      <c r="B915" s="150" t="s">
        <v>958</v>
      </c>
      <c r="C915" s="57" t="s">
        <v>802</v>
      </c>
      <c r="D915" s="57" t="s">
        <v>748</v>
      </c>
      <c r="E915" s="153">
        <v>1</v>
      </c>
      <c r="F915" s="153">
        <v>121</v>
      </c>
      <c r="G915" s="164"/>
      <c r="H915" s="164">
        <v>121</v>
      </c>
      <c r="I915" s="58">
        <v>181</v>
      </c>
      <c r="K915" s="57"/>
    </row>
    <row r="916" spans="1:11" x14ac:dyDescent="0.25">
      <c r="A916" s="154">
        <v>40859</v>
      </c>
      <c r="B916" s="150" t="s">
        <v>782</v>
      </c>
      <c r="C916" s="57" t="s">
        <v>8</v>
      </c>
      <c r="D916" s="57" t="s">
        <v>26</v>
      </c>
      <c r="E916" s="153">
        <v>7</v>
      </c>
      <c r="F916" s="153">
        <v>35.35</v>
      </c>
      <c r="G916" s="164"/>
      <c r="H916" s="164">
        <v>247.45</v>
      </c>
      <c r="I916" s="58">
        <v>181</v>
      </c>
      <c r="K916" s="57"/>
    </row>
    <row r="917" spans="1:11" x14ac:dyDescent="0.25">
      <c r="A917" s="154">
        <v>40859</v>
      </c>
      <c r="B917" s="150" t="s">
        <v>782</v>
      </c>
      <c r="C917" s="57" t="s">
        <v>8</v>
      </c>
      <c r="D917" s="57" t="s">
        <v>26</v>
      </c>
      <c r="E917" s="153">
        <v>5.5</v>
      </c>
      <c r="F917" s="153">
        <v>35.35</v>
      </c>
      <c r="G917" s="164"/>
      <c r="H917" s="164">
        <v>194.42500000000001</v>
      </c>
      <c r="I917" s="58">
        <v>181</v>
      </c>
      <c r="K917" s="57"/>
    </row>
    <row r="918" spans="1:11" x14ac:dyDescent="0.25">
      <c r="A918" s="154">
        <v>40859</v>
      </c>
      <c r="B918" s="150" t="s">
        <v>776</v>
      </c>
      <c r="C918" s="57" t="s">
        <v>8</v>
      </c>
      <c r="D918" s="57" t="s">
        <v>26</v>
      </c>
      <c r="E918" s="153">
        <v>7</v>
      </c>
      <c r="F918" s="153">
        <v>35.35</v>
      </c>
      <c r="G918" s="164"/>
      <c r="H918" s="164">
        <v>247.45</v>
      </c>
      <c r="I918" s="58">
        <v>181</v>
      </c>
      <c r="K918" s="57"/>
    </row>
    <row r="919" spans="1:11" x14ac:dyDescent="0.25">
      <c r="A919" s="154">
        <v>40859</v>
      </c>
      <c r="B919" s="150" t="s">
        <v>776</v>
      </c>
      <c r="C919" s="57" t="s">
        <v>8</v>
      </c>
      <c r="D919" s="57" t="s">
        <v>26</v>
      </c>
      <c r="E919" s="153">
        <v>7</v>
      </c>
      <c r="F919" s="153">
        <v>35.35</v>
      </c>
      <c r="G919" s="164"/>
      <c r="H919" s="164">
        <v>247.45</v>
      </c>
      <c r="I919" s="58">
        <v>181</v>
      </c>
      <c r="K919" s="57"/>
    </row>
    <row r="920" spans="1:11" x14ac:dyDescent="0.25">
      <c r="A920" s="154">
        <v>40860</v>
      </c>
      <c r="B920" s="150" t="s">
        <v>776</v>
      </c>
      <c r="C920" s="57" t="s">
        <v>8</v>
      </c>
      <c r="D920" s="57" t="s">
        <v>26</v>
      </c>
      <c r="E920" s="153">
        <v>7</v>
      </c>
      <c r="F920" s="153">
        <v>35.35</v>
      </c>
      <c r="G920" s="164"/>
      <c r="H920" s="164">
        <v>247.45</v>
      </c>
      <c r="I920" s="58">
        <v>181</v>
      </c>
      <c r="K920" s="57"/>
    </row>
    <row r="921" spans="1:11" x14ac:dyDescent="0.25">
      <c r="A921" s="154">
        <v>40860</v>
      </c>
      <c r="B921" s="150" t="s">
        <v>782</v>
      </c>
      <c r="C921" s="57" t="s">
        <v>8</v>
      </c>
      <c r="D921" s="57" t="s">
        <v>26</v>
      </c>
      <c r="E921" s="153">
        <v>7</v>
      </c>
      <c r="F921" s="153">
        <v>35.35</v>
      </c>
      <c r="G921" s="164"/>
      <c r="H921" s="164">
        <v>247.45</v>
      </c>
      <c r="I921" s="58">
        <v>181</v>
      </c>
      <c r="K921" s="57"/>
    </row>
    <row r="922" spans="1:11" x14ac:dyDescent="0.25">
      <c r="A922" s="154">
        <v>40860</v>
      </c>
      <c r="B922" s="150" t="s">
        <v>1188</v>
      </c>
      <c r="C922" s="57" t="s">
        <v>775</v>
      </c>
      <c r="D922" s="57" t="s">
        <v>26</v>
      </c>
      <c r="E922" s="153">
        <v>6.5</v>
      </c>
      <c r="F922" s="153">
        <v>80</v>
      </c>
      <c r="G922" s="164"/>
      <c r="H922" s="164">
        <v>520</v>
      </c>
      <c r="I922" s="58">
        <v>181</v>
      </c>
      <c r="K922" s="57"/>
    </row>
    <row r="923" spans="1:11" x14ac:dyDescent="0.25">
      <c r="A923" s="154">
        <v>40860</v>
      </c>
      <c r="B923" s="150" t="s">
        <v>776</v>
      </c>
      <c r="C923" s="57" t="s">
        <v>8</v>
      </c>
      <c r="D923" s="57" t="s">
        <v>26</v>
      </c>
      <c r="E923" s="153">
        <v>9</v>
      </c>
      <c r="F923" s="153">
        <v>35.35</v>
      </c>
      <c r="G923" s="164"/>
      <c r="H923" s="164">
        <v>318.14999999999998</v>
      </c>
      <c r="I923" s="58">
        <v>181</v>
      </c>
      <c r="K923" s="57"/>
    </row>
    <row r="924" spans="1:11" x14ac:dyDescent="0.25">
      <c r="A924" s="154">
        <v>40860</v>
      </c>
      <c r="B924" s="150" t="s">
        <v>780</v>
      </c>
      <c r="C924" s="57" t="s">
        <v>8</v>
      </c>
      <c r="D924" s="57" t="s">
        <v>26</v>
      </c>
      <c r="E924" s="153">
        <v>7</v>
      </c>
      <c r="F924" s="153">
        <v>35.35</v>
      </c>
      <c r="G924" s="164"/>
      <c r="H924" s="164">
        <v>247.45</v>
      </c>
      <c r="I924" s="58">
        <v>181</v>
      </c>
      <c r="K924" s="57"/>
    </row>
    <row r="925" spans="1:11" x14ac:dyDescent="0.25">
      <c r="A925" s="154">
        <v>40860</v>
      </c>
      <c r="B925" s="150" t="s">
        <v>776</v>
      </c>
      <c r="C925" s="57" t="s">
        <v>8</v>
      </c>
      <c r="D925" s="57" t="s">
        <v>26</v>
      </c>
      <c r="E925" s="153">
        <v>7</v>
      </c>
      <c r="F925" s="153">
        <v>35.35</v>
      </c>
      <c r="G925" s="164"/>
      <c r="H925" s="164">
        <v>247.45</v>
      </c>
      <c r="I925" s="58">
        <v>181</v>
      </c>
      <c r="K925" s="57"/>
    </row>
    <row r="926" spans="1:11" x14ac:dyDescent="0.25">
      <c r="A926" s="154">
        <v>40860</v>
      </c>
      <c r="B926" s="150" t="s">
        <v>782</v>
      </c>
      <c r="C926" s="57" t="s">
        <v>8</v>
      </c>
      <c r="D926" s="57" t="s">
        <v>26</v>
      </c>
      <c r="E926" s="153">
        <v>3.5</v>
      </c>
      <c r="F926" s="153">
        <v>35.35</v>
      </c>
      <c r="G926" s="164"/>
      <c r="H926" s="164">
        <v>123.72499999999999</v>
      </c>
      <c r="I926" s="58">
        <v>181</v>
      </c>
      <c r="K926" s="57"/>
    </row>
    <row r="927" spans="1:11" x14ac:dyDescent="0.25">
      <c r="A927" s="154">
        <v>40861</v>
      </c>
      <c r="B927" s="150" t="s">
        <v>776</v>
      </c>
      <c r="C927" s="57" t="s">
        <v>8</v>
      </c>
      <c r="D927" s="57" t="s">
        <v>26</v>
      </c>
      <c r="E927" s="153">
        <v>2</v>
      </c>
      <c r="F927" s="153">
        <v>35.35</v>
      </c>
      <c r="G927" s="164"/>
      <c r="H927" s="164">
        <v>70.7</v>
      </c>
      <c r="I927" s="58">
        <v>181</v>
      </c>
      <c r="K927" s="57"/>
    </row>
    <row r="928" spans="1:11" x14ac:dyDescent="0.25">
      <c r="A928" s="154">
        <v>40861</v>
      </c>
      <c r="B928" s="150" t="s">
        <v>959</v>
      </c>
      <c r="C928" s="57" t="s">
        <v>960</v>
      </c>
      <c r="D928" s="57" t="s">
        <v>748</v>
      </c>
      <c r="E928" s="153">
        <v>1</v>
      </c>
      <c r="F928" s="153">
        <v>485</v>
      </c>
      <c r="G928" s="164"/>
      <c r="H928" s="164">
        <v>485</v>
      </c>
      <c r="I928" s="58">
        <v>181</v>
      </c>
      <c r="K928" s="57"/>
    </row>
    <row r="929" spans="1:11" x14ac:dyDescent="0.25">
      <c r="A929" s="154">
        <v>40861</v>
      </c>
      <c r="B929" s="150" t="s">
        <v>782</v>
      </c>
      <c r="C929" s="57" t="s">
        <v>8</v>
      </c>
      <c r="D929" s="57" t="s">
        <v>26</v>
      </c>
      <c r="E929" s="153">
        <v>2</v>
      </c>
      <c r="F929" s="153">
        <v>35.35</v>
      </c>
      <c r="G929" s="164"/>
      <c r="H929" s="164">
        <v>70.7</v>
      </c>
      <c r="I929" s="58">
        <v>181</v>
      </c>
      <c r="K929" s="57"/>
    </row>
    <row r="930" spans="1:11" x14ac:dyDescent="0.25">
      <c r="A930" s="154">
        <v>40861</v>
      </c>
      <c r="B930" s="150" t="s">
        <v>961</v>
      </c>
      <c r="C930" s="57" t="s">
        <v>793</v>
      </c>
      <c r="D930" s="57" t="s">
        <v>25</v>
      </c>
      <c r="E930" s="153">
        <v>1</v>
      </c>
      <c r="F930" s="153">
        <v>55</v>
      </c>
      <c r="G930" s="164"/>
      <c r="H930" s="164">
        <v>55</v>
      </c>
      <c r="I930" s="58">
        <v>181</v>
      </c>
      <c r="K930" s="57"/>
    </row>
    <row r="931" spans="1:11" x14ac:dyDescent="0.25">
      <c r="A931" s="154">
        <v>40861</v>
      </c>
      <c r="B931" s="150" t="s">
        <v>780</v>
      </c>
      <c r="C931" s="57" t="s">
        <v>8</v>
      </c>
      <c r="D931" s="57" t="s">
        <v>26</v>
      </c>
      <c r="E931" s="153">
        <v>4</v>
      </c>
      <c r="F931" s="153">
        <v>35.35</v>
      </c>
      <c r="G931" s="164"/>
      <c r="H931" s="164">
        <v>141.4</v>
      </c>
      <c r="I931" s="58">
        <v>181</v>
      </c>
      <c r="K931" s="57"/>
    </row>
    <row r="932" spans="1:11" x14ac:dyDescent="0.25">
      <c r="A932" s="154">
        <v>40861</v>
      </c>
      <c r="B932" s="150" t="s">
        <v>1188</v>
      </c>
      <c r="C932" s="57" t="s">
        <v>775</v>
      </c>
      <c r="D932" s="57" t="s">
        <v>26</v>
      </c>
      <c r="E932" s="153">
        <v>3.5</v>
      </c>
      <c r="F932" s="153">
        <v>80</v>
      </c>
      <c r="G932" s="164"/>
      <c r="H932" s="164">
        <v>280</v>
      </c>
      <c r="I932" s="58">
        <v>181</v>
      </c>
      <c r="K932" s="57"/>
    </row>
    <row r="933" spans="1:11" x14ac:dyDescent="0.25">
      <c r="A933" s="154">
        <v>40861</v>
      </c>
      <c r="B933" s="150" t="s">
        <v>776</v>
      </c>
      <c r="C933" s="57" t="s">
        <v>8</v>
      </c>
      <c r="D933" s="57" t="s">
        <v>26</v>
      </c>
      <c r="E933" s="153">
        <v>9</v>
      </c>
      <c r="F933" s="153">
        <v>35.35</v>
      </c>
      <c r="G933" s="164"/>
      <c r="H933" s="164">
        <v>318.14999999999998</v>
      </c>
      <c r="I933" s="58">
        <v>181</v>
      </c>
      <c r="K933" s="57"/>
    </row>
    <row r="934" spans="1:11" x14ac:dyDescent="0.25">
      <c r="A934" s="154">
        <v>40862</v>
      </c>
      <c r="B934" s="150" t="s">
        <v>776</v>
      </c>
      <c r="C934" s="57" t="s">
        <v>8</v>
      </c>
      <c r="D934" s="57" t="s">
        <v>26</v>
      </c>
      <c r="E934" s="153">
        <v>6.5</v>
      </c>
      <c r="F934" s="153">
        <v>35.35</v>
      </c>
      <c r="G934" s="164"/>
      <c r="H934" s="164">
        <v>229.77500000000001</v>
      </c>
      <c r="I934" s="58">
        <v>181</v>
      </c>
      <c r="K934" s="57"/>
    </row>
    <row r="935" spans="1:11" x14ac:dyDescent="0.25">
      <c r="A935" s="154">
        <v>40862</v>
      </c>
      <c r="B935" s="150" t="s">
        <v>776</v>
      </c>
      <c r="C935" s="57" t="s">
        <v>8</v>
      </c>
      <c r="D935" s="57" t="s">
        <v>26</v>
      </c>
      <c r="E935" s="153">
        <v>8</v>
      </c>
      <c r="F935" s="153">
        <v>35.35</v>
      </c>
      <c r="G935" s="164"/>
      <c r="H935" s="164">
        <v>282.8</v>
      </c>
      <c r="I935" s="58">
        <v>181</v>
      </c>
      <c r="K935" s="57"/>
    </row>
    <row r="936" spans="1:11" x14ac:dyDescent="0.25">
      <c r="A936" s="154">
        <v>40862</v>
      </c>
      <c r="B936" s="150" t="s">
        <v>776</v>
      </c>
      <c r="C936" s="57" t="s">
        <v>8</v>
      </c>
      <c r="D936" s="57" t="s">
        <v>26</v>
      </c>
      <c r="E936" s="153">
        <v>11</v>
      </c>
      <c r="F936" s="153">
        <v>35.35</v>
      </c>
      <c r="G936" s="164"/>
      <c r="H936" s="164">
        <v>388.85</v>
      </c>
      <c r="I936" s="58">
        <v>181</v>
      </c>
      <c r="K936" s="57"/>
    </row>
    <row r="937" spans="1:11" x14ac:dyDescent="0.25">
      <c r="A937" s="154">
        <v>40862</v>
      </c>
      <c r="B937" s="150" t="s">
        <v>782</v>
      </c>
      <c r="C937" s="57" t="s">
        <v>8</v>
      </c>
      <c r="D937" s="57" t="s">
        <v>26</v>
      </c>
      <c r="E937" s="153">
        <v>2</v>
      </c>
      <c r="F937" s="153">
        <v>35.35</v>
      </c>
      <c r="G937" s="164"/>
      <c r="H937" s="164">
        <v>70.7</v>
      </c>
      <c r="I937" s="58">
        <v>181</v>
      </c>
      <c r="K937" s="57"/>
    </row>
    <row r="938" spans="1:11" x14ac:dyDescent="0.25">
      <c r="A938" s="154">
        <v>40862</v>
      </c>
      <c r="B938" s="150" t="s">
        <v>962</v>
      </c>
      <c r="C938" s="57" t="s">
        <v>909</v>
      </c>
      <c r="D938" s="57" t="s">
        <v>748</v>
      </c>
      <c r="E938" s="153">
        <v>1</v>
      </c>
      <c r="F938" s="153">
        <v>300.64</v>
      </c>
      <c r="G938" s="164"/>
      <c r="H938" s="164">
        <v>300.64</v>
      </c>
      <c r="I938" s="58">
        <v>181</v>
      </c>
      <c r="K938" s="57"/>
    </row>
    <row r="939" spans="1:11" x14ac:dyDescent="0.25">
      <c r="A939" s="154">
        <v>40862</v>
      </c>
      <c r="B939" s="150" t="s">
        <v>773</v>
      </c>
      <c r="C939" s="57" t="s">
        <v>774</v>
      </c>
      <c r="D939" s="57" t="s">
        <v>26</v>
      </c>
      <c r="E939" s="153">
        <v>4</v>
      </c>
      <c r="F939" s="153">
        <v>42.79</v>
      </c>
      <c r="G939" s="164"/>
      <c r="H939" s="164">
        <v>171.16</v>
      </c>
      <c r="I939" s="58">
        <v>181</v>
      </c>
      <c r="K939" s="57"/>
    </row>
    <row r="940" spans="1:11" x14ac:dyDescent="0.25">
      <c r="A940" s="154">
        <v>40862</v>
      </c>
      <c r="B940" s="150" t="s">
        <v>961</v>
      </c>
      <c r="C940" s="57" t="s">
        <v>793</v>
      </c>
      <c r="D940" s="57" t="s">
        <v>25</v>
      </c>
      <c r="E940" s="153">
        <v>1</v>
      </c>
      <c r="F940" s="153">
        <v>55</v>
      </c>
      <c r="G940" s="164"/>
      <c r="H940" s="164">
        <v>55</v>
      </c>
      <c r="I940" s="58">
        <v>181</v>
      </c>
      <c r="K940" s="57"/>
    </row>
    <row r="941" spans="1:11" x14ac:dyDescent="0.25">
      <c r="A941" s="154">
        <v>40862</v>
      </c>
      <c r="B941" s="150" t="s">
        <v>780</v>
      </c>
      <c r="C941" s="57" t="s">
        <v>8</v>
      </c>
      <c r="D941" s="57" t="s">
        <v>26</v>
      </c>
      <c r="E941" s="153">
        <v>10</v>
      </c>
      <c r="F941" s="153">
        <v>35.35</v>
      </c>
      <c r="G941" s="164"/>
      <c r="H941" s="164">
        <v>353.5</v>
      </c>
      <c r="I941" s="58">
        <v>181</v>
      </c>
      <c r="K941" s="57"/>
    </row>
    <row r="942" spans="1:11" x14ac:dyDescent="0.25">
      <c r="A942" s="154">
        <v>40862</v>
      </c>
      <c r="B942" s="150" t="s">
        <v>1188</v>
      </c>
      <c r="C942" s="57" t="s">
        <v>775</v>
      </c>
      <c r="D942" s="57" t="s">
        <v>26</v>
      </c>
      <c r="E942" s="153">
        <v>10</v>
      </c>
      <c r="F942" s="153">
        <v>80</v>
      </c>
      <c r="G942" s="164"/>
      <c r="H942" s="164">
        <v>800</v>
      </c>
      <c r="I942" s="58">
        <v>181</v>
      </c>
      <c r="K942" s="57"/>
    </row>
    <row r="943" spans="1:11" x14ac:dyDescent="0.25">
      <c r="A943" s="154">
        <v>40863</v>
      </c>
      <c r="B943" s="150" t="s">
        <v>1188</v>
      </c>
      <c r="C943" s="57" t="s">
        <v>775</v>
      </c>
      <c r="D943" s="57" t="s">
        <v>26</v>
      </c>
      <c r="E943" s="153">
        <v>4</v>
      </c>
      <c r="F943" s="153">
        <v>80</v>
      </c>
      <c r="G943" s="164"/>
      <c r="H943" s="164">
        <v>320</v>
      </c>
      <c r="I943" s="58">
        <v>181</v>
      </c>
      <c r="K943" s="57"/>
    </row>
    <row r="944" spans="1:11" x14ac:dyDescent="0.25">
      <c r="A944" s="154">
        <v>40863</v>
      </c>
      <c r="B944" s="150" t="s">
        <v>773</v>
      </c>
      <c r="C944" s="57" t="s">
        <v>774</v>
      </c>
      <c r="D944" s="57" t="s">
        <v>26</v>
      </c>
      <c r="E944" s="153">
        <v>4</v>
      </c>
      <c r="F944" s="153">
        <v>42.79</v>
      </c>
      <c r="G944" s="164"/>
      <c r="H944" s="164">
        <v>171.16</v>
      </c>
      <c r="I944" s="58">
        <v>181</v>
      </c>
      <c r="K944" s="57"/>
    </row>
    <row r="945" spans="1:11" x14ac:dyDescent="0.25">
      <c r="A945" s="154">
        <v>40863</v>
      </c>
      <c r="B945" s="150" t="s">
        <v>780</v>
      </c>
      <c r="C945" s="57" t="s">
        <v>8</v>
      </c>
      <c r="D945" s="57" t="s">
        <v>26</v>
      </c>
      <c r="E945" s="153">
        <v>4</v>
      </c>
      <c r="F945" s="153">
        <v>35.35</v>
      </c>
      <c r="G945" s="164"/>
      <c r="H945" s="164">
        <v>141.4</v>
      </c>
      <c r="I945" s="58">
        <v>181</v>
      </c>
      <c r="K945" s="57"/>
    </row>
    <row r="946" spans="1:11" x14ac:dyDescent="0.25">
      <c r="A946" s="154">
        <v>40863</v>
      </c>
      <c r="B946" s="150" t="s">
        <v>776</v>
      </c>
      <c r="C946" s="57" t="s">
        <v>8</v>
      </c>
      <c r="D946" s="57" t="s">
        <v>26</v>
      </c>
      <c r="E946" s="153">
        <v>11</v>
      </c>
      <c r="F946" s="153">
        <v>35.35</v>
      </c>
      <c r="G946" s="164"/>
      <c r="H946" s="164">
        <v>388.85</v>
      </c>
      <c r="I946" s="58">
        <v>181</v>
      </c>
      <c r="K946" s="57"/>
    </row>
    <row r="947" spans="1:11" x14ac:dyDescent="0.25">
      <c r="A947" s="154">
        <v>40863</v>
      </c>
      <c r="B947" s="150" t="s">
        <v>782</v>
      </c>
      <c r="C947" s="57" t="s">
        <v>8</v>
      </c>
      <c r="D947" s="57" t="s">
        <v>26</v>
      </c>
      <c r="E947" s="153">
        <v>9.5</v>
      </c>
      <c r="F947" s="153">
        <v>35.35</v>
      </c>
      <c r="G947" s="164"/>
      <c r="H947" s="164">
        <v>335.82499999999999</v>
      </c>
      <c r="I947" s="58">
        <v>181</v>
      </c>
      <c r="K947" s="57"/>
    </row>
    <row r="948" spans="1:11" x14ac:dyDescent="0.25">
      <c r="A948" s="154">
        <v>40863</v>
      </c>
      <c r="B948" s="150" t="s">
        <v>776</v>
      </c>
      <c r="C948" s="57" t="s">
        <v>8</v>
      </c>
      <c r="D948" s="57" t="s">
        <v>26</v>
      </c>
      <c r="E948" s="153">
        <v>6.5</v>
      </c>
      <c r="F948" s="153">
        <v>35.35</v>
      </c>
      <c r="G948" s="164"/>
      <c r="H948" s="164">
        <v>229.77500000000001</v>
      </c>
      <c r="I948" s="58">
        <v>181</v>
      </c>
      <c r="K948" s="57"/>
    </row>
    <row r="949" spans="1:11" x14ac:dyDescent="0.25">
      <c r="A949" s="154">
        <v>40863</v>
      </c>
      <c r="B949" s="150" t="s">
        <v>776</v>
      </c>
      <c r="C949" s="57" t="s">
        <v>8</v>
      </c>
      <c r="D949" s="57" t="s">
        <v>26</v>
      </c>
      <c r="E949" s="153">
        <v>4</v>
      </c>
      <c r="F949" s="153">
        <v>35.35</v>
      </c>
      <c r="G949" s="164"/>
      <c r="H949" s="164">
        <v>141.4</v>
      </c>
      <c r="I949" s="58">
        <v>181</v>
      </c>
      <c r="K949" s="57"/>
    </row>
    <row r="950" spans="1:11" ht="30" x14ac:dyDescent="0.25">
      <c r="A950" s="154">
        <v>40863</v>
      </c>
      <c r="B950" s="150" t="s">
        <v>963</v>
      </c>
      <c r="C950" s="57" t="s">
        <v>964</v>
      </c>
      <c r="D950" s="57" t="s">
        <v>748</v>
      </c>
      <c r="E950" s="153">
        <v>1</v>
      </c>
      <c r="F950" s="153">
        <v>325.60000000000002</v>
      </c>
      <c r="G950" s="164"/>
      <c r="H950" s="164">
        <v>325.60000000000002</v>
      </c>
      <c r="I950" s="58">
        <v>181</v>
      </c>
      <c r="K950" s="57"/>
    </row>
    <row r="951" spans="1:11" x14ac:dyDescent="0.25">
      <c r="A951" s="154">
        <v>40864</v>
      </c>
      <c r="B951" s="150" t="s">
        <v>776</v>
      </c>
      <c r="C951" s="57" t="s">
        <v>8</v>
      </c>
      <c r="D951" s="57" t="s">
        <v>26</v>
      </c>
      <c r="E951" s="153">
        <v>1</v>
      </c>
      <c r="F951" s="153">
        <v>35.35</v>
      </c>
      <c r="G951" s="164"/>
      <c r="H951" s="164">
        <v>35.35</v>
      </c>
      <c r="I951" s="58">
        <v>181</v>
      </c>
      <c r="K951" s="57"/>
    </row>
    <row r="952" spans="1:11" x14ac:dyDescent="0.25">
      <c r="A952" s="154">
        <v>40864</v>
      </c>
      <c r="B952" s="150" t="s">
        <v>1188</v>
      </c>
      <c r="C952" s="57" t="s">
        <v>775</v>
      </c>
      <c r="D952" s="57" t="s">
        <v>26</v>
      </c>
      <c r="E952" s="153">
        <v>5</v>
      </c>
      <c r="F952" s="153">
        <v>80</v>
      </c>
      <c r="G952" s="164"/>
      <c r="H952" s="164">
        <v>400</v>
      </c>
      <c r="I952" s="58">
        <v>181</v>
      </c>
      <c r="K952" s="57"/>
    </row>
    <row r="953" spans="1:11" x14ac:dyDescent="0.25">
      <c r="A953" s="154">
        <v>40947</v>
      </c>
      <c r="B953" s="150" t="s">
        <v>850</v>
      </c>
      <c r="C953" s="57" t="s">
        <v>8</v>
      </c>
      <c r="D953" s="57" t="s">
        <v>26</v>
      </c>
      <c r="E953" s="153">
        <v>4.5</v>
      </c>
      <c r="F953" s="153">
        <v>40.97</v>
      </c>
      <c r="G953" s="164"/>
      <c r="H953" s="164">
        <v>184.36500000000001</v>
      </c>
      <c r="I953" s="58">
        <v>181</v>
      </c>
      <c r="K953" s="57"/>
    </row>
    <row r="954" spans="1:11" x14ac:dyDescent="0.25">
      <c r="A954" s="154">
        <v>40947</v>
      </c>
      <c r="B954" s="150" t="s">
        <v>894</v>
      </c>
      <c r="C954" s="57" t="s">
        <v>8</v>
      </c>
      <c r="D954" s="57" t="s">
        <v>26</v>
      </c>
      <c r="E954" s="153">
        <v>9.5</v>
      </c>
      <c r="F954" s="153">
        <v>45</v>
      </c>
      <c r="G954" s="164"/>
      <c r="H954" s="164">
        <v>427.5</v>
      </c>
      <c r="I954" s="58">
        <v>181</v>
      </c>
      <c r="K954" s="57"/>
    </row>
    <row r="955" spans="1:11" ht="30" x14ac:dyDescent="0.25">
      <c r="A955" s="154">
        <v>40947</v>
      </c>
      <c r="B955" s="150" t="s">
        <v>965</v>
      </c>
      <c r="C955" s="57" t="s">
        <v>786</v>
      </c>
      <c r="D955" s="57" t="s">
        <v>748</v>
      </c>
      <c r="E955" s="153">
        <v>1</v>
      </c>
      <c r="F955" s="153">
        <v>99</v>
      </c>
      <c r="G955" s="164"/>
      <c r="H955" s="164">
        <v>99</v>
      </c>
      <c r="I955" s="58">
        <v>181</v>
      </c>
      <c r="K955" s="57"/>
    </row>
    <row r="956" spans="1:11" x14ac:dyDescent="0.25">
      <c r="A956" s="154">
        <v>40947</v>
      </c>
      <c r="B956" s="150" t="s">
        <v>776</v>
      </c>
      <c r="C956" s="57" t="s">
        <v>8</v>
      </c>
      <c r="D956" s="57" t="s">
        <v>26</v>
      </c>
      <c r="E956" s="153">
        <v>7</v>
      </c>
      <c r="F956" s="153">
        <v>35.35</v>
      </c>
      <c r="G956" s="164"/>
      <c r="H956" s="164">
        <v>247.45</v>
      </c>
      <c r="I956" s="58">
        <v>181</v>
      </c>
      <c r="K956" s="57"/>
    </row>
    <row r="957" spans="1:11" x14ac:dyDescent="0.25">
      <c r="A957" s="154">
        <v>40947</v>
      </c>
      <c r="B957" s="150" t="s">
        <v>780</v>
      </c>
      <c r="C957" s="57" t="s">
        <v>8</v>
      </c>
      <c r="D957" s="57" t="s">
        <v>26</v>
      </c>
      <c r="E957" s="153">
        <v>5</v>
      </c>
      <c r="F957" s="153">
        <v>35.35</v>
      </c>
      <c r="G957" s="164"/>
      <c r="H957" s="164">
        <v>176.75</v>
      </c>
      <c r="I957" s="58">
        <v>181</v>
      </c>
      <c r="K957" s="57"/>
    </row>
    <row r="958" spans="1:11" x14ac:dyDescent="0.25">
      <c r="A958" s="154">
        <v>40947</v>
      </c>
      <c r="B958" s="150" t="s">
        <v>776</v>
      </c>
      <c r="C958" s="57" t="s">
        <v>8</v>
      </c>
      <c r="D958" s="57" t="s">
        <v>26</v>
      </c>
      <c r="E958" s="153">
        <v>10</v>
      </c>
      <c r="F958" s="153">
        <v>35.35</v>
      </c>
      <c r="G958" s="164"/>
      <c r="H958" s="164">
        <v>353.5</v>
      </c>
      <c r="I958" s="58">
        <v>181</v>
      </c>
      <c r="K958" s="57"/>
    </row>
    <row r="959" spans="1:11" x14ac:dyDescent="0.25">
      <c r="A959" s="154">
        <v>40948</v>
      </c>
      <c r="B959" s="150" t="s">
        <v>776</v>
      </c>
      <c r="C959" s="57" t="s">
        <v>8</v>
      </c>
      <c r="D959" s="57" t="s">
        <v>26</v>
      </c>
      <c r="E959" s="153">
        <v>5</v>
      </c>
      <c r="F959" s="153">
        <v>35.35</v>
      </c>
      <c r="G959" s="164"/>
      <c r="H959" s="164">
        <v>176.75</v>
      </c>
      <c r="I959" s="58">
        <v>181</v>
      </c>
      <c r="K959" s="57"/>
    </row>
    <row r="960" spans="1:11" x14ac:dyDescent="0.25">
      <c r="A960" s="154">
        <v>40948</v>
      </c>
      <c r="B960" s="150" t="s">
        <v>773</v>
      </c>
      <c r="C960" s="57" t="s">
        <v>774</v>
      </c>
      <c r="D960" s="57" t="s">
        <v>26</v>
      </c>
      <c r="E960" s="153">
        <v>5</v>
      </c>
      <c r="F960" s="153">
        <v>42.79</v>
      </c>
      <c r="G960" s="164"/>
      <c r="H960" s="164">
        <v>213.95</v>
      </c>
      <c r="I960" s="58">
        <v>181</v>
      </c>
      <c r="K960" s="57"/>
    </row>
    <row r="961" spans="1:11" x14ac:dyDescent="0.25">
      <c r="A961" s="154">
        <v>40948</v>
      </c>
      <c r="B961" s="150" t="s">
        <v>776</v>
      </c>
      <c r="C961" s="57" t="s">
        <v>8</v>
      </c>
      <c r="D961" s="57" t="s">
        <v>26</v>
      </c>
      <c r="E961" s="153">
        <v>5</v>
      </c>
      <c r="F961" s="153">
        <v>35.35</v>
      </c>
      <c r="G961" s="164"/>
      <c r="H961" s="164">
        <v>176.75</v>
      </c>
      <c r="I961" s="58">
        <v>181</v>
      </c>
      <c r="K961" s="57"/>
    </row>
    <row r="962" spans="1:11" x14ac:dyDescent="0.25">
      <c r="A962" s="154">
        <v>40948</v>
      </c>
      <c r="B962" s="150" t="s">
        <v>780</v>
      </c>
      <c r="C962" s="57" t="s">
        <v>8</v>
      </c>
      <c r="D962" s="57" t="s">
        <v>26</v>
      </c>
      <c r="E962" s="153">
        <v>4</v>
      </c>
      <c r="F962" s="153">
        <v>35.35</v>
      </c>
      <c r="G962" s="164"/>
      <c r="H962" s="164">
        <v>141.4</v>
      </c>
      <c r="I962" s="58">
        <v>181</v>
      </c>
      <c r="K962" s="57"/>
    </row>
    <row r="963" spans="1:11" x14ac:dyDescent="0.25">
      <c r="A963" s="154">
        <v>40948</v>
      </c>
      <c r="B963" s="150" t="s">
        <v>850</v>
      </c>
      <c r="C963" s="57" t="s">
        <v>8</v>
      </c>
      <c r="D963" s="57" t="s">
        <v>26</v>
      </c>
      <c r="E963" s="153">
        <v>3.5</v>
      </c>
      <c r="F963" s="153">
        <v>40.97</v>
      </c>
      <c r="G963" s="164"/>
      <c r="H963" s="164">
        <v>143.39500000000001</v>
      </c>
      <c r="I963" s="58">
        <v>181</v>
      </c>
      <c r="K963" s="57"/>
    </row>
    <row r="964" spans="1:11" x14ac:dyDescent="0.25">
      <c r="A964" s="154">
        <v>40948</v>
      </c>
      <c r="B964" s="150" t="s">
        <v>894</v>
      </c>
      <c r="C964" s="57" t="s">
        <v>8</v>
      </c>
      <c r="D964" s="57" t="s">
        <v>26</v>
      </c>
      <c r="E964" s="153">
        <v>6.5</v>
      </c>
      <c r="F964" s="153">
        <v>45</v>
      </c>
      <c r="G964" s="164"/>
      <c r="H964" s="164">
        <v>292.5</v>
      </c>
      <c r="I964" s="58">
        <v>181</v>
      </c>
      <c r="K964" s="57"/>
    </row>
    <row r="965" spans="1:11" x14ac:dyDescent="0.25">
      <c r="A965" s="154">
        <v>40948</v>
      </c>
      <c r="B965" s="150" t="s">
        <v>682</v>
      </c>
      <c r="C965" s="57" t="s">
        <v>794</v>
      </c>
      <c r="D965" s="57" t="s">
        <v>26</v>
      </c>
      <c r="E965" s="153">
        <v>5</v>
      </c>
      <c r="F965" s="153">
        <v>7</v>
      </c>
      <c r="G965" s="164"/>
      <c r="H965" s="164">
        <v>35</v>
      </c>
      <c r="I965" s="58">
        <v>181</v>
      </c>
      <c r="K965" s="57"/>
    </row>
    <row r="966" spans="1:11" x14ac:dyDescent="0.25">
      <c r="A966" s="154">
        <v>40948</v>
      </c>
      <c r="B966" s="150" t="s">
        <v>1188</v>
      </c>
      <c r="C966" s="57" t="s">
        <v>775</v>
      </c>
      <c r="D966" s="57" t="s">
        <v>26</v>
      </c>
      <c r="E966" s="153">
        <v>5</v>
      </c>
      <c r="F966" s="153">
        <v>80</v>
      </c>
      <c r="G966" s="164"/>
      <c r="H966" s="164">
        <v>400</v>
      </c>
      <c r="I966" s="58">
        <v>181</v>
      </c>
      <c r="K966" s="57"/>
    </row>
    <row r="967" spans="1:11" x14ac:dyDescent="0.25">
      <c r="A967" s="154">
        <v>40949</v>
      </c>
      <c r="B967" s="150" t="s">
        <v>1188</v>
      </c>
      <c r="C967" s="57" t="s">
        <v>775</v>
      </c>
      <c r="D967" s="57" t="s">
        <v>26</v>
      </c>
      <c r="E967" s="153">
        <v>5</v>
      </c>
      <c r="F967" s="153">
        <v>80</v>
      </c>
      <c r="G967" s="164"/>
      <c r="H967" s="164">
        <v>400</v>
      </c>
      <c r="I967" s="58">
        <v>181</v>
      </c>
      <c r="K967" s="57"/>
    </row>
    <row r="968" spans="1:11" x14ac:dyDescent="0.25">
      <c r="A968" s="154">
        <v>40949</v>
      </c>
      <c r="B968" s="150" t="s">
        <v>682</v>
      </c>
      <c r="C968" s="57" t="s">
        <v>794</v>
      </c>
      <c r="D968" s="57" t="s">
        <v>26</v>
      </c>
      <c r="E968" s="153">
        <v>5</v>
      </c>
      <c r="F968" s="153">
        <v>7</v>
      </c>
      <c r="G968" s="164"/>
      <c r="H968" s="164">
        <v>35</v>
      </c>
      <c r="I968" s="58">
        <v>181</v>
      </c>
      <c r="K968" s="57"/>
    </row>
    <row r="969" spans="1:11" x14ac:dyDescent="0.25">
      <c r="A969" s="154">
        <v>40949</v>
      </c>
      <c r="B969" s="150" t="s">
        <v>894</v>
      </c>
      <c r="C969" s="57" t="s">
        <v>8</v>
      </c>
      <c r="D969" s="57" t="s">
        <v>26</v>
      </c>
      <c r="E969" s="153">
        <v>10</v>
      </c>
      <c r="F969" s="153">
        <v>45</v>
      </c>
      <c r="G969" s="164"/>
      <c r="H969" s="164">
        <v>450</v>
      </c>
      <c r="I969" s="58">
        <v>181</v>
      </c>
      <c r="K969" s="57"/>
    </row>
    <row r="970" spans="1:11" x14ac:dyDescent="0.25">
      <c r="A970" s="154">
        <v>40949</v>
      </c>
      <c r="B970" s="150" t="s">
        <v>850</v>
      </c>
      <c r="C970" s="57" t="s">
        <v>8</v>
      </c>
      <c r="D970" s="57" t="s">
        <v>26</v>
      </c>
      <c r="E970" s="153">
        <v>3.5</v>
      </c>
      <c r="F970" s="153">
        <v>40.97</v>
      </c>
      <c r="G970" s="164"/>
      <c r="H970" s="164">
        <v>143.39500000000001</v>
      </c>
      <c r="I970" s="58">
        <v>181</v>
      </c>
      <c r="K970" s="57"/>
    </row>
    <row r="971" spans="1:11" x14ac:dyDescent="0.25">
      <c r="A971" s="154">
        <v>40949</v>
      </c>
      <c r="B971" s="150" t="s">
        <v>780</v>
      </c>
      <c r="C971" s="57" t="s">
        <v>8</v>
      </c>
      <c r="D971" s="57" t="s">
        <v>26</v>
      </c>
      <c r="E971" s="153">
        <v>5</v>
      </c>
      <c r="F971" s="153">
        <v>35.35</v>
      </c>
      <c r="G971" s="164"/>
      <c r="H971" s="164">
        <v>176.75</v>
      </c>
      <c r="I971" s="58">
        <v>181</v>
      </c>
      <c r="K971" s="57"/>
    </row>
    <row r="972" spans="1:11" x14ac:dyDescent="0.25">
      <c r="A972" s="154">
        <v>40949</v>
      </c>
      <c r="B972" s="150" t="s">
        <v>776</v>
      </c>
      <c r="C972" s="57" t="s">
        <v>8</v>
      </c>
      <c r="D972" s="57" t="s">
        <v>26</v>
      </c>
      <c r="E972" s="153">
        <v>5</v>
      </c>
      <c r="F972" s="153">
        <v>35.35</v>
      </c>
      <c r="G972" s="164"/>
      <c r="H972" s="164">
        <v>176.75</v>
      </c>
      <c r="I972" s="58">
        <v>181</v>
      </c>
      <c r="K972" s="57"/>
    </row>
    <row r="973" spans="1:11" x14ac:dyDescent="0.25">
      <c r="A973" s="154">
        <v>40949</v>
      </c>
      <c r="B973" s="150" t="s">
        <v>773</v>
      </c>
      <c r="C973" s="57" t="s">
        <v>774</v>
      </c>
      <c r="D973" s="57" t="s">
        <v>26</v>
      </c>
      <c r="E973" s="153">
        <v>5</v>
      </c>
      <c r="F973" s="153">
        <v>42.79</v>
      </c>
      <c r="G973" s="164"/>
      <c r="H973" s="164">
        <v>213.95</v>
      </c>
      <c r="I973" s="58">
        <v>181</v>
      </c>
      <c r="K973" s="57"/>
    </row>
    <row r="974" spans="1:11" x14ac:dyDescent="0.25">
      <c r="A974" s="154">
        <v>40949</v>
      </c>
      <c r="B974" s="150" t="s">
        <v>776</v>
      </c>
      <c r="C974" s="57" t="s">
        <v>8</v>
      </c>
      <c r="D974" s="57" t="s">
        <v>26</v>
      </c>
      <c r="E974" s="153">
        <v>5</v>
      </c>
      <c r="F974" s="153">
        <v>35.35</v>
      </c>
      <c r="G974" s="164"/>
      <c r="H974" s="164">
        <v>176.75</v>
      </c>
      <c r="I974" s="58">
        <v>181</v>
      </c>
      <c r="K974" s="57"/>
    </row>
    <row r="975" spans="1:11" x14ac:dyDescent="0.25">
      <c r="A975" s="154">
        <v>40949</v>
      </c>
      <c r="B975" s="150" t="s">
        <v>966</v>
      </c>
      <c r="C975" s="57" t="s">
        <v>793</v>
      </c>
      <c r="D975" s="57" t="s">
        <v>748</v>
      </c>
      <c r="E975" s="153">
        <v>1</v>
      </c>
      <c r="F975" s="153">
        <v>165</v>
      </c>
      <c r="G975" s="164"/>
      <c r="H975" s="164">
        <v>165</v>
      </c>
      <c r="I975" s="58">
        <v>181</v>
      </c>
      <c r="K975" s="57"/>
    </row>
    <row r="976" spans="1:11" x14ac:dyDescent="0.25">
      <c r="A976" s="154">
        <v>40949</v>
      </c>
      <c r="B976" s="150" t="s">
        <v>967</v>
      </c>
      <c r="C976" s="57" t="s">
        <v>930</v>
      </c>
      <c r="D976" s="57" t="s">
        <v>748</v>
      </c>
      <c r="E976" s="153">
        <v>1</v>
      </c>
      <c r="F976" s="153">
        <v>165</v>
      </c>
      <c r="G976" s="164"/>
      <c r="H976" s="164">
        <v>165</v>
      </c>
      <c r="I976" s="58">
        <v>181</v>
      </c>
      <c r="K976" s="57"/>
    </row>
    <row r="977" spans="1:11" x14ac:dyDescent="0.25">
      <c r="A977" s="154">
        <v>40950</v>
      </c>
      <c r="B977" s="150" t="s">
        <v>894</v>
      </c>
      <c r="C977" s="57" t="s">
        <v>8</v>
      </c>
      <c r="D977" s="57" t="s">
        <v>26</v>
      </c>
      <c r="E977" s="153">
        <v>8</v>
      </c>
      <c r="F977" s="153">
        <v>45</v>
      </c>
      <c r="G977" s="164"/>
      <c r="H977" s="164">
        <v>360</v>
      </c>
      <c r="I977" s="58">
        <v>181</v>
      </c>
      <c r="K977" s="57"/>
    </row>
    <row r="978" spans="1:11" x14ac:dyDescent="0.25">
      <c r="A978" s="154">
        <v>40950</v>
      </c>
      <c r="B978" s="150" t="s">
        <v>776</v>
      </c>
      <c r="C978" s="57" t="s">
        <v>8</v>
      </c>
      <c r="D978" s="57" t="s">
        <v>26</v>
      </c>
      <c r="E978" s="153">
        <v>5</v>
      </c>
      <c r="F978" s="153">
        <v>35.35</v>
      </c>
      <c r="G978" s="164"/>
      <c r="H978" s="164">
        <v>176.75</v>
      </c>
      <c r="I978" s="58">
        <v>181</v>
      </c>
      <c r="K978" s="57"/>
    </row>
    <row r="979" spans="1:11" x14ac:dyDescent="0.25">
      <c r="A979" s="154">
        <v>40950</v>
      </c>
      <c r="B979" s="150" t="s">
        <v>773</v>
      </c>
      <c r="C979" s="57" t="s">
        <v>774</v>
      </c>
      <c r="D979" s="57" t="s">
        <v>26</v>
      </c>
      <c r="E979" s="153">
        <v>3</v>
      </c>
      <c r="F979" s="153">
        <v>42.79</v>
      </c>
      <c r="G979" s="164"/>
      <c r="H979" s="164">
        <v>128.37</v>
      </c>
      <c r="I979" s="58">
        <v>181</v>
      </c>
      <c r="K979" s="57"/>
    </row>
    <row r="980" spans="1:11" x14ac:dyDescent="0.25">
      <c r="A980" s="154">
        <v>40950</v>
      </c>
      <c r="B980" s="150" t="s">
        <v>776</v>
      </c>
      <c r="C980" s="57" t="s">
        <v>8</v>
      </c>
      <c r="D980" s="57" t="s">
        <v>26</v>
      </c>
      <c r="E980" s="153">
        <v>8</v>
      </c>
      <c r="F980" s="153">
        <v>35.35</v>
      </c>
      <c r="G980" s="164"/>
      <c r="H980" s="164">
        <v>282.8</v>
      </c>
      <c r="I980" s="58">
        <v>181</v>
      </c>
      <c r="K980" s="57"/>
    </row>
    <row r="981" spans="1:11" x14ac:dyDescent="0.25">
      <c r="A981" s="154">
        <v>40950</v>
      </c>
      <c r="B981" s="150" t="s">
        <v>780</v>
      </c>
      <c r="C981" s="57" t="s">
        <v>8</v>
      </c>
      <c r="D981" s="57" t="s">
        <v>26</v>
      </c>
      <c r="E981" s="153">
        <v>8</v>
      </c>
      <c r="F981" s="153">
        <v>35.35</v>
      </c>
      <c r="G981" s="164"/>
      <c r="H981" s="164">
        <v>282.8</v>
      </c>
      <c r="I981" s="58">
        <v>181</v>
      </c>
      <c r="K981" s="57"/>
    </row>
    <row r="982" spans="1:11" ht="30" x14ac:dyDescent="0.25">
      <c r="A982" s="154">
        <v>40952</v>
      </c>
      <c r="B982" s="150" t="s">
        <v>968</v>
      </c>
      <c r="C982" s="57" t="s">
        <v>930</v>
      </c>
      <c r="D982" s="57" t="s">
        <v>748</v>
      </c>
      <c r="E982" s="153">
        <v>1</v>
      </c>
      <c r="F982" s="153">
        <v>132</v>
      </c>
      <c r="G982" s="164"/>
      <c r="H982" s="164">
        <v>132</v>
      </c>
      <c r="I982" s="58">
        <v>181</v>
      </c>
      <c r="K982" s="57"/>
    </row>
    <row r="983" spans="1:11" x14ac:dyDescent="0.25">
      <c r="A983" s="169" t="s">
        <v>682</v>
      </c>
      <c r="B983" s="170" t="s">
        <v>969</v>
      </c>
      <c r="C983" s="171" t="s">
        <v>682</v>
      </c>
      <c r="D983" s="171" t="s">
        <v>682</v>
      </c>
      <c r="E983" s="172"/>
      <c r="F983" s="172"/>
      <c r="G983" s="173"/>
      <c r="H983" s="173">
        <v>23785.751000000004</v>
      </c>
      <c r="I983" s="174" t="s">
        <v>682</v>
      </c>
      <c r="K983" s="57"/>
    </row>
    <row r="984" spans="1:11" x14ac:dyDescent="0.25">
      <c r="A984" s="154" t="s">
        <v>682</v>
      </c>
      <c r="B984" s="150" t="s">
        <v>682</v>
      </c>
      <c r="C984" s="57" t="s">
        <v>682</v>
      </c>
      <c r="D984" s="57" t="s">
        <v>682</v>
      </c>
      <c r="E984" s="153"/>
      <c r="F984" s="153"/>
      <c r="G984" s="164"/>
      <c r="H984" s="164"/>
      <c r="I984" s="58" t="s">
        <v>682</v>
      </c>
      <c r="K984" s="57"/>
    </row>
    <row r="985" spans="1:11" x14ac:dyDescent="0.25">
      <c r="A985" s="166" t="s">
        <v>682</v>
      </c>
      <c r="B985" s="165" t="s">
        <v>970</v>
      </c>
      <c r="C985" s="60" t="s">
        <v>682</v>
      </c>
      <c r="D985" s="60" t="s">
        <v>682</v>
      </c>
      <c r="E985" s="167"/>
      <c r="F985" s="167"/>
      <c r="G985" s="168"/>
      <c r="H985" s="168"/>
      <c r="I985" s="46" t="s">
        <v>682</v>
      </c>
      <c r="K985" s="57"/>
    </row>
    <row r="986" spans="1:11" x14ac:dyDescent="0.25">
      <c r="A986" s="154">
        <v>40848</v>
      </c>
      <c r="B986" s="150" t="s">
        <v>865</v>
      </c>
      <c r="C986" s="57" t="s">
        <v>973</v>
      </c>
      <c r="D986" s="57" t="s">
        <v>25</v>
      </c>
      <c r="E986" s="153">
        <v>1</v>
      </c>
      <c r="F986" s="153">
        <v>850</v>
      </c>
      <c r="G986" s="164"/>
      <c r="H986" s="164">
        <v>850</v>
      </c>
      <c r="I986" s="58">
        <v>901</v>
      </c>
      <c r="K986" s="57"/>
    </row>
    <row r="987" spans="1:11" x14ac:dyDescent="0.25">
      <c r="A987" s="154">
        <v>40849</v>
      </c>
      <c r="B987" s="150" t="s">
        <v>865</v>
      </c>
      <c r="C987" s="57" t="s">
        <v>973</v>
      </c>
      <c r="D987" s="57" t="s">
        <v>25</v>
      </c>
      <c r="E987" s="153">
        <v>1</v>
      </c>
      <c r="F987" s="153">
        <v>850</v>
      </c>
      <c r="G987" s="164"/>
      <c r="H987" s="164">
        <v>850</v>
      </c>
      <c r="I987" s="58">
        <v>901</v>
      </c>
      <c r="K987" s="57"/>
    </row>
    <row r="988" spans="1:11" x14ac:dyDescent="0.25">
      <c r="A988" s="154">
        <v>40850</v>
      </c>
      <c r="B988" s="150" t="s">
        <v>865</v>
      </c>
      <c r="C988" s="57" t="s">
        <v>973</v>
      </c>
      <c r="D988" s="57" t="s">
        <v>25</v>
      </c>
      <c r="E988" s="153">
        <v>1</v>
      </c>
      <c r="F988" s="153">
        <v>850</v>
      </c>
      <c r="G988" s="164"/>
      <c r="H988" s="164">
        <v>850</v>
      </c>
      <c r="I988" s="58">
        <v>901</v>
      </c>
      <c r="K988" s="57"/>
    </row>
    <row r="989" spans="1:11" x14ac:dyDescent="0.25">
      <c r="A989" s="154">
        <v>40855</v>
      </c>
      <c r="B989" s="150" t="s">
        <v>865</v>
      </c>
      <c r="C989" s="57" t="s">
        <v>973</v>
      </c>
      <c r="D989" s="57" t="s">
        <v>25</v>
      </c>
      <c r="E989" s="153">
        <v>1</v>
      </c>
      <c r="F989" s="153">
        <v>850</v>
      </c>
      <c r="G989" s="164"/>
      <c r="H989" s="164">
        <v>850</v>
      </c>
      <c r="I989" s="58">
        <v>901</v>
      </c>
      <c r="K989" s="57"/>
    </row>
    <row r="990" spans="1:11" x14ac:dyDescent="0.25">
      <c r="A990" s="154">
        <v>40856</v>
      </c>
      <c r="B990" s="150" t="s">
        <v>865</v>
      </c>
      <c r="C990" s="57" t="s">
        <v>973</v>
      </c>
      <c r="D990" s="57" t="s">
        <v>25</v>
      </c>
      <c r="E990" s="153">
        <v>1</v>
      </c>
      <c r="F990" s="153">
        <v>850</v>
      </c>
      <c r="G990" s="164"/>
      <c r="H990" s="164">
        <v>850</v>
      </c>
      <c r="I990" s="58">
        <v>901</v>
      </c>
      <c r="K990" s="57"/>
    </row>
    <row r="991" spans="1:11" x14ac:dyDescent="0.25">
      <c r="A991" s="154">
        <v>40857</v>
      </c>
      <c r="B991" s="150" t="s">
        <v>865</v>
      </c>
      <c r="C991" s="57" t="s">
        <v>973</v>
      </c>
      <c r="D991" s="57" t="s">
        <v>25</v>
      </c>
      <c r="E991" s="153">
        <v>1</v>
      </c>
      <c r="F991" s="153">
        <v>850</v>
      </c>
      <c r="G991" s="164"/>
      <c r="H991" s="164">
        <v>850</v>
      </c>
      <c r="I991" s="58">
        <v>901</v>
      </c>
      <c r="K991" s="57"/>
    </row>
    <row r="992" spans="1:11" x14ac:dyDescent="0.25">
      <c r="A992" s="154">
        <v>40858</v>
      </c>
      <c r="B992" s="150" t="s">
        <v>865</v>
      </c>
      <c r="C992" s="57" t="s">
        <v>973</v>
      </c>
      <c r="D992" s="57" t="s">
        <v>25</v>
      </c>
      <c r="E992" s="153">
        <v>1</v>
      </c>
      <c r="F992" s="153">
        <v>850</v>
      </c>
      <c r="G992" s="164"/>
      <c r="H992" s="164">
        <v>850</v>
      </c>
      <c r="I992" s="58">
        <v>901</v>
      </c>
      <c r="K992" s="57"/>
    </row>
    <row r="993" spans="1:11" x14ac:dyDescent="0.25">
      <c r="A993" s="169" t="s">
        <v>682</v>
      </c>
      <c r="B993" s="170" t="s">
        <v>971</v>
      </c>
      <c r="C993" s="171" t="s">
        <v>682</v>
      </c>
      <c r="D993" s="171" t="s">
        <v>682</v>
      </c>
      <c r="E993" s="172"/>
      <c r="F993" s="172"/>
      <c r="G993" s="173"/>
      <c r="H993" s="173">
        <v>5950</v>
      </c>
      <c r="I993" s="174" t="s">
        <v>682</v>
      </c>
      <c r="K993" s="57"/>
    </row>
    <row r="994" spans="1:11" x14ac:dyDescent="0.25">
      <c r="A994" s="154" t="s">
        <v>682</v>
      </c>
      <c r="B994" s="150" t="s">
        <v>682</v>
      </c>
      <c r="C994" s="57" t="s">
        <v>682</v>
      </c>
      <c r="D994" s="57" t="s">
        <v>682</v>
      </c>
      <c r="E994" s="153"/>
      <c r="F994" s="153"/>
      <c r="G994" s="164"/>
      <c r="H994" s="164"/>
      <c r="I994" s="58" t="s">
        <v>682</v>
      </c>
      <c r="K994" s="57"/>
    </row>
    <row r="995" spans="1:11" x14ac:dyDescent="0.25">
      <c r="A995" s="166" t="s">
        <v>682</v>
      </c>
      <c r="B995" s="165" t="s">
        <v>972</v>
      </c>
      <c r="C995" s="60" t="s">
        <v>682</v>
      </c>
      <c r="D995" s="60" t="s">
        <v>682</v>
      </c>
      <c r="E995" s="167"/>
      <c r="F995" s="167"/>
      <c r="G995" s="168"/>
      <c r="H995" s="168"/>
      <c r="I995" s="46" t="s">
        <v>682</v>
      </c>
      <c r="K995" s="57"/>
    </row>
    <row r="996" spans="1:11" x14ac:dyDescent="0.25">
      <c r="A996" s="154">
        <v>40841</v>
      </c>
      <c r="B996" s="150" t="s">
        <v>19</v>
      </c>
      <c r="C996" s="57" t="s">
        <v>804</v>
      </c>
      <c r="D996" s="57" t="s">
        <v>26</v>
      </c>
      <c r="E996" s="153">
        <v>9</v>
      </c>
      <c r="F996" s="153">
        <v>57.7</v>
      </c>
      <c r="G996" s="164"/>
      <c r="H996" s="164">
        <v>519.29999999999995</v>
      </c>
      <c r="I996" s="58">
        <v>902</v>
      </c>
      <c r="K996" s="57"/>
    </row>
    <row r="997" spans="1:11" x14ac:dyDescent="0.25">
      <c r="A997" s="154">
        <v>40842</v>
      </c>
      <c r="B997" s="150" t="s">
        <v>19</v>
      </c>
      <c r="C997" s="57" t="s">
        <v>804</v>
      </c>
      <c r="D997" s="57" t="s">
        <v>26</v>
      </c>
      <c r="E997" s="153">
        <v>9.5</v>
      </c>
      <c r="F997" s="153">
        <v>57.7</v>
      </c>
      <c r="G997" s="164"/>
      <c r="H997" s="164">
        <v>548.15</v>
      </c>
      <c r="I997" s="58">
        <v>902</v>
      </c>
      <c r="K997" s="57"/>
    </row>
    <row r="998" spans="1:11" x14ac:dyDescent="0.25">
      <c r="A998" s="154">
        <v>40843</v>
      </c>
      <c r="B998" s="150" t="s">
        <v>19</v>
      </c>
      <c r="C998" s="57" t="s">
        <v>804</v>
      </c>
      <c r="D998" s="57" t="s">
        <v>26</v>
      </c>
      <c r="E998" s="153">
        <v>9.5</v>
      </c>
      <c r="F998" s="153">
        <v>57.7</v>
      </c>
      <c r="G998" s="164"/>
      <c r="H998" s="164">
        <v>548.15</v>
      </c>
      <c r="I998" s="58">
        <v>902</v>
      </c>
      <c r="K998" s="57"/>
    </row>
    <row r="999" spans="1:11" x14ac:dyDescent="0.25">
      <c r="A999" s="154">
        <v>40844</v>
      </c>
      <c r="B999" s="150" t="s">
        <v>19</v>
      </c>
      <c r="C999" s="57" t="s">
        <v>804</v>
      </c>
      <c r="D999" s="57" t="s">
        <v>26</v>
      </c>
      <c r="E999" s="153">
        <v>9.5</v>
      </c>
      <c r="F999" s="153">
        <v>57.7</v>
      </c>
      <c r="G999" s="164"/>
      <c r="H999" s="164">
        <v>548.15</v>
      </c>
      <c r="I999" s="58">
        <v>902</v>
      </c>
      <c r="K999" s="57"/>
    </row>
    <row r="1000" spans="1:11" x14ac:dyDescent="0.25">
      <c r="A1000" s="154">
        <v>40845</v>
      </c>
      <c r="B1000" s="150" t="s">
        <v>19</v>
      </c>
      <c r="C1000" s="57" t="s">
        <v>804</v>
      </c>
      <c r="D1000" s="57" t="s">
        <v>26</v>
      </c>
      <c r="E1000" s="153">
        <v>8</v>
      </c>
      <c r="F1000" s="153">
        <v>57.7</v>
      </c>
      <c r="G1000" s="164"/>
      <c r="H1000" s="164">
        <v>461.6</v>
      </c>
      <c r="I1000" s="58">
        <v>902</v>
      </c>
      <c r="K1000" s="57"/>
    </row>
    <row r="1001" spans="1:11" x14ac:dyDescent="0.25">
      <c r="A1001" s="154">
        <v>40846</v>
      </c>
      <c r="B1001" s="150" t="s">
        <v>19</v>
      </c>
      <c r="C1001" s="57" t="s">
        <v>804</v>
      </c>
      <c r="D1001" s="57" t="s">
        <v>26</v>
      </c>
      <c r="E1001" s="153">
        <v>9.5</v>
      </c>
      <c r="F1001" s="153">
        <v>57.7</v>
      </c>
      <c r="G1001" s="164"/>
      <c r="H1001" s="164">
        <v>548.15</v>
      </c>
      <c r="I1001" s="58">
        <v>902</v>
      </c>
      <c r="K1001" s="57"/>
    </row>
    <row r="1002" spans="1:11" x14ac:dyDescent="0.25">
      <c r="A1002" s="154">
        <v>40847</v>
      </c>
      <c r="B1002" s="150" t="s">
        <v>19</v>
      </c>
      <c r="C1002" s="57" t="s">
        <v>804</v>
      </c>
      <c r="D1002" s="57" t="s">
        <v>26</v>
      </c>
      <c r="E1002" s="153">
        <v>9.5</v>
      </c>
      <c r="F1002" s="153">
        <v>57.7</v>
      </c>
      <c r="G1002" s="164"/>
      <c r="H1002" s="164">
        <v>548.15</v>
      </c>
      <c r="I1002" s="58">
        <v>902</v>
      </c>
      <c r="K1002" s="57"/>
    </row>
    <row r="1003" spans="1:11" x14ac:dyDescent="0.25">
      <c r="A1003" s="154">
        <v>40848</v>
      </c>
      <c r="B1003" s="150" t="s">
        <v>19</v>
      </c>
      <c r="C1003" s="57" t="s">
        <v>804</v>
      </c>
      <c r="D1003" s="57" t="s">
        <v>26</v>
      </c>
      <c r="E1003" s="153">
        <v>9.5</v>
      </c>
      <c r="F1003" s="153">
        <v>57.7</v>
      </c>
      <c r="G1003" s="164"/>
      <c r="H1003" s="164">
        <v>548.15</v>
      </c>
      <c r="I1003" s="58">
        <v>902</v>
      </c>
      <c r="K1003" s="57"/>
    </row>
    <row r="1004" spans="1:11" x14ac:dyDescent="0.25">
      <c r="A1004" s="154">
        <v>40849</v>
      </c>
      <c r="B1004" s="150" t="s">
        <v>19</v>
      </c>
      <c r="C1004" s="57" t="s">
        <v>804</v>
      </c>
      <c r="D1004" s="57" t="s">
        <v>26</v>
      </c>
      <c r="E1004" s="153">
        <v>9.5</v>
      </c>
      <c r="F1004" s="153">
        <v>57.7</v>
      </c>
      <c r="G1004" s="164"/>
      <c r="H1004" s="164">
        <v>548.15</v>
      </c>
      <c r="I1004" s="58">
        <v>902</v>
      </c>
      <c r="K1004" s="57"/>
    </row>
    <row r="1005" spans="1:11" x14ac:dyDescent="0.25">
      <c r="A1005" s="154">
        <v>40850</v>
      </c>
      <c r="B1005" s="150" t="s">
        <v>19</v>
      </c>
      <c r="C1005" s="57" t="s">
        <v>804</v>
      </c>
      <c r="D1005" s="57" t="s">
        <v>26</v>
      </c>
      <c r="E1005" s="153">
        <v>9.5</v>
      </c>
      <c r="F1005" s="153">
        <v>57.7</v>
      </c>
      <c r="G1005" s="164"/>
      <c r="H1005" s="164">
        <v>548.15</v>
      </c>
      <c r="I1005" s="58">
        <v>902</v>
      </c>
      <c r="K1005" s="57"/>
    </row>
    <row r="1006" spans="1:11" x14ac:dyDescent="0.25">
      <c r="A1006" s="154">
        <v>40855</v>
      </c>
      <c r="B1006" s="150" t="s">
        <v>19</v>
      </c>
      <c r="C1006" s="57" t="s">
        <v>804</v>
      </c>
      <c r="D1006" s="57" t="s">
        <v>26</v>
      </c>
      <c r="E1006" s="153">
        <v>9.5</v>
      </c>
      <c r="F1006" s="153">
        <v>57.7</v>
      </c>
      <c r="G1006" s="164"/>
      <c r="H1006" s="164">
        <v>548.15</v>
      </c>
      <c r="I1006" s="58">
        <v>902</v>
      </c>
      <c r="K1006" s="57"/>
    </row>
    <row r="1007" spans="1:11" x14ac:dyDescent="0.25">
      <c r="A1007" s="154">
        <v>40855</v>
      </c>
      <c r="B1007" s="150" t="s">
        <v>804</v>
      </c>
      <c r="C1007" s="57" t="s">
        <v>8</v>
      </c>
      <c r="D1007" s="57" t="s">
        <v>26</v>
      </c>
      <c r="E1007" s="153">
        <v>10</v>
      </c>
      <c r="F1007" s="153">
        <v>57.7</v>
      </c>
      <c r="G1007" s="164"/>
      <c r="H1007" s="164">
        <v>577</v>
      </c>
      <c r="I1007" s="58">
        <v>902</v>
      </c>
      <c r="K1007" s="57"/>
    </row>
    <row r="1008" spans="1:11" x14ac:dyDescent="0.25">
      <c r="A1008" s="154">
        <v>40856</v>
      </c>
      <c r="B1008" s="150" t="s">
        <v>804</v>
      </c>
      <c r="C1008" s="57" t="s">
        <v>8</v>
      </c>
      <c r="D1008" s="57" t="s">
        <v>26</v>
      </c>
      <c r="E1008" s="153">
        <v>9.5</v>
      </c>
      <c r="F1008" s="153">
        <v>57.7</v>
      </c>
      <c r="G1008" s="164"/>
      <c r="H1008" s="164">
        <v>548.15</v>
      </c>
      <c r="I1008" s="58">
        <v>902</v>
      </c>
      <c r="K1008" s="57"/>
    </row>
    <row r="1009" spans="1:11" x14ac:dyDescent="0.25">
      <c r="A1009" s="154">
        <v>40856</v>
      </c>
      <c r="B1009" s="150" t="s">
        <v>19</v>
      </c>
      <c r="C1009" s="57" t="s">
        <v>804</v>
      </c>
      <c r="D1009" s="57" t="s">
        <v>26</v>
      </c>
      <c r="E1009" s="153">
        <v>9.5</v>
      </c>
      <c r="F1009" s="153">
        <v>57.7</v>
      </c>
      <c r="G1009" s="164"/>
      <c r="H1009" s="164">
        <v>548.15</v>
      </c>
      <c r="I1009" s="58">
        <v>902</v>
      </c>
      <c r="K1009" s="57"/>
    </row>
    <row r="1010" spans="1:11" x14ac:dyDescent="0.25">
      <c r="A1010" s="154">
        <v>40857</v>
      </c>
      <c r="B1010" s="150" t="s">
        <v>804</v>
      </c>
      <c r="C1010" s="57" t="s">
        <v>8</v>
      </c>
      <c r="D1010" s="57" t="s">
        <v>26</v>
      </c>
      <c r="E1010" s="153">
        <v>9.5</v>
      </c>
      <c r="F1010" s="153">
        <v>57.7</v>
      </c>
      <c r="G1010" s="164"/>
      <c r="H1010" s="164">
        <v>548.15</v>
      </c>
      <c r="I1010" s="58">
        <v>902</v>
      </c>
      <c r="K1010" s="57"/>
    </row>
    <row r="1011" spans="1:11" x14ac:dyDescent="0.25">
      <c r="A1011" s="154">
        <v>40857</v>
      </c>
      <c r="B1011" s="150" t="s">
        <v>19</v>
      </c>
      <c r="C1011" s="57" t="s">
        <v>804</v>
      </c>
      <c r="D1011" s="57" t="s">
        <v>26</v>
      </c>
      <c r="E1011" s="153">
        <v>9.5</v>
      </c>
      <c r="F1011" s="153">
        <v>57.7</v>
      </c>
      <c r="G1011" s="164"/>
      <c r="H1011" s="164">
        <v>548.15</v>
      </c>
      <c r="I1011" s="58">
        <v>902</v>
      </c>
      <c r="K1011" s="57"/>
    </row>
    <row r="1012" spans="1:11" x14ac:dyDescent="0.25">
      <c r="A1012" s="154">
        <v>40858</v>
      </c>
      <c r="B1012" s="150" t="s">
        <v>804</v>
      </c>
      <c r="C1012" s="57" t="s">
        <v>8</v>
      </c>
      <c r="D1012" s="57" t="s">
        <v>26</v>
      </c>
      <c r="E1012" s="153">
        <v>9.5</v>
      </c>
      <c r="F1012" s="153">
        <v>44.2</v>
      </c>
      <c r="G1012" s="164"/>
      <c r="H1012" s="164">
        <v>419.9</v>
      </c>
      <c r="I1012" s="58">
        <v>902</v>
      </c>
      <c r="K1012" s="57"/>
    </row>
    <row r="1013" spans="1:11" x14ac:dyDescent="0.25">
      <c r="A1013" s="154">
        <v>40858</v>
      </c>
      <c r="B1013" s="150" t="s">
        <v>19</v>
      </c>
      <c r="C1013" s="57" t="s">
        <v>804</v>
      </c>
      <c r="D1013" s="57" t="s">
        <v>26</v>
      </c>
      <c r="E1013" s="153">
        <v>9.5</v>
      </c>
      <c r="F1013" s="153">
        <v>57.7</v>
      </c>
      <c r="G1013" s="164"/>
      <c r="H1013" s="164">
        <v>548.15</v>
      </c>
      <c r="I1013" s="58">
        <v>902</v>
      </c>
      <c r="K1013" s="57"/>
    </row>
    <row r="1014" spans="1:11" x14ac:dyDescent="0.25">
      <c r="A1014" s="154">
        <v>40859</v>
      </c>
      <c r="B1014" s="150" t="s">
        <v>804</v>
      </c>
      <c r="C1014" s="57" t="s">
        <v>8</v>
      </c>
      <c r="D1014" s="57" t="s">
        <v>26</v>
      </c>
      <c r="E1014" s="153">
        <v>7.5</v>
      </c>
      <c r="F1014" s="153">
        <v>57.7</v>
      </c>
      <c r="G1014" s="164"/>
      <c r="H1014" s="164">
        <v>432.75</v>
      </c>
      <c r="I1014" s="58">
        <v>902</v>
      </c>
      <c r="K1014" s="57"/>
    </row>
    <row r="1015" spans="1:11" x14ac:dyDescent="0.25">
      <c r="A1015" s="154">
        <v>40859</v>
      </c>
      <c r="B1015" s="150" t="s">
        <v>865</v>
      </c>
      <c r="C1015" s="57" t="s">
        <v>973</v>
      </c>
      <c r="D1015" s="57" t="s">
        <v>25</v>
      </c>
      <c r="E1015" s="153">
        <v>1</v>
      </c>
      <c r="F1015" s="153">
        <v>850</v>
      </c>
      <c r="G1015" s="164"/>
      <c r="H1015" s="164">
        <v>850</v>
      </c>
      <c r="I1015" s="58">
        <v>902</v>
      </c>
      <c r="K1015" s="57"/>
    </row>
    <row r="1016" spans="1:11" x14ac:dyDescent="0.25">
      <c r="A1016" s="154">
        <v>40860</v>
      </c>
      <c r="B1016" s="150" t="s">
        <v>865</v>
      </c>
      <c r="C1016" s="57" t="s">
        <v>973</v>
      </c>
      <c r="D1016" s="57" t="s">
        <v>25</v>
      </c>
      <c r="E1016" s="153">
        <v>1</v>
      </c>
      <c r="F1016" s="153">
        <v>850</v>
      </c>
      <c r="G1016" s="164"/>
      <c r="H1016" s="164">
        <v>850</v>
      </c>
      <c r="I1016" s="58">
        <v>902</v>
      </c>
      <c r="K1016" s="57"/>
    </row>
    <row r="1017" spans="1:11" x14ac:dyDescent="0.25">
      <c r="A1017" s="154">
        <v>40860</v>
      </c>
      <c r="B1017" s="150" t="s">
        <v>804</v>
      </c>
      <c r="C1017" s="57" t="s">
        <v>8</v>
      </c>
      <c r="D1017" s="57" t="s">
        <v>26</v>
      </c>
      <c r="E1017" s="153">
        <v>9</v>
      </c>
      <c r="F1017" s="153">
        <v>57.7</v>
      </c>
      <c r="G1017" s="164"/>
      <c r="H1017" s="164">
        <v>519.29999999999995</v>
      </c>
      <c r="I1017" s="58">
        <v>902</v>
      </c>
      <c r="K1017" s="57"/>
    </row>
    <row r="1018" spans="1:11" x14ac:dyDescent="0.25">
      <c r="A1018" s="154">
        <v>40861</v>
      </c>
      <c r="B1018" s="150" t="s">
        <v>865</v>
      </c>
      <c r="C1018" s="57" t="s">
        <v>973</v>
      </c>
      <c r="D1018" s="57" t="s">
        <v>25</v>
      </c>
      <c r="E1018" s="153">
        <v>1</v>
      </c>
      <c r="F1018" s="153">
        <v>850</v>
      </c>
      <c r="G1018" s="164"/>
      <c r="H1018" s="164">
        <v>850</v>
      </c>
      <c r="I1018" s="58">
        <v>902</v>
      </c>
      <c r="K1018" s="57"/>
    </row>
    <row r="1019" spans="1:11" x14ac:dyDescent="0.25">
      <c r="A1019" s="154">
        <v>40861</v>
      </c>
      <c r="B1019" s="150" t="s">
        <v>804</v>
      </c>
      <c r="C1019" s="57" t="s">
        <v>8</v>
      </c>
      <c r="D1019" s="57" t="s">
        <v>26</v>
      </c>
      <c r="E1019" s="153">
        <v>9</v>
      </c>
      <c r="F1019" s="153">
        <v>57.7</v>
      </c>
      <c r="G1019" s="164"/>
      <c r="H1019" s="164">
        <v>519.29999999999995</v>
      </c>
      <c r="I1019" s="58">
        <v>902</v>
      </c>
      <c r="K1019" s="57"/>
    </row>
    <row r="1020" spans="1:11" x14ac:dyDescent="0.25">
      <c r="A1020" s="154">
        <v>40862</v>
      </c>
      <c r="B1020" s="150" t="s">
        <v>865</v>
      </c>
      <c r="C1020" s="57" t="s">
        <v>973</v>
      </c>
      <c r="D1020" s="57" t="s">
        <v>25</v>
      </c>
      <c r="E1020" s="153">
        <v>1</v>
      </c>
      <c r="F1020" s="153">
        <v>850</v>
      </c>
      <c r="G1020" s="164"/>
      <c r="H1020" s="164">
        <v>850</v>
      </c>
      <c r="I1020" s="58">
        <v>902</v>
      </c>
      <c r="K1020" s="57"/>
    </row>
    <row r="1021" spans="1:11" x14ac:dyDescent="0.25">
      <c r="A1021" s="154">
        <v>40862</v>
      </c>
      <c r="B1021" s="150" t="s">
        <v>804</v>
      </c>
      <c r="C1021" s="57" t="s">
        <v>8</v>
      </c>
      <c r="D1021" s="57" t="s">
        <v>26</v>
      </c>
      <c r="E1021" s="153">
        <v>11</v>
      </c>
      <c r="F1021" s="153">
        <v>57.7</v>
      </c>
      <c r="G1021" s="164"/>
      <c r="H1021" s="164">
        <v>634.70000000000005</v>
      </c>
      <c r="I1021" s="58">
        <v>902</v>
      </c>
      <c r="K1021" s="57"/>
    </row>
    <row r="1022" spans="1:11" x14ac:dyDescent="0.25">
      <c r="A1022" s="154">
        <v>40863</v>
      </c>
      <c r="B1022" s="150" t="s">
        <v>865</v>
      </c>
      <c r="C1022" s="57" t="s">
        <v>973</v>
      </c>
      <c r="D1022" s="57" t="s">
        <v>25</v>
      </c>
      <c r="E1022" s="153">
        <v>1</v>
      </c>
      <c r="F1022" s="153">
        <v>850</v>
      </c>
      <c r="G1022" s="164"/>
      <c r="H1022" s="164">
        <v>850</v>
      </c>
      <c r="I1022" s="58">
        <v>902</v>
      </c>
      <c r="K1022" s="57"/>
    </row>
    <row r="1023" spans="1:11" x14ac:dyDescent="0.25">
      <c r="A1023" s="154">
        <v>40863</v>
      </c>
      <c r="B1023" s="150" t="s">
        <v>804</v>
      </c>
      <c r="C1023" s="57" t="s">
        <v>8</v>
      </c>
      <c r="D1023" s="57" t="s">
        <v>26</v>
      </c>
      <c r="E1023" s="153">
        <v>11</v>
      </c>
      <c r="F1023" s="153">
        <v>57.7</v>
      </c>
      <c r="G1023" s="164"/>
      <c r="H1023" s="164">
        <v>634.70000000000005</v>
      </c>
      <c r="I1023" s="58">
        <v>902</v>
      </c>
      <c r="K1023" s="57"/>
    </row>
    <row r="1024" spans="1:11" x14ac:dyDescent="0.25">
      <c r="A1024" s="154">
        <v>40864</v>
      </c>
      <c r="B1024" s="150" t="s">
        <v>804</v>
      </c>
      <c r="C1024" s="57" t="s">
        <v>8</v>
      </c>
      <c r="D1024" s="57" t="s">
        <v>26</v>
      </c>
      <c r="E1024" s="153">
        <v>9</v>
      </c>
      <c r="F1024" s="153">
        <v>57.7</v>
      </c>
      <c r="G1024" s="164"/>
      <c r="H1024" s="164">
        <v>519.29999999999995</v>
      </c>
      <c r="I1024" s="58">
        <v>902</v>
      </c>
      <c r="K1024" s="57"/>
    </row>
    <row r="1025" spans="1:11" x14ac:dyDescent="0.25">
      <c r="A1025" s="154">
        <v>40864</v>
      </c>
      <c r="B1025" s="150" t="s">
        <v>865</v>
      </c>
      <c r="C1025" s="57" t="s">
        <v>973</v>
      </c>
      <c r="D1025" s="57" t="s">
        <v>25</v>
      </c>
      <c r="E1025" s="153">
        <v>1</v>
      </c>
      <c r="F1025" s="153">
        <v>850</v>
      </c>
      <c r="G1025" s="164"/>
      <c r="H1025" s="164">
        <v>850</v>
      </c>
      <c r="I1025" s="58">
        <v>902</v>
      </c>
      <c r="K1025" s="57"/>
    </row>
    <row r="1026" spans="1:11" x14ac:dyDescent="0.25">
      <c r="A1026" s="154">
        <v>40869</v>
      </c>
      <c r="B1026" s="150" t="s">
        <v>782</v>
      </c>
      <c r="C1026" s="57" t="s">
        <v>8</v>
      </c>
      <c r="D1026" s="57" t="s">
        <v>26</v>
      </c>
      <c r="E1026" s="153">
        <v>9.5</v>
      </c>
      <c r="F1026" s="153">
        <v>35.35</v>
      </c>
      <c r="G1026" s="164"/>
      <c r="H1026" s="164">
        <v>335.82499999999999</v>
      </c>
      <c r="I1026" s="58">
        <v>902</v>
      </c>
      <c r="K1026" s="57"/>
    </row>
    <row r="1027" spans="1:11" x14ac:dyDescent="0.25">
      <c r="A1027" s="154">
        <v>40869</v>
      </c>
      <c r="B1027" s="150" t="s">
        <v>804</v>
      </c>
      <c r="C1027" s="57" t="s">
        <v>8</v>
      </c>
      <c r="D1027" s="57" t="s">
        <v>26</v>
      </c>
      <c r="E1027" s="153">
        <v>10</v>
      </c>
      <c r="F1027" s="153">
        <v>57.7</v>
      </c>
      <c r="G1027" s="164"/>
      <c r="H1027" s="164">
        <v>577</v>
      </c>
      <c r="I1027" s="58">
        <v>902</v>
      </c>
      <c r="K1027" s="57"/>
    </row>
    <row r="1028" spans="1:11" x14ac:dyDescent="0.25">
      <c r="A1028" s="154">
        <v>40869</v>
      </c>
      <c r="B1028" s="150" t="s">
        <v>865</v>
      </c>
      <c r="C1028" s="57" t="s">
        <v>973</v>
      </c>
      <c r="D1028" s="57" t="s">
        <v>25</v>
      </c>
      <c r="E1028" s="153">
        <v>1</v>
      </c>
      <c r="F1028" s="153">
        <v>850</v>
      </c>
      <c r="G1028" s="164"/>
      <c r="H1028" s="164">
        <v>850</v>
      </c>
      <c r="I1028" s="58">
        <v>902</v>
      </c>
      <c r="K1028" s="57"/>
    </row>
    <row r="1029" spans="1:11" x14ac:dyDescent="0.25">
      <c r="A1029" s="154">
        <v>40870</v>
      </c>
      <c r="B1029" s="150" t="s">
        <v>865</v>
      </c>
      <c r="C1029" s="57" t="s">
        <v>973</v>
      </c>
      <c r="D1029" s="57" t="s">
        <v>25</v>
      </c>
      <c r="E1029" s="153">
        <v>1</v>
      </c>
      <c r="F1029" s="153">
        <v>850</v>
      </c>
      <c r="G1029" s="164"/>
      <c r="H1029" s="164">
        <v>850</v>
      </c>
      <c r="I1029" s="58">
        <v>902</v>
      </c>
      <c r="K1029" s="57"/>
    </row>
    <row r="1030" spans="1:11" x14ac:dyDescent="0.25">
      <c r="A1030" s="154">
        <v>40871</v>
      </c>
      <c r="B1030" s="150" t="s">
        <v>865</v>
      </c>
      <c r="C1030" s="57" t="s">
        <v>973</v>
      </c>
      <c r="D1030" s="57" t="s">
        <v>25</v>
      </c>
      <c r="E1030" s="153">
        <v>1</v>
      </c>
      <c r="F1030" s="153">
        <v>850</v>
      </c>
      <c r="G1030" s="164"/>
      <c r="H1030" s="164">
        <v>850</v>
      </c>
      <c r="I1030" s="58">
        <v>902</v>
      </c>
      <c r="K1030" s="57"/>
    </row>
    <row r="1031" spans="1:11" x14ac:dyDescent="0.25">
      <c r="A1031" s="154">
        <v>40872</v>
      </c>
      <c r="B1031" s="150" t="s">
        <v>865</v>
      </c>
      <c r="C1031" s="57" t="s">
        <v>973</v>
      </c>
      <c r="D1031" s="57" t="s">
        <v>25</v>
      </c>
      <c r="E1031" s="153">
        <v>1</v>
      </c>
      <c r="F1031" s="153">
        <v>850</v>
      </c>
      <c r="G1031" s="164"/>
      <c r="H1031" s="164">
        <v>850</v>
      </c>
      <c r="I1031" s="58">
        <v>902</v>
      </c>
      <c r="K1031" s="57"/>
    </row>
    <row r="1032" spans="1:11" x14ac:dyDescent="0.25">
      <c r="A1032" s="154">
        <v>40873</v>
      </c>
      <c r="B1032" s="150" t="s">
        <v>865</v>
      </c>
      <c r="C1032" s="57" t="s">
        <v>973</v>
      </c>
      <c r="D1032" s="57" t="s">
        <v>25</v>
      </c>
      <c r="E1032" s="153">
        <v>1</v>
      </c>
      <c r="F1032" s="153">
        <v>850</v>
      </c>
      <c r="G1032" s="164"/>
      <c r="H1032" s="164">
        <v>850</v>
      </c>
      <c r="I1032" s="58">
        <v>902</v>
      </c>
      <c r="K1032" s="57"/>
    </row>
    <row r="1033" spans="1:11" x14ac:dyDescent="0.25">
      <c r="A1033" s="154">
        <v>40874</v>
      </c>
      <c r="B1033" s="150" t="s">
        <v>865</v>
      </c>
      <c r="C1033" s="57" t="s">
        <v>973</v>
      </c>
      <c r="D1033" s="57" t="s">
        <v>25</v>
      </c>
      <c r="E1033" s="153">
        <v>1</v>
      </c>
      <c r="F1033" s="153">
        <v>850</v>
      </c>
      <c r="G1033" s="164"/>
      <c r="H1033" s="164">
        <v>850</v>
      </c>
      <c r="I1033" s="58">
        <v>902</v>
      </c>
      <c r="K1033" s="57"/>
    </row>
    <row r="1034" spans="1:11" x14ac:dyDescent="0.25">
      <c r="A1034" s="154">
        <v>40875</v>
      </c>
      <c r="B1034" s="150" t="s">
        <v>865</v>
      </c>
      <c r="C1034" s="57" t="s">
        <v>973</v>
      </c>
      <c r="D1034" s="57" t="s">
        <v>25</v>
      </c>
      <c r="E1034" s="153">
        <v>1</v>
      </c>
      <c r="F1034" s="153">
        <v>850</v>
      </c>
      <c r="G1034" s="164"/>
      <c r="H1034" s="164">
        <v>850</v>
      </c>
      <c r="I1034" s="58">
        <v>902</v>
      </c>
      <c r="K1034" s="57"/>
    </row>
    <row r="1035" spans="1:11" x14ac:dyDescent="0.25">
      <c r="A1035" s="154">
        <v>40876</v>
      </c>
      <c r="B1035" s="150" t="s">
        <v>865</v>
      </c>
      <c r="C1035" s="57" t="s">
        <v>973</v>
      </c>
      <c r="D1035" s="57" t="s">
        <v>25</v>
      </c>
      <c r="E1035" s="153">
        <v>1</v>
      </c>
      <c r="F1035" s="153">
        <v>850</v>
      </c>
      <c r="G1035" s="164"/>
      <c r="H1035" s="164">
        <v>850</v>
      </c>
      <c r="I1035" s="58">
        <v>902</v>
      </c>
      <c r="K1035" s="57"/>
    </row>
    <row r="1036" spans="1:11" x14ac:dyDescent="0.25">
      <c r="A1036" s="154">
        <v>40877</v>
      </c>
      <c r="B1036" s="150" t="s">
        <v>865</v>
      </c>
      <c r="C1036" s="57" t="s">
        <v>973</v>
      </c>
      <c r="D1036" s="57" t="s">
        <v>25</v>
      </c>
      <c r="E1036" s="153">
        <v>1</v>
      </c>
      <c r="F1036" s="153">
        <v>850</v>
      </c>
      <c r="G1036" s="164"/>
      <c r="H1036" s="164">
        <v>850</v>
      </c>
      <c r="I1036" s="58">
        <v>902</v>
      </c>
      <c r="K1036" s="57"/>
    </row>
    <row r="1037" spans="1:11" x14ac:dyDescent="0.25">
      <c r="A1037" s="154">
        <v>40878</v>
      </c>
      <c r="B1037" s="150" t="s">
        <v>865</v>
      </c>
      <c r="C1037" s="57" t="s">
        <v>973</v>
      </c>
      <c r="D1037" s="57" t="s">
        <v>25</v>
      </c>
      <c r="E1037" s="153">
        <v>1</v>
      </c>
      <c r="F1037" s="153">
        <v>850</v>
      </c>
      <c r="G1037" s="164"/>
      <c r="H1037" s="164">
        <v>850</v>
      </c>
      <c r="I1037" s="58">
        <v>902</v>
      </c>
      <c r="K1037" s="57"/>
    </row>
    <row r="1038" spans="1:11" x14ac:dyDescent="0.25">
      <c r="A1038" s="154">
        <v>40883</v>
      </c>
      <c r="B1038" s="150" t="s">
        <v>865</v>
      </c>
      <c r="C1038" s="57" t="s">
        <v>973</v>
      </c>
      <c r="D1038" s="57" t="s">
        <v>25</v>
      </c>
      <c r="E1038" s="153">
        <v>1</v>
      </c>
      <c r="F1038" s="153">
        <v>850</v>
      </c>
      <c r="G1038" s="164"/>
      <c r="H1038" s="164">
        <v>850</v>
      </c>
      <c r="I1038" s="58">
        <v>902</v>
      </c>
      <c r="K1038" s="57"/>
    </row>
    <row r="1039" spans="1:11" x14ac:dyDescent="0.25">
      <c r="A1039" s="154">
        <v>40884</v>
      </c>
      <c r="B1039" s="150" t="s">
        <v>865</v>
      </c>
      <c r="C1039" s="57" t="s">
        <v>973</v>
      </c>
      <c r="D1039" s="57" t="s">
        <v>25</v>
      </c>
      <c r="E1039" s="153">
        <v>1</v>
      </c>
      <c r="F1039" s="153">
        <v>850</v>
      </c>
      <c r="G1039" s="164"/>
      <c r="H1039" s="164">
        <v>850</v>
      </c>
      <c r="I1039" s="58">
        <v>902</v>
      </c>
      <c r="K1039" s="57"/>
    </row>
    <row r="1040" spans="1:11" x14ac:dyDescent="0.25">
      <c r="A1040" s="154">
        <v>40885</v>
      </c>
      <c r="B1040" s="150" t="s">
        <v>865</v>
      </c>
      <c r="C1040" s="57" t="s">
        <v>973</v>
      </c>
      <c r="D1040" s="57" t="s">
        <v>25</v>
      </c>
      <c r="E1040" s="153">
        <v>1</v>
      </c>
      <c r="F1040" s="153">
        <v>850</v>
      </c>
      <c r="G1040" s="164"/>
      <c r="H1040" s="164">
        <v>850</v>
      </c>
      <c r="I1040" s="58">
        <v>902</v>
      </c>
      <c r="K1040" s="57"/>
    </row>
    <row r="1041" spans="1:11" x14ac:dyDescent="0.25">
      <c r="A1041" s="154">
        <v>40886</v>
      </c>
      <c r="B1041" s="150" t="s">
        <v>865</v>
      </c>
      <c r="C1041" s="57" t="s">
        <v>973</v>
      </c>
      <c r="D1041" s="57" t="s">
        <v>25</v>
      </c>
      <c r="E1041" s="153">
        <v>1</v>
      </c>
      <c r="F1041" s="153">
        <v>850</v>
      </c>
      <c r="G1041" s="164"/>
      <c r="H1041" s="164">
        <v>850</v>
      </c>
      <c r="I1041" s="58">
        <v>902</v>
      </c>
      <c r="K1041" s="57"/>
    </row>
    <row r="1042" spans="1:11" x14ac:dyDescent="0.25">
      <c r="A1042" s="154">
        <v>40887</v>
      </c>
      <c r="B1042" s="150" t="s">
        <v>865</v>
      </c>
      <c r="C1042" s="57" t="s">
        <v>973</v>
      </c>
      <c r="D1042" s="57" t="s">
        <v>25</v>
      </c>
      <c r="E1042" s="153">
        <v>1</v>
      </c>
      <c r="F1042" s="153">
        <v>850</v>
      </c>
      <c r="G1042" s="164"/>
      <c r="H1042" s="164">
        <v>850</v>
      </c>
      <c r="I1042" s="58">
        <v>902</v>
      </c>
      <c r="K1042" s="57"/>
    </row>
    <row r="1043" spans="1:11" x14ac:dyDescent="0.25">
      <c r="A1043" s="154">
        <v>40888</v>
      </c>
      <c r="B1043" s="150" t="s">
        <v>865</v>
      </c>
      <c r="C1043" s="57" t="s">
        <v>973</v>
      </c>
      <c r="D1043" s="57" t="s">
        <v>25</v>
      </c>
      <c r="E1043" s="153">
        <v>1</v>
      </c>
      <c r="F1043" s="153">
        <v>850</v>
      </c>
      <c r="G1043" s="164"/>
      <c r="H1043" s="164">
        <v>850</v>
      </c>
      <c r="I1043" s="58">
        <v>902</v>
      </c>
      <c r="K1043" s="57"/>
    </row>
    <row r="1044" spans="1:11" x14ac:dyDescent="0.25">
      <c r="A1044" s="154">
        <v>40889</v>
      </c>
      <c r="B1044" s="150" t="s">
        <v>865</v>
      </c>
      <c r="C1044" s="57" t="s">
        <v>973</v>
      </c>
      <c r="D1044" s="57" t="s">
        <v>25</v>
      </c>
      <c r="E1044" s="153">
        <v>1</v>
      </c>
      <c r="F1044" s="153">
        <v>850</v>
      </c>
      <c r="G1044" s="164"/>
      <c r="H1044" s="164">
        <v>850</v>
      </c>
      <c r="I1044" s="58">
        <v>902</v>
      </c>
      <c r="K1044" s="57"/>
    </row>
    <row r="1045" spans="1:11" x14ac:dyDescent="0.25">
      <c r="A1045" s="154">
        <v>40890</v>
      </c>
      <c r="B1045" s="150" t="s">
        <v>865</v>
      </c>
      <c r="C1045" s="57" t="s">
        <v>973</v>
      </c>
      <c r="D1045" s="57" t="s">
        <v>25</v>
      </c>
      <c r="E1045" s="153">
        <v>1</v>
      </c>
      <c r="F1045" s="153">
        <v>850</v>
      </c>
      <c r="G1045" s="164"/>
      <c r="H1045" s="164">
        <v>850</v>
      </c>
      <c r="I1045" s="58">
        <v>902</v>
      </c>
      <c r="K1045" s="57"/>
    </row>
    <row r="1046" spans="1:11" x14ac:dyDescent="0.25">
      <c r="A1046" s="154">
        <v>40894</v>
      </c>
      <c r="B1046" s="150" t="s">
        <v>865</v>
      </c>
      <c r="C1046" s="57" t="s">
        <v>973</v>
      </c>
      <c r="D1046" s="57" t="s">
        <v>25</v>
      </c>
      <c r="E1046" s="153">
        <v>1</v>
      </c>
      <c r="F1046" s="153">
        <v>850</v>
      </c>
      <c r="G1046" s="164"/>
      <c r="H1046" s="164">
        <v>850</v>
      </c>
      <c r="I1046" s="58">
        <v>902</v>
      </c>
      <c r="K1046" s="57"/>
    </row>
    <row r="1047" spans="1:11" x14ac:dyDescent="0.25">
      <c r="A1047" s="154">
        <v>40919</v>
      </c>
      <c r="B1047" s="150" t="s">
        <v>865</v>
      </c>
      <c r="C1047" s="57" t="s">
        <v>973</v>
      </c>
      <c r="D1047" s="57" t="s">
        <v>25</v>
      </c>
      <c r="E1047" s="153">
        <v>1</v>
      </c>
      <c r="F1047" s="153">
        <v>850</v>
      </c>
      <c r="G1047" s="164"/>
      <c r="H1047" s="164">
        <v>850</v>
      </c>
      <c r="I1047" s="58">
        <v>902</v>
      </c>
      <c r="K1047" s="57"/>
    </row>
    <row r="1048" spans="1:11" x14ac:dyDescent="0.25">
      <c r="A1048" s="154">
        <v>40920</v>
      </c>
      <c r="B1048" s="150" t="s">
        <v>865</v>
      </c>
      <c r="C1048" s="57" t="s">
        <v>973</v>
      </c>
      <c r="D1048" s="57" t="s">
        <v>25</v>
      </c>
      <c r="E1048" s="153">
        <v>1</v>
      </c>
      <c r="F1048" s="153">
        <v>850</v>
      </c>
      <c r="G1048" s="164"/>
      <c r="H1048" s="164">
        <v>850</v>
      </c>
      <c r="I1048" s="58">
        <v>902</v>
      </c>
      <c r="K1048" s="57"/>
    </row>
    <row r="1049" spans="1:11" x14ac:dyDescent="0.25">
      <c r="A1049" s="154">
        <v>40921</v>
      </c>
      <c r="B1049" s="150" t="s">
        <v>865</v>
      </c>
      <c r="C1049" s="57" t="s">
        <v>973</v>
      </c>
      <c r="D1049" s="57" t="s">
        <v>25</v>
      </c>
      <c r="E1049" s="153">
        <v>1</v>
      </c>
      <c r="F1049" s="153">
        <v>850</v>
      </c>
      <c r="G1049" s="164"/>
      <c r="H1049" s="164">
        <v>850</v>
      </c>
      <c r="I1049" s="58">
        <v>902</v>
      </c>
      <c r="K1049" s="57"/>
    </row>
    <row r="1050" spans="1:11" x14ac:dyDescent="0.25">
      <c r="A1050" s="154">
        <v>40924</v>
      </c>
      <c r="B1050" s="150" t="s">
        <v>865</v>
      </c>
      <c r="C1050" s="57" t="s">
        <v>973</v>
      </c>
      <c r="D1050" s="57" t="s">
        <v>25</v>
      </c>
      <c r="E1050" s="153">
        <v>1</v>
      </c>
      <c r="F1050" s="153">
        <v>850</v>
      </c>
      <c r="G1050" s="164"/>
      <c r="H1050" s="164">
        <v>850</v>
      </c>
      <c r="I1050" s="58">
        <v>902</v>
      </c>
      <c r="K1050" s="57"/>
    </row>
    <row r="1051" spans="1:11" x14ac:dyDescent="0.25">
      <c r="A1051" s="154">
        <v>40925</v>
      </c>
      <c r="B1051" s="150" t="s">
        <v>865</v>
      </c>
      <c r="C1051" s="57" t="s">
        <v>973</v>
      </c>
      <c r="D1051" s="57" t="s">
        <v>25</v>
      </c>
      <c r="E1051" s="153">
        <v>1</v>
      </c>
      <c r="F1051" s="153">
        <v>850</v>
      </c>
      <c r="G1051" s="164"/>
      <c r="H1051" s="164">
        <v>850</v>
      </c>
      <c r="I1051" s="58">
        <v>902</v>
      </c>
      <c r="K1051" s="57"/>
    </row>
    <row r="1052" spans="1:11" x14ac:dyDescent="0.25">
      <c r="A1052" s="154">
        <v>40925</v>
      </c>
      <c r="B1052" s="150" t="s">
        <v>782</v>
      </c>
      <c r="C1052" s="57" t="s">
        <v>8</v>
      </c>
      <c r="D1052" s="57" t="s">
        <v>26</v>
      </c>
      <c r="E1052" s="153">
        <v>11</v>
      </c>
      <c r="F1052" s="153">
        <v>74.650000000000006</v>
      </c>
      <c r="G1052" s="164"/>
      <c r="H1052" s="164">
        <v>821.15</v>
      </c>
      <c r="I1052" s="58">
        <v>902</v>
      </c>
      <c r="K1052" s="57"/>
    </row>
    <row r="1053" spans="1:11" x14ac:dyDescent="0.25">
      <c r="A1053" s="154">
        <v>40926</v>
      </c>
      <c r="B1053" s="150" t="s">
        <v>865</v>
      </c>
      <c r="C1053" s="57" t="s">
        <v>973</v>
      </c>
      <c r="D1053" s="57" t="s">
        <v>25</v>
      </c>
      <c r="E1053" s="153">
        <v>1</v>
      </c>
      <c r="F1053" s="153">
        <v>850</v>
      </c>
      <c r="G1053" s="164"/>
      <c r="H1053" s="164">
        <v>850</v>
      </c>
      <c r="I1053" s="58">
        <v>902</v>
      </c>
      <c r="K1053" s="57"/>
    </row>
    <row r="1054" spans="1:11" x14ac:dyDescent="0.25">
      <c r="A1054" s="154">
        <v>40926</v>
      </c>
      <c r="B1054" s="150" t="s">
        <v>782</v>
      </c>
      <c r="C1054" s="57" t="s">
        <v>8</v>
      </c>
      <c r="D1054" s="57" t="s">
        <v>26</v>
      </c>
      <c r="E1054" s="153">
        <v>10</v>
      </c>
      <c r="F1054" s="153">
        <v>74.650000000000006</v>
      </c>
      <c r="G1054" s="164"/>
      <c r="H1054" s="164">
        <v>746.5</v>
      </c>
      <c r="I1054" s="58">
        <v>902</v>
      </c>
      <c r="K1054" s="57"/>
    </row>
    <row r="1055" spans="1:11" x14ac:dyDescent="0.25">
      <c r="A1055" s="154">
        <v>40927</v>
      </c>
      <c r="B1055" s="150" t="s">
        <v>865</v>
      </c>
      <c r="C1055" s="57" t="s">
        <v>973</v>
      </c>
      <c r="D1055" s="57" t="s">
        <v>25</v>
      </c>
      <c r="E1055" s="153">
        <v>1</v>
      </c>
      <c r="F1055" s="153">
        <v>850</v>
      </c>
      <c r="G1055" s="164"/>
      <c r="H1055" s="164">
        <v>850</v>
      </c>
      <c r="I1055" s="58">
        <v>902</v>
      </c>
      <c r="K1055" s="57"/>
    </row>
    <row r="1056" spans="1:11" x14ac:dyDescent="0.25">
      <c r="A1056" s="154">
        <v>40927</v>
      </c>
      <c r="B1056" s="150" t="s">
        <v>782</v>
      </c>
      <c r="C1056" s="57" t="s">
        <v>8</v>
      </c>
      <c r="D1056" s="57" t="s">
        <v>26</v>
      </c>
      <c r="E1056" s="153">
        <v>11</v>
      </c>
      <c r="F1056" s="153">
        <v>74.650000000000006</v>
      </c>
      <c r="G1056" s="164"/>
      <c r="H1056" s="164">
        <v>821.15</v>
      </c>
      <c r="I1056" s="58">
        <v>902</v>
      </c>
      <c r="K1056" s="57"/>
    </row>
    <row r="1057" spans="1:11" x14ac:dyDescent="0.25">
      <c r="A1057" s="154">
        <v>40932</v>
      </c>
      <c r="B1057" s="150" t="s">
        <v>973</v>
      </c>
      <c r="C1057" s="57" t="s">
        <v>8</v>
      </c>
      <c r="D1057" s="57" t="s">
        <v>26</v>
      </c>
      <c r="E1057" s="153">
        <v>10</v>
      </c>
      <c r="F1057" s="153">
        <v>74.650000000000006</v>
      </c>
      <c r="G1057" s="164"/>
      <c r="H1057" s="164">
        <v>746.5</v>
      </c>
      <c r="I1057" s="58">
        <v>902</v>
      </c>
      <c r="K1057" s="57"/>
    </row>
    <row r="1058" spans="1:11" x14ac:dyDescent="0.25">
      <c r="A1058" s="154">
        <v>40932</v>
      </c>
      <c r="B1058" s="150" t="s">
        <v>865</v>
      </c>
      <c r="C1058" s="57" t="s">
        <v>973</v>
      </c>
      <c r="D1058" s="57" t="s">
        <v>25</v>
      </c>
      <c r="E1058" s="153">
        <v>1</v>
      </c>
      <c r="F1058" s="153">
        <v>850</v>
      </c>
      <c r="G1058" s="164"/>
      <c r="H1058" s="164">
        <v>850</v>
      </c>
      <c r="I1058" s="58">
        <v>902</v>
      </c>
      <c r="K1058" s="57"/>
    </row>
    <row r="1059" spans="1:11" x14ac:dyDescent="0.25">
      <c r="A1059" s="154">
        <v>40934</v>
      </c>
      <c r="B1059" s="150" t="s">
        <v>973</v>
      </c>
      <c r="C1059" s="57" t="s">
        <v>8</v>
      </c>
      <c r="D1059" s="57" t="s">
        <v>26</v>
      </c>
      <c r="E1059" s="153">
        <v>10.5</v>
      </c>
      <c r="F1059" s="153">
        <v>74.650000000000006</v>
      </c>
      <c r="G1059" s="164"/>
      <c r="H1059" s="164">
        <v>783.82500000000005</v>
      </c>
      <c r="I1059" s="58">
        <v>902</v>
      </c>
      <c r="K1059" s="57"/>
    </row>
    <row r="1060" spans="1:11" x14ac:dyDescent="0.25">
      <c r="A1060" s="154">
        <v>40934</v>
      </c>
      <c r="B1060" s="150" t="s">
        <v>865</v>
      </c>
      <c r="C1060" s="57" t="s">
        <v>973</v>
      </c>
      <c r="D1060" s="57" t="s">
        <v>25</v>
      </c>
      <c r="E1060" s="153">
        <v>1</v>
      </c>
      <c r="F1060" s="153">
        <v>850</v>
      </c>
      <c r="G1060" s="164"/>
      <c r="H1060" s="164">
        <v>850</v>
      </c>
      <c r="I1060" s="58">
        <v>902</v>
      </c>
      <c r="K1060" s="57"/>
    </row>
    <row r="1061" spans="1:11" x14ac:dyDescent="0.25">
      <c r="A1061" s="154">
        <v>40935</v>
      </c>
      <c r="B1061" s="150" t="s">
        <v>973</v>
      </c>
      <c r="C1061" s="57" t="s">
        <v>8</v>
      </c>
      <c r="D1061" s="57" t="s">
        <v>26</v>
      </c>
      <c r="E1061" s="153">
        <v>10.5</v>
      </c>
      <c r="F1061" s="153">
        <v>74.650000000000006</v>
      </c>
      <c r="G1061" s="164"/>
      <c r="H1061" s="164">
        <v>783.82500000000005</v>
      </c>
      <c r="I1061" s="58">
        <v>902</v>
      </c>
      <c r="K1061" s="57"/>
    </row>
    <row r="1062" spans="1:11" x14ac:dyDescent="0.25">
      <c r="A1062" s="154">
        <v>40935</v>
      </c>
      <c r="B1062" s="150" t="s">
        <v>865</v>
      </c>
      <c r="C1062" s="57" t="s">
        <v>973</v>
      </c>
      <c r="D1062" s="57" t="s">
        <v>25</v>
      </c>
      <c r="E1062" s="153">
        <v>1</v>
      </c>
      <c r="F1062" s="153">
        <v>850</v>
      </c>
      <c r="G1062" s="164"/>
      <c r="H1062" s="164">
        <v>850</v>
      </c>
      <c r="I1062" s="58">
        <v>902</v>
      </c>
      <c r="K1062" s="57"/>
    </row>
    <row r="1063" spans="1:11" x14ac:dyDescent="0.25">
      <c r="A1063" s="154">
        <v>40936</v>
      </c>
      <c r="B1063" s="150" t="s">
        <v>865</v>
      </c>
      <c r="C1063" s="57" t="s">
        <v>973</v>
      </c>
      <c r="D1063" s="57" t="s">
        <v>25</v>
      </c>
      <c r="E1063" s="153">
        <v>1</v>
      </c>
      <c r="F1063" s="153">
        <v>850</v>
      </c>
      <c r="G1063" s="164"/>
      <c r="H1063" s="164">
        <v>850</v>
      </c>
      <c r="I1063" s="58">
        <v>902</v>
      </c>
      <c r="K1063" s="57"/>
    </row>
    <row r="1064" spans="1:11" x14ac:dyDescent="0.25">
      <c r="A1064" s="154">
        <v>40936</v>
      </c>
      <c r="B1064" s="150" t="s">
        <v>973</v>
      </c>
      <c r="C1064" s="57" t="s">
        <v>8</v>
      </c>
      <c r="D1064" s="57" t="s">
        <v>26</v>
      </c>
      <c r="E1064" s="153">
        <v>9.5</v>
      </c>
      <c r="F1064" s="153">
        <v>74.650000000000006</v>
      </c>
      <c r="G1064" s="164"/>
      <c r="H1064" s="164">
        <v>709.17499999999995</v>
      </c>
      <c r="I1064" s="58">
        <v>902</v>
      </c>
      <c r="K1064" s="57"/>
    </row>
    <row r="1065" spans="1:11" x14ac:dyDescent="0.25">
      <c r="A1065" s="154">
        <v>40937</v>
      </c>
      <c r="B1065" s="150" t="s">
        <v>973</v>
      </c>
      <c r="C1065" s="57" t="s">
        <v>8</v>
      </c>
      <c r="D1065" s="57" t="s">
        <v>26</v>
      </c>
      <c r="E1065" s="153">
        <v>10</v>
      </c>
      <c r="F1065" s="153">
        <v>74.650000000000006</v>
      </c>
      <c r="G1065" s="164"/>
      <c r="H1065" s="164">
        <v>746.5</v>
      </c>
      <c r="I1065" s="58">
        <v>902</v>
      </c>
      <c r="K1065" s="57"/>
    </row>
    <row r="1066" spans="1:11" x14ac:dyDescent="0.25">
      <c r="A1066" s="154">
        <v>40937</v>
      </c>
      <c r="B1066" s="150" t="s">
        <v>865</v>
      </c>
      <c r="C1066" s="57" t="s">
        <v>973</v>
      </c>
      <c r="D1066" s="57" t="s">
        <v>25</v>
      </c>
      <c r="E1066" s="153">
        <v>1</v>
      </c>
      <c r="F1066" s="153">
        <v>850</v>
      </c>
      <c r="G1066" s="164"/>
      <c r="H1066" s="164">
        <v>850</v>
      </c>
      <c r="I1066" s="58">
        <v>902</v>
      </c>
      <c r="K1066" s="57"/>
    </row>
    <row r="1067" spans="1:11" x14ac:dyDescent="0.25">
      <c r="A1067" s="154">
        <v>40938</v>
      </c>
      <c r="B1067" s="150" t="s">
        <v>973</v>
      </c>
      <c r="C1067" s="57" t="s">
        <v>8</v>
      </c>
      <c r="D1067" s="57" t="s">
        <v>26</v>
      </c>
      <c r="E1067" s="153">
        <v>10</v>
      </c>
      <c r="F1067" s="153">
        <v>74.650000000000006</v>
      </c>
      <c r="G1067" s="164"/>
      <c r="H1067" s="164">
        <v>746.5</v>
      </c>
      <c r="I1067" s="58">
        <v>902</v>
      </c>
      <c r="K1067" s="57"/>
    </row>
    <row r="1068" spans="1:11" x14ac:dyDescent="0.25">
      <c r="A1068" s="154">
        <v>40938</v>
      </c>
      <c r="B1068" s="150" t="s">
        <v>865</v>
      </c>
      <c r="C1068" s="57" t="s">
        <v>973</v>
      </c>
      <c r="D1068" s="57" t="s">
        <v>25</v>
      </c>
      <c r="E1068" s="153">
        <v>1</v>
      </c>
      <c r="F1068" s="153">
        <v>850</v>
      </c>
      <c r="G1068" s="164"/>
      <c r="H1068" s="164">
        <v>850</v>
      </c>
      <c r="I1068" s="58">
        <v>902</v>
      </c>
      <c r="K1068" s="57"/>
    </row>
    <row r="1069" spans="1:11" x14ac:dyDescent="0.25">
      <c r="A1069" s="154">
        <v>40942</v>
      </c>
      <c r="B1069" s="150" t="s">
        <v>782</v>
      </c>
      <c r="C1069" s="57" t="s">
        <v>8</v>
      </c>
      <c r="D1069" s="57" t="s">
        <v>26</v>
      </c>
      <c r="E1069" s="153">
        <v>10</v>
      </c>
      <c r="F1069" s="153">
        <v>74.650000000000006</v>
      </c>
      <c r="G1069" s="164"/>
      <c r="H1069" s="164">
        <v>746.5</v>
      </c>
      <c r="I1069" s="58">
        <v>902</v>
      </c>
      <c r="K1069" s="57"/>
    </row>
    <row r="1070" spans="1:11" x14ac:dyDescent="0.25">
      <c r="A1070" s="154">
        <v>40946</v>
      </c>
      <c r="B1070" s="150" t="s">
        <v>782</v>
      </c>
      <c r="C1070" s="57" t="s">
        <v>8</v>
      </c>
      <c r="D1070" s="57" t="s">
        <v>26</v>
      </c>
      <c r="E1070" s="153">
        <v>10</v>
      </c>
      <c r="F1070" s="153">
        <v>74.650000000000006</v>
      </c>
      <c r="G1070" s="164"/>
      <c r="H1070" s="164">
        <v>746.5</v>
      </c>
      <c r="I1070" s="58">
        <v>902</v>
      </c>
      <c r="K1070" s="57"/>
    </row>
    <row r="1071" spans="1:11" x14ac:dyDescent="0.25">
      <c r="A1071" s="154">
        <v>40947</v>
      </c>
      <c r="B1071" s="150" t="s">
        <v>782</v>
      </c>
      <c r="C1071" s="57" t="s">
        <v>8</v>
      </c>
      <c r="D1071" s="57" t="s">
        <v>26</v>
      </c>
      <c r="E1071" s="153">
        <v>10</v>
      </c>
      <c r="F1071" s="153">
        <v>74.650000000000006</v>
      </c>
      <c r="G1071" s="164"/>
      <c r="H1071" s="164">
        <v>746.5</v>
      </c>
      <c r="I1071" s="58">
        <v>902</v>
      </c>
      <c r="K1071" s="57"/>
    </row>
    <row r="1072" spans="1:11" x14ac:dyDescent="0.25">
      <c r="A1072" s="154">
        <v>40948</v>
      </c>
      <c r="B1072" s="150" t="s">
        <v>782</v>
      </c>
      <c r="C1072" s="57" t="s">
        <v>8</v>
      </c>
      <c r="D1072" s="57" t="s">
        <v>26</v>
      </c>
      <c r="E1072" s="153">
        <v>10</v>
      </c>
      <c r="F1072" s="153">
        <v>74.650000000000006</v>
      </c>
      <c r="G1072" s="164"/>
      <c r="H1072" s="164">
        <v>746.5</v>
      </c>
      <c r="I1072" s="58">
        <v>902</v>
      </c>
      <c r="K1072" s="57"/>
    </row>
    <row r="1073" spans="1:11" x14ac:dyDescent="0.25">
      <c r="A1073" s="154">
        <v>40949</v>
      </c>
      <c r="B1073" s="150" t="s">
        <v>782</v>
      </c>
      <c r="C1073" s="57" t="s">
        <v>8</v>
      </c>
      <c r="D1073" s="57" t="s">
        <v>26</v>
      </c>
      <c r="E1073" s="153">
        <v>10</v>
      </c>
      <c r="F1073" s="153">
        <v>74.650000000000006</v>
      </c>
      <c r="G1073" s="164"/>
      <c r="H1073" s="164">
        <v>746.5</v>
      </c>
      <c r="I1073" s="58">
        <v>902</v>
      </c>
      <c r="K1073" s="57"/>
    </row>
    <row r="1074" spans="1:11" x14ac:dyDescent="0.25">
      <c r="A1074" s="154">
        <v>40950</v>
      </c>
      <c r="B1074" s="150" t="s">
        <v>782</v>
      </c>
      <c r="C1074" s="57" t="s">
        <v>8</v>
      </c>
      <c r="D1074" s="57" t="s">
        <v>26</v>
      </c>
      <c r="E1074" s="153">
        <v>8</v>
      </c>
      <c r="F1074" s="153">
        <v>74.650000000000006</v>
      </c>
      <c r="G1074" s="164"/>
      <c r="H1074" s="164">
        <v>597.20000000000005</v>
      </c>
      <c r="I1074" s="58">
        <v>902</v>
      </c>
      <c r="K1074" s="57"/>
    </row>
    <row r="1075" spans="1:11" x14ac:dyDescent="0.25">
      <c r="A1075" s="154">
        <v>40953</v>
      </c>
      <c r="B1075" s="150" t="s">
        <v>782</v>
      </c>
      <c r="C1075" s="57" t="s">
        <v>8</v>
      </c>
      <c r="D1075" s="57" t="s">
        <v>26</v>
      </c>
      <c r="E1075" s="153">
        <v>10.5</v>
      </c>
      <c r="F1075" s="153">
        <v>74.650000000000006</v>
      </c>
      <c r="G1075" s="164"/>
      <c r="H1075" s="164">
        <v>783.82500000000005</v>
      </c>
      <c r="I1075" s="58">
        <v>902</v>
      </c>
      <c r="K1075" s="57"/>
    </row>
    <row r="1076" spans="1:11" x14ac:dyDescent="0.25">
      <c r="A1076" s="154">
        <v>40954</v>
      </c>
      <c r="B1076" s="150" t="s">
        <v>782</v>
      </c>
      <c r="C1076" s="57" t="s">
        <v>8</v>
      </c>
      <c r="D1076" s="57" t="s">
        <v>26</v>
      </c>
      <c r="E1076" s="153">
        <v>10.5</v>
      </c>
      <c r="F1076" s="153">
        <v>74.650000000000006</v>
      </c>
      <c r="G1076" s="164"/>
      <c r="H1076" s="164">
        <v>783.82500000000005</v>
      </c>
      <c r="I1076" s="58">
        <v>902</v>
      </c>
      <c r="K1076" s="57"/>
    </row>
    <row r="1077" spans="1:11" x14ac:dyDescent="0.25">
      <c r="A1077" s="154">
        <v>40954</v>
      </c>
      <c r="B1077" s="150" t="s">
        <v>865</v>
      </c>
      <c r="C1077" s="57" t="s">
        <v>973</v>
      </c>
      <c r="D1077" s="57" t="s">
        <v>25</v>
      </c>
      <c r="E1077" s="153">
        <v>1</v>
      </c>
      <c r="F1077" s="153">
        <v>850</v>
      </c>
      <c r="G1077" s="164"/>
      <c r="H1077" s="164">
        <v>850</v>
      </c>
      <c r="I1077" s="58">
        <v>902</v>
      </c>
      <c r="K1077" s="57"/>
    </row>
    <row r="1078" spans="1:11" x14ac:dyDescent="0.25">
      <c r="A1078" s="154">
        <v>40955</v>
      </c>
      <c r="B1078" s="150" t="s">
        <v>782</v>
      </c>
      <c r="C1078" s="57" t="s">
        <v>8</v>
      </c>
      <c r="D1078" s="57" t="s">
        <v>26</v>
      </c>
      <c r="E1078" s="153">
        <v>10.5</v>
      </c>
      <c r="F1078" s="153">
        <v>74.650000000000006</v>
      </c>
      <c r="G1078" s="164"/>
      <c r="H1078" s="164">
        <v>783.82500000000005</v>
      </c>
      <c r="I1078" s="58">
        <v>902</v>
      </c>
      <c r="K1078" s="57"/>
    </row>
    <row r="1079" spans="1:11" x14ac:dyDescent="0.25">
      <c r="A1079" s="154">
        <v>40959</v>
      </c>
      <c r="B1079" s="150" t="s">
        <v>776</v>
      </c>
      <c r="C1079" s="57" t="s">
        <v>8</v>
      </c>
      <c r="D1079" s="57" t="s">
        <v>26</v>
      </c>
      <c r="E1079" s="153">
        <v>7.5</v>
      </c>
      <c r="F1079" s="153">
        <v>35.35</v>
      </c>
      <c r="G1079" s="164"/>
      <c r="H1079" s="164">
        <v>265.125</v>
      </c>
      <c r="I1079" s="58">
        <v>902</v>
      </c>
      <c r="K1079" s="57"/>
    </row>
    <row r="1080" spans="1:11" x14ac:dyDescent="0.25">
      <c r="A1080" s="154">
        <v>40960</v>
      </c>
      <c r="B1080" s="150" t="s">
        <v>776</v>
      </c>
      <c r="C1080" s="57" t="s">
        <v>8</v>
      </c>
      <c r="D1080" s="57" t="s">
        <v>26</v>
      </c>
      <c r="E1080" s="153">
        <v>10.5</v>
      </c>
      <c r="F1080" s="153">
        <v>74.650000000000006</v>
      </c>
      <c r="G1080" s="164"/>
      <c r="H1080" s="164">
        <v>783.82500000000005</v>
      </c>
      <c r="I1080" s="58">
        <v>902</v>
      </c>
      <c r="K1080" s="57"/>
    </row>
    <row r="1081" spans="1:11" x14ac:dyDescent="0.25">
      <c r="A1081" s="154">
        <v>40961</v>
      </c>
      <c r="B1081" s="150" t="s">
        <v>776</v>
      </c>
      <c r="C1081" s="57" t="s">
        <v>8</v>
      </c>
      <c r="D1081" s="57" t="s">
        <v>26</v>
      </c>
      <c r="E1081" s="153">
        <v>10.5</v>
      </c>
      <c r="F1081" s="153">
        <v>74.650000000000006</v>
      </c>
      <c r="G1081" s="164"/>
      <c r="H1081" s="164">
        <v>783.82500000000005</v>
      </c>
      <c r="I1081" s="58">
        <v>902</v>
      </c>
      <c r="K1081" s="57"/>
    </row>
    <row r="1082" spans="1:11" x14ac:dyDescent="0.25">
      <c r="A1082" s="154">
        <v>40966</v>
      </c>
      <c r="B1082" s="150" t="s">
        <v>776</v>
      </c>
      <c r="C1082" s="57" t="s">
        <v>8</v>
      </c>
      <c r="D1082" s="57" t="s">
        <v>26</v>
      </c>
      <c r="E1082" s="153">
        <v>8</v>
      </c>
      <c r="F1082" s="153">
        <v>74.650000000000006</v>
      </c>
      <c r="G1082" s="164"/>
      <c r="H1082" s="164">
        <v>597.20000000000005</v>
      </c>
      <c r="I1082" s="58">
        <v>902</v>
      </c>
      <c r="K1082" s="57"/>
    </row>
    <row r="1083" spans="1:11" x14ac:dyDescent="0.25">
      <c r="A1083" s="154">
        <v>40974</v>
      </c>
      <c r="B1083" s="150" t="s">
        <v>776</v>
      </c>
      <c r="C1083" s="57" t="s">
        <v>8</v>
      </c>
      <c r="D1083" s="57" t="s">
        <v>26</v>
      </c>
      <c r="E1083" s="153">
        <v>9</v>
      </c>
      <c r="F1083" s="153">
        <v>74.650000000000006</v>
      </c>
      <c r="G1083" s="164"/>
      <c r="H1083" s="164">
        <v>671.85</v>
      </c>
      <c r="I1083" s="58">
        <v>902</v>
      </c>
      <c r="K1083" s="57"/>
    </row>
    <row r="1084" spans="1:11" x14ac:dyDescent="0.25">
      <c r="A1084" s="154">
        <v>40975</v>
      </c>
      <c r="B1084" s="150" t="s">
        <v>973</v>
      </c>
      <c r="C1084" s="57" t="s">
        <v>8</v>
      </c>
      <c r="D1084" s="57" t="s">
        <v>26</v>
      </c>
      <c r="E1084" s="153">
        <v>9</v>
      </c>
      <c r="F1084" s="153">
        <v>74.650000000000006</v>
      </c>
      <c r="G1084" s="164"/>
      <c r="H1084" s="164">
        <v>671.85</v>
      </c>
      <c r="I1084" s="58">
        <v>902</v>
      </c>
      <c r="K1084" s="57"/>
    </row>
    <row r="1085" spans="1:11" x14ac:dyDescent="0.25">
      <c r="A1085" s="154">
        <v>40977</v>
      </c>
      <c r="B1085" s="150" t="s">
        <v>973</v>
      </c>
      <c r="C1085" s="57" t="s">
        <v>8</v>
      </c>
      <c r="D1085" s="57" t="s">
        <v>26</v>
      </c>
      <c r="E1085" s="153">
        <v>9</v>
      </c>
      <c r="F1085" s="153">
        <v>74.650000000000006</v>
      </c>
      <c r="G1085" s="164"/>
      <c r="H1085" s="164">
        <v>671.85</v>
      </c>
      <c r="I1085" s="58">
        <v>902</v>
      </c>
      <c r="K1085" s="57"/>
    </row>
    <row r="1086" spans="1:11" x14ac:dyDescent="0.25">
      <c r="A1086" s="154">
        <v>40978</v>
      </c>
      <c r="B1086" s="150" t="s">
        <v>973</v>
      </c>
      <c r="C1086" s="57" t="s">
        <v>8</v>
      </c>
      <c r="D1086" s="57" t="s">
        <v>26</v>
      </c>
      <c r="E1086" s="153">
        <v>5</v>
      </c>
      <c r="F1086" s="153">
        <v>74.650000000000006</v>
      </c>
      <c r="G1086" s="164"/>
      <c r="H1086" s="164">
        <v>373.25</v>
      </c>
      <c r="I1086" s="58">
        <v>902</v>
      </c>
      <c r="K1086" s="57"/>
    </row>
    <row r="1087" spans="1:11" x14ac:dyDescent="0.25">
      <c r="A1087" s="169" t="s">
        <v>682</v>
      </c>
      <c r="B1087" s="170" t="s">
        <v>974</v>
      </c>
      <c r="C1087" s="171" t="s">
        <v>682</v>
      </c>
      <c r="D1087" s="171" t="s">
        <v>682</v>
      </c>
      <c r="E1087" s="172"/>
      <c r="F1087" s="172"/>
      <c r="G1087" s="173"/>
      <c r="H1087" s="173">
        <v>65379.849999999969</v>
      </c>
      <c r="I1087" s="174" t="s">
        <v>682</v>
      </c>
      <c r="K1087" s="57"/>
    </row>
    <row r="1088" spans="1:11" x14ac:dyDescent="0.25">
      <c r="A1088" s="154" t="s">
        <v>682</v>
      </c>
      <c r="B1088" s="150" t="s">
        <v>682</v>
      </c>
      <c r="C1088" s="57" t="s">
        <v>682</v>
      </c>
      <c r="D1088" s="57" t="s">
        <v>682</v>
      </c>
      <c r="E1088" s="153"/>
      <c r="F1088" s="153"/>
      <c r="G1088" s="164"/>
      <c r="H1088" s="164"/>
      <c r="I1088" s="58" t="s">
        <v>682</v>
      </c>
      <c r="K1088" s="57"/>
    </row>
    <row r="1089" spans="1:11" x14ac:dyDescent="0.25">
      <c r="A1089" s="166" t="s">
        <v>682</v>
      </c>
      <c r="B1089" s="165" t="s">
        <v>975</v>
      </c>
      <c r="C1089" s="60" t="s">
        <v>682</v>
      </c>
      <c r="D1089" s="60" t="s">
        <v>682</v>
      </c>
      <c r="E1089" s="167"/>
      <c r="F1089" s="167"/>
      <c r="G1089" s="168"/>
      <c r="H1089" s="168"/>
      <c r="I1089" s="46" t="s">
        <v>682</v>
      </c>
      <c r="K1089" s="57"/>
    </row>
    <row r="1090" spans="1:11" ht="30" x14ac:dyDescent="0.25">
      <c r="A1090" s="154">
        <v>40847</v>
      </c>
      <c r="B1090" s="150" t="s">
        <v>976</v>
      </c>
      <c r="C1090" s="57" t="s">
        <v>977</v>
      </c>
      <c r="D1090" s="57" t="s">
        <v>748</v>
      </c>
      <c r="E1090" s="153"/>
      <c r="F1090" s="153">
        <v>3755.45</v>
      </c>
      <c r="G1090" s="164"/>
      <c r="H1090" s="164"/>
      <c r="I1090" s="58">
        <v>903</v>
      </c>
      <c r="K1090" s="57"/>
    </row>
    <row r="1091" spans="1:11" x14ac:dyDescent="0.25">
      <c r="A1091" s="154">
        <v>40854</v>
      </c>
      <c r="B1091" s="150" t="s">
        <v>978</v>
      </c>
      <c r="C1091" s="57" t="s">
        <v>909</v>
      </c>
      <c r="D1091" s="57" t="s">
        <v>748</v>
      </c>
      <c r="E1091" s="153">
        <v>1</v>
      </c>
      <c r="F1091" s="153">
        <v>154.62</v>
      </c>
      <c r="G1091" s="164"/>
      <c r="H1091" s="164">
        <v>154.62</v>
      </c>
      <c r="I1091" s="58">
        <v>903</v>
      </c>
      <c r="K1091" s="57"/>
    </row>
    <row r="1092" spans="1:11" ht="30" x14ac:dyDescent="0.25">
      <c r="A1092" s="154">
        <v>40877</v>
      </c>
      <c r="B1092" s="150" t="s">
        <v>979</v>
      </c>
      <c r="C1092" s="57" t="s">
        <v>977</v>
      </c>
      <c r="D1092" s="57" t="s">
        <v>748</v>
      </c>
      <c r="E1092" s="153">
        <v>1</v>
      </c>
      <c r="F1092" s="153">
        <v>2400</v>
      </c>
      <c r="G1092" s="164"/>
      <c r="H1092" s="164">
        <v>2400</v>
      </c>
      <c r="I1092" s="58">
        <v>903</v>
      </c>
      <c r="K1092" s="57"/>
    </row>
    <row r="1093" spans="1:11" x14ac:dyDescent="0.25">
      <c r="A1093" s="154">
        <v>40877</v>
      </c>
      <c r="B1093" s="150" t="s">
        <v>980</v>
      </c>
      <c r="C1093" s="57" t="s">
        <v>824</v>
      </c>
      <c r="D1093" s="57" t="s">
        <v>748</v>
      </c>
      <c r="E1093" s="153">
        <v>1</v>
      </c>
      <c r="F1093" s="153">
        <v>373.3</v>
      </c>
      <c r="G1093" s="164"/>
      <c r="H1093" s="164">
        <v>373.3</v>
      </c>
      <c r="I1093" s="58">
        <v>903</v>
      </c>
      <c r="K1093" s="57"/>
    </row>
    <row r="1094" spans="1:11" ht="30" x14ac:dyDescent="0.25">
      <c r="A1094" s="154">
        <v>40877</v>
      </c>
      <c r="B1094" s="150" t="s">
        <v>981</v>
      </c>
      <c r="C1094" s="57" t="s">
        <v>982</v>
      </c>
      <c r="D1094" s="57" t="s">
        <v>748</v>
      </c>
      <c r="E1094" s="153">
        <v>1</v>
      </c>
      <c r="F1094" s="153">
        <v>1333.02</v>
      </c>
      <c r="G1094" s="164"/>
      <c r="H1094" s="164">
        <v>1333.02</v>
      </c>
      <c r="I1094" s="58">
        <v>903</v>
      </c>
      <c r="K1094" s="57"/>
    </row>
    <row r="1095" spans="1:11" x14ac:dyDescent="0.25">
      <c r="A1095" s="154">
        <v>40892</v>
      </c>
      <c r="B1095" s="150" t="s">
        <v>983</v>
      </c>
      <c r="C1095" s="57" t="s">
        <v>920</v>
      </c>
      <c r="D1095" s="57" t="s">
        <v>748</v>
      </c>
      <c r="E1095" s="153">
        <v>1</v>
      </c>
      <c r="F1095" s="153">
        <v>41.8</v>
      </c>
      <c r="G1095" s="164"/>
      <c r="H1095" s="164">
        <v>41.8</v>
      </c>
      <c r="I1095" s="58">
        <v>903</v>
      </c>
      <c r="K1095" s="57"/>
    </row>
    <row r="1096" spans="1:11" ht="45" x14ac:dyDescent="0.25">
      <c r="A1096" s="154">
        <v>40908</v>
      </c>
      <c r="B1096" s="150" t="s">
        <v>984</v>
      </c>
      <c r="C1096" s="57" t="s">
        <v>982</v>
      </c>
      <c r="D1096" s="57" t="s">
        <v>748</v>
      </c>
      <c r="E1096" s="153">
        <v>1</v>
      </c>
      <c r="F1096" s="153">
        <v>2835.2</v>
      </c>
      <c r="G1096" s="164"/>
      <c r="H1096" s="164">
        <v>2835.2</v>
      </c>
      <c r="I1096" s="58">
        <v>903</v>
      </c>
      <c r="K1096" s="57"/>
    </row>
    <row r="1097" spans="1:11" x14ac:dyDescent="0.25">
      <c r="A1097" s="154">
        <v>40949</v>
      </c>
      <c r="B1097" s="150" t="s">
        <v>985</v>
      </c>
      <c r="C1097" s="57" t="s">
        <v>986</v>
      </c>
      <c r="D1097" s="57" t="s">
        <v>748</v>
      </c>
      <c r="E1097" s="153">
        <v>1</v>
      </c>
      <c r="F1097" s="153">
        <v>210</v>
      </c>
      <c r="G1097" s="164"/>
      <c r="H1097" s="164">
        <v>210</v>
      </c>
      <c r="I1097" s="58">
        <v>903</v>
      </c>
      <c r="K1097" s="57"/>
    </row>
    <row r="1098" spans="1:11" ht="30" x14ac:dyDescent="0.25">
      <c r="A1098" s="154">
        <v>41029</v>
      </c>
      <c r="B1098" s="150" t="s">
        <v>987</v>
      </c>
      <c r="C1098" s="57" t="s">
        <v>982</v>
      </c>
      <c r="D1098" s="57" t="s">
        <v>748</v>
      </c>
      <c r="E1098" s="153">
        <v>1</v>
      </c>
      <c r="F1098" s="153">
        <v>1466.31</v>
      </c>
      <c r="G1098" s="164"/>
      <c r="H1098" s="164">
        <v>1466.31</v>
      </c>
      <c r="I1098" s="58">
        <v>903</v>
      </c>
      <c r="K1098" s="57"/>
    </row>
    <row r="1099" spans="1:11" x14ac:dyDescent="0.25">
      <c r="A1099" s="169" t="s">
        <v>682</v>
      </c>
      <c r="B1099" s="170" t="s">
        <v>988</v>
      </c>
      <c r="C1099" s="171" t="s">
        <v>682</v>
      </c>
      <c r="D1099" s="171" t="s">
        <v>682</v>
      </c>
      <c r="E1099" s="172"/>
      <c r="F1099" s="172"/>
      <c r="G1099" s="173"/>
      <c r="H1099" s="173">
        <v>8814.25</v>
      </c>
      <c r="I1099" s="174" t="s">
        <v>682</v>
      </c>
      <c r="K1099" s="57"/>
    </row>
    <row r="1100" spans="1:11" x14ac:dyDescent="0.25">
      <c r="A1100" s="154" t="s">
        <v>682</v>
      </c>
      <c r="B1100" s="150" t="s">
        <v>682</v>
      </c>
      <c r="C1100" s="57" t="s">
        <v>682</v>
      </c>
      <c r="D1100" s="57" t="s">
        <v>682</v>
      </c>
      <c r="E1100" s="153"/>
      <c r="F1100" s="153"/>
      <c r="G1100" s="164"/>
      <c r="H1100" s="164"/>
      <c r="I1100" s="58" t="s">
        <v>682</v>
      </c>
      <c r="K1100" s="57"/>
    </row>
    <row r="1101" spans="1:11" x14ac:dyDescent="0.25">
      <c r="A1101" s="166" t="s">
        <v>682</v>
      </c>
      <c r="B1101" s="165" t="s">
        <v>989</v>
      </c>
      <c r="C1101" s="60" t="s">
        <v>682</v>
      </c>
      <c r="D1101" s="60" t="s">
        <v>682</v>
      </c>
      <c r="E1101" s="167"/>
      <c r="F1101" s="167"/>
      <c r="G1101" s="168"/>
      <c r="H1101" s="168"/>
      <c r="I1101" s="46" t="s">
        <v>682</v>
      </c>
      <c r="K1101" s="57"/>
    </row>
    <row r="1102" spans="1:11" x14ac:dyDescent="0.25">
      <c r="A1102" s="154">
        <v>40858</v>
      </c>
      <c r="B1102" s="150" t="s">
        <v>990</v>
      </c>
      <c r="C1102" s="57" t="s">
        <v>8</v>
      </c>
      <c r="D1102" s="57" t="s">
        <v>748</v>
      </c>
      <c r="E1102" s="153">
        <v>1</v>
      </c>
      <c r="F1102" s="153">
        <v>60</v>
      </c>
      <c r="G1102" s="164"/>
      <c r="H1102" s="164">
        <v>60</v>
      </c>
      <c r="I1102" s="58">
        <v>904</v>
      </c>
      <c r="K1102" s="57"/>
    </row>
    <row r="1103" spans="1:11" ht="30" x14ac:dyDescent="0.25">
      <c r="A1103" s="154">
        <v>40968</v>
      </c>
      <c r="B1103" s="150" t="s">
        <v>991</v>
      </c>
      <c r="C1103" s="57" t="s">
        <v>824</v>
      </c>
      <c r="D1103" s="57" t="s">
        <v>748</v>
      </c>
      <c r="E1103" s="153">
        <v>1</v>
      </c>
      <c r="F1103" s="153">
        <v>360.86</v>
      </c>
      <c r="G1103" s="164"/>
      <c r="H1103" s="164">
        <v>360.86</v>
      </c>
      <c r="I1103" s="58">
        <v>904</v>
      </c>
      <c r="K1103" s="57"/>
    </row>
    <row r="1104" spans="1:11" ht="30" x14ac:dyDescent="0.25">
      <c r="A1104" s="154">
        <v>40968</v>
      </c>
      <c r="B1104" s="150" t="s">
        <v>992</v>
      </c>
      <c r="C1104" s="57" t="s">
        <v>824</v>
      </c>
      <c r="D1104" s="57" t="s">
        <v>748</v>
      </c>
      <c r="E1104" s="153">
        <v>1</v>
      </c>
      <c r="F1104" s="153">
        <v>500</v>
      </c>
      <c r="G1104" s="164"/>
      <c r="H1104" s="164">
        <v>500</v>
      </c>
      <c r="I1104" s="58">
        <v>904</v>
      </c>
      <c r="K1104" s="57"/>
    </row>
    <row r="1105" spans="1:11" ht="30" x14ac:dyDescent="0.25">
      <c r="A1105" s="154">
        <v>40968</v>
      </c>
      <c r="B1105" s="150" t="s">
        <v>993</v>
      </c>
      <c r="C1105" s="57" t="s">
        <v>824</v>
      </c>
      <c r="D1105" s="57" t="s">
        <v>748</v>
      </c>
      <c r="E1105" s="153">
        <v>1</v>
      </c>
      <c r="F1105" s="153">
        <v>250</v>
      </c>
      <c r="G1105" s="164"/>
      <c r="H1105" s="164">
        <v>250</v>
      </c>
      <c r="I1105" s="58">
        <v>904</v>
      </c>
      <c r="K1105" s="57"/>
    </row>
    <row r="1106" spans="1:11" ht="30" x14ac:dyDescent="0.25">
      <c r="A1106" s="154">
        <v>41082</v>
      </c>
      <c r="B1106" s="150" t="s">
        <v>994</v>
      </c>
      <c r="C1106" s="57" t="s">
        <v>824</v>
      </c>
      <c r="D1106" s="57" t="s">
        <v>748</v>
      </c>
      <c r="E1106" s="153">
        <v>1</v>
      </c>
      <c r="F1106" s="153">
        <v>33</v>
      </c>
      <c r="G1106" s="164"/>
      <c r="H1106" s="164">
        <v>33</v>
      </c>
      <c r="I1106" s="58">
        <v>904</v>
      </c>
      <c r="K1106" s="57"/>
    </row>
    <row r="1107" spans="1:11" x14ac:dyDescent="0.25">
      <c r="A1107" s="169" t="s">
        <v>682</v>
      </c>
      <c r="B1107" s="170" t="s">
        <v>995</v>
      </c>
      <c r="C1107" s="171" t="s">
        <v>682</v>
      </c>
      <c r="D1107" s="171" t="s">
        <v>682</v>
      </c>
      <c r="E1107" s="172"/>
      <c r="F1107" s="172"/>
      <c r="G1107" s="173"/>
      <c r="H1107" s="173">
        <v>1203.8600000000001</v>
      </c>
      <c r="I1107" s="174" t="s">
        <v>682</v>
      </c>
      <c r="K1107" s="57"/>
    </row>
    <row r="1108" spans="1:11" x14ac:dyDescent="0.25">
      <c r="A1108" s="154" t="s">
        <v>682</v>
      </c>
      <c r="B1108" s="150" t="s">
        <v>682</v>
      </c>
      <c r="C1108" s="57" t="s">
        <v>682</v>
      </c>
      <c r="D1108" s="57" t="s">
        <v>682</v>
      </c>
      <c r="E1108" s="153"/>
      <c r="F1108" s="153"/>
      <c r="G1108" s="164"/>
      <c r="H1108" s="164"/>
      <c r="I1108" s="58" t="s">
        <v>682</v>
      </c>
      <c r="K1108" s="57"/>
    </row>
    <row r="1109" spans="1:11" x14ac:dyDescent="0.25">
      <c r="A1109" s="166" t="s">
        <v>682</v>
      </c>
      <c r="B1109" s="165" t="s">
        <v>996</v>
      </c>
      <c r="C1109" s="60" t="s">
        <v>682</v>
      </c>
      <c r="D1109" s="60" t="s">
        <v>682</v>
      </c>
      <c r="E1109" s="167"/>
      <c r="F1109" s="167"/>
      <c r="G1109" s="168"/>
      <c r="H1109" s="168"/>
      <c r="I1109" s="46" t="s">
        <v>682</v>
      </c>
      <c r="K1109" s="57"/>
    </row>
    <row r="1110" spans="1:11" x14ac:dyDescent="0.25">
      <c r="A1110" s="154">
        <v>40843</v>
      </c>
      <c r="B1110" s="150" t="s">
        <v>997</v>
      </c>
      <c r="C1110" s="57" t="s">
        <v>909</v>
      </c>
      <c r="D1110" s="57" t="s">
        <v>748</v>
      </c>
      <c r="E1110" s="153">
        <v>10</v>
      </c>
      <c r="F1110" s="153">
        <v>23.1</v>
      </c>
      <c r="G1110" s="164"/>
      <c r="H1110" s="164">
        <v>231</v>
      </c>
      <c r="I1110" s="58">
        <v>905</v>
      </c>
      <c r="K1110" s="57"/>
    </row>
    <row r="1111" spans="1:11" ht="30" x14ac:dyDescent="0.25">
      <c r="A1111" s="154">
        <v>40843</v>
      </c>
      <c r="B1111" s="150" t="s">
        <v>998</v>
      </c>
      <c r="C1111" s="57" t="s">
        <v>909</v>
      </c>
      <c r="D1111" s="57" t="s">
        <v>748</v>
      </c>
      <c r="E1111" s="153">
        <v>1</v>
      </c>
      <c r="F1111" s="153">
        <v>1801.18</v>
      </c>
      <c r="G1111" s="164"/>
      <c r="H1111" s="164">
        <v>1801.18</v>
      </c>
      <c r="I1111" s="58">
        <v>905</v>
      </c>
      <c r="K1111" s="57"/>
    </row>
    <row r="1112" spans="1:11" x14ac:dyDescent="0.25">
      <c r="A1112" s="154">
        <v>40844</v>
      </c>
      <c r="B1112" s="150" t="s">
        <v>999</v>
      </c>
      <c r="C1112" s="57" t="s">
        <v>1000</v>
      </c>
      <c r="D1112" s="57" t="s">
        <v>748</v>
      </c>
      <c r="E1112" s="153">
        <v>1</v>
      </c>
      <c r="F1112" s="153">
        <v>227.27</v>
      </c>
      <c r="G1112" s="164"/>
      <c r="H1112" s="164">
        <v>227.27</v>
      </c>
      <c r="I1112" s="58">
        <v>905</v>
      </c>
      <c r="K1112" s="57"/>
    </row>
    <row r="1113" spans="1:11" x14ac:dyDescent="0.25">
      <c r="A1113" s="154">
        <v>40844</v>
      </c>
      <c r="B1113" s="150" t="s">
        <v>1001</v>
      </c>
      <c r="C1113" s="57" t="s">
        <v>909</v>
      </c>
      <c r="D1113" s="57" t="s">
        <v>748</v>
      </c>
      <c r="E1113" s="153">
        <v>52</v>
      </c>
      <c r="F1113" s="153">
        <v>14.8</v>
      </c>
      <c r="G1113" s="164"/>
      <c r="H1113" s="164">
        <v>769.6</v>
      </c>
      <c r="I1113" s="58">
        <v>905</v>
      </c>
      <c r="K1113" s="57"/>
    </row>
    <row r="1114" spans="1:11" x14ac:dyDescent="0.25">
      <c r="A1114" s="154">
        <v>40854</v>
      </c>
      <c r="B1114" s="150" t="s">
        <v>1002</v>
      </c>
      <c r="C1114" s="57" t="s">
        <v>909</v>
      </c>
      <c r="D1114" s="57" t="s">
        <v>748</v>
      </c>
      <c r="E1114" s="153">
        <v>1</v>
      </c>
      <c r="F1114" s="153">
        <v>73.540000000000006</v>
      </c>
      <c r="G1114" s="164"/>
      <c r="H1114" s="164">
        <v>73.540000000000006</v>
      </c>
      <c r="I1114" s="58">
        <v>905</v>
      </c>
      <c r="K1114" s="57"/>
    </row>
    <row r="1115" spans="1:11" ht="30" x14ac:dyDescent="0.25">
      <c r="A1115" s="154">
        <v>40855</v>
      </c>
      <c r="B1115" s="150" t="s">
        <v>1003</v>
      </c>
      <c r="C1115" s="57" t="s">
        <v>909</v>
      </c>
      <c r="D1115" s="57" t="s">
        <v>748</v>
      </c>
      <c r="E1115" s="153">
        <v>1</v>
      </c>
      <c r="F1115" s="153">
        <v>72.39</v>
      </c>
      <c r="G1115" s="164"/>
      <c r="H1115" s="164">
        <v>72.39</v>
      </c>
      <c r="I1115" s="58">
        <v>905</v>
      </c>
      <c r="K1115" s="57"/>
    </row>
    <row r="1116" spans="1:11" x14ac:dyDescent="0.25">
      <c r="A1116" s="154">
        <v>40855</v>
      </c>
      <c r="B1116" s="150" t="s">
        <v>1004</v>
      </c>
      <c r="C1116" s="57" t="s">
        <v>909</v>
      </c>
      <c r="D1116" s="57" t="s">
        <v>748</v>
      </c>
      <c r="E1116" s="153">
        <v>1</v>
      </c>
      <c r="F1116" s="153">
        <v>220.45</v>
      </c>
      <c r="G1116" s="164"/>
      <c r="H1116" s="164">
        <v>220.45</v>
      </c>
      <c r="I1116" s="58">
        <v>905</v>
      </c>
      <c r="K1116" s="57"/>
    </row>
    <row r="1117" spans="1:11" ht="30" x14ac:dyDescent="0.25">
      <c r="A1117" s="154">
        <v>40856</v>
      </c>
      <c r="B1117" s="150" t="s">
        <v>1005</v>
      </c>
      <c r="C1117" s="57" t="s">
        <v>909</v>
      </c>
      <c r="D1117" s="57" t="s">
        <v>748</v>
      </c>
      <c r="E1117" s="153">
        <v>1</v>
      </c>
      <c r="F1117" s="153">
        <v>86.77</v>
      </c>
      <c r="G1117" s="164"/>
      <c r="H1117" s="164">
        <v>86.77</v>
      </c>
      <c r="I1117" s="58">
        <v>905</v>
      </c>
      <c r="K1117" s="57"/>
    </row>
    <row r="1118" spans="1:11" x14ac:dyDescent="0.25">
      <c r="A1118" s="154">
        <v>40856</v>
      </c>
      <c r="B1118" s="150" t="s">
        <v>1006</v>
      </c>
      <c r="C1118" s="57" t="s">
        <v>909</v>
      </c>
      <c r="D1118" s="57" t="s">
        <v>748</v>
      </c>
      <c r="E1118" s="153">
        <v>1</v>
      </c>
      <c r="F1118" s="153">
        <v>319.58999999999997</v>
      </c>
      <c r="G1118" s="164"/>
      <c r="H1118" s="164">
        <v>319.58999999999997</v>
      </c>
      <c r="I1118" s="58">
        <v>905</v>
      </c>
      <c r="K1118" s="57"/>
    </row>
    <row r="1119" spans="1:11" x14ac:dyDescent="0.25">
      <c r="A1119" s="154">
        <v>40857</v>
      </c>
      <c r="B1119" s="150" t="s">
        <v>1007</v>
      </c>
      <c r="C1119" s="57" t="s">
        <v>909</v>
      </c>
      <c r="D1119" s="57" t="s">
        <v>748</v>
      </c>
      <c r="E1119" s="153">
        <v>1</v>
      </c>
      <c r="F1119" s="153">
        <v>34.619999999999997</v>
      </c>
      <c r="G1119" s="164"/>
      <c r="H1119" s="164">
        <v>34.619999999999997</v>
      </c>
      <c r="I1119" s="58">
        <v>905</v>
      </c>
      <c r="K1119" s="57"/>
    </row>
    <row r="1120" spans="1:11" ht="30" x14ac:dyDescent="0.25">
      <c r="A1120" s="154">
        <v>40858</v>
      </c>
      <c r="B1120" s="150" t="s">
        <v>1008</v>
      </c>
      <c r="C1120" s="57" t="s">
        <v>909</v>
      </c>
      <c r="D1120" s="57" t="s">
        <v>748</v>
      </c>
      <c r="E1120" s="153">
        <v>1</v>
      </c>
      <c r="F1120" s="153">
        <v>509.09</v>
      </c>
      <c r="G1120" s="164"/>
      <c r="H1120" s="164">
        <v>509.09</v>
      </c>
      <c r="I1120" s="58">
        <v>905</v>
      </c>
      <c r="K1120" s="57"/>
    </row>
    <row r="1121" spans="1:11" x14ac:dyDescent="0.25">
      <c r="A1121" s="154">
        <v>40858</v>
      </c>
      <c r="B1121" s="150" t="s">
        <v>1009</v>
      </c>
      <c r="C1121" s="57" t="s">
        <v>909</v>
      </c>
      <c r="D1121" s="57" t="s">
        <v>748</v>
      </c>
      <c r="E1121" s="153">
        <v>1</v>
      </c>
      <c r="F1121" s="153">
        <v>18.18</v>
      </c>
      <c r="G1121" s="164"/>
      <c r="H1121" s="164">
        <v>18.18</v>
      </c>
      <c r="I1121" s="58">
        <v>905</v>
      </c>
      <c r="K1121" s="57"/>
    </row>
    <row r="1122" spans="1:11" x14ac:dyDescent="0.25">
      <c r="A1122" s="154">
        <v>40864</v>
      </c>
      <c r="B1122" s="150" t="s">
        <v>1010</v>
      </c>
      <c r="C1122" s="57" t="s">
        <v>909</v>
      </c>
      <c r="D1122" s="57" t="s">
        <v>748</v>
      </c>
      <c r="E1122" s="153">
        <v>1</v>
      </c>
      <c r="F1122" s="153">
        <v>114.13</v>
      </c>
      <c r="G1122" s="164"/>
      <c r="H1122" s="164">
        <v>114.13</v>
      </c>
      <c r="I1122" s="58">
        <v>905</v>
      </c>
      <c r="K1122" s="57"/>
    </row>
    <row r="1123" spans="1:11" x14ac:dyDescent="0.25">
      <c r="A1123" s="154">
        <v>40869</v>
      </c>
      <c r="B1123" s="150" t="s">
        <v>1011</v>
      </c>
      <c r="C1123" s="57" t="s">
        <v>909</v>
      </c>
      <c r="D1123" s="57" t="s">
        <v>748</v>
      </c>
      <c r="E1123" s="153">
        <v>1</v>
      </c>
      <c r="F1123" s="153">
        <v>381.98</v>
      </c>
      <c r="G1123" s="164"/>
      <c r="H1123" s="164">
        <v>381.98</v>
      </c>
      <c r="I1123" s="58">
        <v>905</v>
      </c>
      <c r="K1123" s="57"/>
    </row>
    <row r="1124" spans="1:11" x14ac:dyDescent="0.25">
      <c r="A1124" s="154">
        <v>40876</v>
      </c>
      <c r="B1124" s="150" t="s">
        <v>1012</v>
      </c>
      <c r="C1124" s="57" t="s">
        <v>909</v>
      </c>
      <c r="D1124" s="57" t="s">
        <v>748</v>
      </c>
      <c r="E1124" s="153">
        <v>1</v>
      </c>
      <c r="F1124" s="153">
        <v>43.22</v>
      </c>
      <c r="G1124" s="164"/>
      <c r="H1124" s="164">
        <v>43.22</v>
      </c>
      <c r="I1124" s="58">
        <v>905</v>
      </c>
      <c r="K1124" s="57"/>
    </row>
    <row r="1125" spans="1:11" x14ac:dyDescent="0.25">
      <c r="A1125" s="154">
        <v>40876</v>
      </c>
      <c r="B1125" s="150" t="s">
        <v>1013</v>
      </c>
      <c r="C1125" s="57" t="s">
        <v>909</v>
      </c>
      <c r="D1125" s="57" t="s">
        <v>748</v>
      </c>
      <c r="E1125" s="153">
        <v>24</v>
      </c>
      <c r="F1125" s="153">
        <v>6.1269999999999998</v>
      </c>
      <c r="G1125" s="164"/>
      <c r="H1125" s="164">
        <v>147.048</v>
      </c>
      <c r="I1125" s="58">
        <v>905</v>
      </c>
      <c r="K1125" s="57"/>
    </row>
    <row r="1126" spans="1:11" x14ac:dyDescent="0.25">
      <c r="A1126" s="154">
        <v>40883</v>
      </c>
      <c r="B1126" s="150" t="s">
        <v>1014</v>
      </c>
      <c r="C1126" s="57" t="s">
        <v>909</v>
      </c>
      <c r="D1126" s="57" t="s">
        <v>748</v>
      </c>
      <c r="E1126" s="153">
        <v>1</v>
      </c>
      <c r="F1126" s="153">
        <v>32.270000000000003</v>
      </c>
      <c r="G1126" s="164"/>
      <c r="H1126" s="164">
        <v>32.270000000000003</v>
      </c>
      <c r="I1126" s="58">
        <v>905</v>
      </c>
      <c r="K1126" s="57"/>
    </row>
    <row r="1127" spans="1:11" ht="30" x14ac:dyDescent="0.25">
      <c r="A1127" s="154">
        <v>40883</v>
      </c>
      <c r="B1127" s="150" t="s">
        <v>1015</v>
      </c>
      <c r="C1127" s="57" t="s">
        <v>909</v>
      </c>
      <c r="D1127" s="57" t="s">
        <v>748</v>
      </c>
      <c r="E1127" s="153">
        <v>1</v>
      </c>
      <c r="F1127" s="153">
        <v>568.16999999999996</v>
      </c>
      <c r="G1127" s="164"/>
      <c r="H1127" s="164">
        <v>568.16999999999996</v>
      </c>
      <c r="I1127" s="58">
        <v>905</v>
      </c>
      <c r="K1127" s="57"/>
    </row>
    <row r="1128" spans="1:11" x14ac:dyDescent="0.25">
      <c r="A1128" s="154">
        <v>40884</v>
      </c>
      <c r="B1128" s="150" t="s">
        <v>1016</v>
      </c>
      <c r="C1128" s="57" t="s">
        <v>909</v>
      </c>
      <c r="D1128" s="57" t="s">
        <v>748</v>
      </c>
      <c r="E1128" s="153">
        <v>1</v>
      </c>
      <c r="F1128" s="153">
        <v>11.8</v>
      </c>
      <c r="G1128" s="164"/>
      <c r="H1128" s="164">
        <v>11.8</v>
      </c>
      <c r="I1128" s="58">
        <v>905</v>
      </c>
      <c r="K1128" s="57"/>
    </row>
    <row r="1129" spans="1:11" ht="30" x14ac:dyDescent="0.25">
      <c r="A1129" s="154">
        <v>40886</v>
      </c>
      <c r="B1129" s="150" t="s">
        <v>1017</v>
      </c>
      <c r="C1129" s="57" t="s">
        <v>909</v>
      </c>
      <c r="D1129" s="57" t="s">
        <v>748</v>
      </c>
      <c r="E1129" s="153">
        <v>1</v>
      </c>
      <c r="F1129" s="153">
        <v>96.72</v>
      </c>
      <c r="G1129" s="164"/>
      <c r="H1129" s="164">
        <v>96.72</v>
      </c>
      <c r="I1129" s="58">
        <v>905</v>
      </c>
      <c r="K1129" s="57"/>
    </row>
    <row r="1130" spans="1:11" x14ac:dyDescent="0.25">
      <c r="A1130" s="154">
        <v>40890</v>
      </c>
      <c r="B1130" s="150" t="s">
        <v>1018</v>
      </c>
      <c r="C1130" s="57" t="s">
        <v>909</v>
      </c>
      <c r="D1130" s="57" t="s">
        <v>748</v>
      </c>
      <c r="E1130" s="153">
        <v>1</v>
      </c>
      <c r="F1130" s="153">
        <v>18.399999999999999</v>
      </c>
      <c r="G1130" s="164"/>
      <c r="H1130" s="164">
        <v>18.399999999999999</v>
      </c>
      <c r="I1130" s="58">
        <v>905</v>
      </c>
      <c r="K1130" s="57"/>
    </row>
    <row r="1131" spans="1:11" x14ac:dyDescent="0.25">
      <c r="A1131" s="154">
        <v>40896</v>
      </c>
      <c r="B1131" s="150" t="s">
        <v>1019</v>
      </c>
      <c r="C1131" s="57" t="s">
        <v>909</v>
      </c>
      <c r="D1131" s="57" t="s">
        <v>748</v>
      </c>
      <c r="E1131" s="153">
        <v>1</v>
      </c>
      <c r="F1131" s="153">
        <v>44.09</v>
      </c>
      <c r="G1131" s="164"/>
      <c r="H1131" s="164">
        <v>44.09</v>
      </c>
      <c r="I1131" s="58">
        <v>905</v>
      </c>
      <c r="K1131" s="57"/>
    </row>
    <row r="1132" spans="1:11" x14ac:dyDescent="0.25">
      <c r="A1132" s="154">
        <v>40918</v>
      </c>
      <c r="B1132" s="150" t="s">
        <v>1020</v>
      </c>
      <c r="C1132" s="57" t="s">
        <v>909</v>
      </c>
      <c r="D1132" s="57" t="s">
        <v>748</v>
      </c>
      <c r="E1132" s="153">
        <v>1</v>
      </c>
      <c r="F1132" s="153">
        <v>65.12</v>
      </c>
      <c r="G1132" s="164"/>
      <c r="H1132" s="164">
        <v>65.12</v>
      </c>
      <c r="I1132" s="58">
        <v>905</v>
      </c>
      <c r="K1132" s="57"/>
    </row>
    <row r="1133" spans="1:11" x14ac:dyDescent="0.25">
      <c r="A1133" s="154">
        <v>40918</v>
      </c>
      <c r="B1133" s="150" t="s">
        <v>1021</v>
      </c>
      <c r="C1133" s="57" t="s">
        <v>1022</v>
      </c>
      <c r="D1133" s="57" t="s">
        <v>748</v>
      </c>
      <c r="E1133" s="153">
        <v>1</v>
      </c>
      <c r="F1133" s="153">
        <v>51.27</v>
      </c>
      <c r="G1133" s="164"/>
      <c r="H1133" s="164">
        <v>51.27</v>
      </c>
      <c r="I1133" s="58">
        <v>905</v>
      </c>
      <c r="K1133" s="57"/>
    </row>
    <row r="1134" spans="1:11" x14ac:dyDescent="0.25">
      <c r="A1134" s="154">
        <v>40924</v>
      </c>
      <c r="B1134" s="150" t="s">
        <v>1023</v>
      </c>
      <c r="C1134" s="57" t="s">
        <v>909</v>
      </c>
      <c r="D1134" s="57" t="s">
        <v>748</v>
      </c>
      <c r="E1134" s="153">
        <v>1</v>
      </c>
      <c r="F1134" s="153">
        <v>510.82</v>
      </c>
      <c r="G1134" s="164"/>
      <c r="H1134" s="164">
        <v>510.82</v>
      </c>
      <c r="I1134" s="58">
        <v>905</v>
      </c>
      <c r="K1134" s="57"/>
    </row>
    <row r="1135" spans="1:11" x14ac:dyDescent="0.25">
      <c r="A1135" s="154">
        <v>40925</v>
      </c>
      <c r="B1135" s="150" t="s">
        <v>1024</v>
      </c>
      <c r="C1135" s="57" t="s">
        <v>909</v>
      </c>
      <c r="D1135" s="57" t="s">
        <v>748</v>
      </c>
      <c r="E1135" s="153">
        <v>1</v>
      </c>
      <c r="F1135" s="153">
        <v>27.95</v>
      </c>
      <c r="G1135" s="164"/>
      <c r="H1135" s="164">
        <v>27.95</v>
      </c>
      <c r="I1135" s="58">
        <v>905</v>
      </c>
      <c r="K1135" s="57"/>
    </row>
    <row r="1136" spans="1:11" ht="30" x14ac:dyDescent="0.25">
      <c r="A1136" s="154">
        <v>40927</v>
      </c>
      <c r="B1136" s="150" t="s">
        <v>1025</v>
      </c>
      <c r="C1136" s="57" t="s">
        <v>909</v>
      </c>
      <c r="D1136" s="57" t="s">
        <v>748</v>
      </c>
      <c r="E1136" s="153">
        <v>1</v>
      </c>
      <c r="F1136" s="153">
        <v>44.09</v>
      </c>
      <c r="G1136" s="164"/>
      <c r="H1136" s="164">
        <v>44.09</v>
      </c>
      <c r="I1136" s="58">
        <v>905</v>
      </c>
      <c r="K1136" s="57"/>
    </row>
    <row r="1137" spans="1:11" x14ac:dyDescent="0.25">
      <c r="A1137" s="154">
        <v>40932</v>
      </c>
      <c r="B1137" s="150" t="s">
        <v>1026</v>
      </c>
      <c r="C1137" s="57" t="s">
        <v>909</v>
      </c>
      <c r="D1137" s="57" t="s">
        <v>748</v>
      </c>
      <c r="E1137" s="153">
        <v>1</v>
      </c>
      <c r="F1137" s="153">
        <v>21.23</v>
      </c>
      <c r="G1137" s="164"/>
      <c r="H1137" s="164">
        <v>21.23</v>
      </c>
      <c r="I1137" s="58">
        <v>905</v>
      </c>
      <c r="K1137" s="57"/>
    </row>
    <row r="1138" spans="1:11" ht="30" x14ac:dyDescent="0.25">
      <c r="A1138" s="154">
        <v>40932</v>
      </c>
      <c r="B1138" s="150" t="s">
        <v>1027</v>
      </c>
      <c r="C1138" s="57" t="s">
        <v>909</v>
      </c>
      <c r="D1138" s="57" t="s">
        <v>748</v>
      </c>
      <c r="E1138" s="153">
        <v>1</v>
      </c>
      <c r="F1138" s="153">
        <v>125</v>
      </c>
      <c r="G1138" s="164"/>
      <c r="H1138" s="164">
        <v>125</v>
      </c>
      <c r="I1138" s="58">
        <v>905</v>
      </c>
      <c r="K1138" s="57"/>
    </row>
    <row r="1139" spans="1:11" x14ac:dyDescent="0.25">
      <c r="A1139" s="154">
        <v>40932</v>
      </c>
      <c r="B1139" s="150" t="s">
        <v>1028</v>
      </c>
      <c r="C1139" s="57" t="s">
        <v>909</v>
      </c>
      <c r="D1139" s="57" t="s">
        <v>748</v>
      </c>
      <c r="E1139" s="153">
        <v>1</v>
      </c>
      <c r="F1139" s="153">
        <v>15.5</v>
      </c>
      <c r="G1139" s="164"/>
      <c r="H1139" s="164">
        <v>15.5</v>
      </c>
      <c r="I1139" s="58">
        <v>905</v>
      </c>
      <c r="K1139" s="57"/>
    </row>
    <row r="1140" spans="1:11" x14ac:dyDescent="0.25">
      <c r="A1140" s="154">
        <v>40933</v>
      </c>
      <c r="B1140" s="150" t="s">
        <v>1029</v>
      </c>
      <c r="C1140" s="57" t="s">
        <v>909</v>
      </c>
      <c r="D1140" s="57" t="s">
        <v>748</v>
      </c>
      <c r="E1140" s="153">
        <v>1</v>
      </c>
      <c r="F1140" s="153">
        <v>10.77</v>
      </c>
      <c r="G1140" s="164"/>
      <c r="H1140" s="164">
        <v>10.77</v>
      </c>
      <c r="I1140" s="58">
        <v>905</v>
      </c>
      <c r="K1140" s="57"/>
    </row>
    <row r="1141" spans="1:11" ht="30" x14ac:dyDescent="0.25">
      <c r="A1141" s="154">
        <v>40935</v>
      </c>
      <c r="B1141" s="150" t="s">
        <v>1030</v>
      </c>
      <c r="C1141" s="57" t="s">
        <v>909</v>
      </c>
      <c r="D1141" s="57" t="s">
        <v>748</v>
      </c>
      <c r="E1141" s="153">
        <v>1</v>
      </c>
      <c r="F1141" s="153">
        <v>833.38</v>
      </c>
      <c r="G1141" s="164"/>
      <c r="H1141" s="164">
        <v>833.38</v>
      </c>
      <c r="I1141" s="58">
        <v>905</v>
      </c>
      <c r="K1141" s="57"/>
    </row>
    <row r="1142" spans="1:11" x14ac:dyDescent="0.25">
      <c r="A1142" s="154">
        <v>40936</v>
      </c>
      <c r="B1142" s="150" t="s">
        <v>1031</v>
      </c>
      <c r="C1142" s="57" t="s">
        <v>909</v>
      </c>
      <c r="D1142" s="57" t="s">
        <v>748</v>
      </c>
      <c r="E1142" s="153">
        <v>1</v>
      </c>
      <c r="F1142" s="153">
        <v>12.9</v>
      </c>
      <c r="G1142" s="164"/>
      <c r="H1142" s="164">
        <v>12.9</v>
      </c>
      <c r="I1142" s="58">
        <v>905</v>
      </c>
      <c r="K1142" s="57"/>
    </row>
    <row r="1143" spans="1:11" x14ac:dyDescent="0.25">
      <c r="A1143" s="154">
        <v>40936</v>
      </c>
      <c r="B1143" s="150" t="s">
        <v>1032</v>
      </c>
      <c r="C1143" s="57" t="s">
        <v>909</v>
      </c>
      <c r="D1143" s="57" t="s">
        <v>748</v>
      </c>
      <c r="E1143" s="153">
        <v>1</v>
      </c>
      <c r="F1143" s="153">
        <v>15</v>
      </c>
      <c r="G1143" s="164"/>
      <c r="H1143" s="164">
        <v>15</v>
      </c>
      <c r="I1143" s="58">
        <v>905</v>
      </c>
      <c r="K1143" s="57"/>
    </row>
    <row r="1144" spans="1:11" x14ac:dyDescent="0.25">
      <c r="A1144" s="154">
        <v>40938</v>
      </c>
      <c r="B1144" s="150" t="s">
        <v>1033</v>
      </c>
      <c r="C1144" s="57" t="s">
        <v>909</v>
      </c>
      <c r="D1144" s="57" t="s">
        <v>748</v>
      </c>
      <c r="E1144" s="153">
        <v>1</v>
      </c>
      <c r="F1144" s="153">
        <v>141.36000000000001</v>
      </c>
      <c r="G1144" s="164"/>
      <c r="H1144" s="164">
        <v>141.36000000000001</v>
      </c>
      <c r="I1144" s="58">
        <v>905</v>
      </c>
      <c r="K1144" s="57"/>
    </row>
    <row r="1145" spans="1:11" x14ac:dyDescent="0.25">
      <c r="A1145" s="154">
        <v>40946</v>
      </c>
      <c r="B1145" s="150" t="s">
        <v>1034</v>
      </c>
      <c r="C1145" s="57" t="s">
        <v>909</v>
      </c>
      <c r="D1145" s="57" t="s">
        <v>748</v>
      </c>
      <c r="E1145" s="153">
        <v>1</v>
      </c>
      <c r="F1145" s="153">
        <v>196.36</v>
      </c>
      <c r="G1145" s="164"/>
      <c r="H1145" s="164">
        <v>196.36</v>
      </c>
      <c r="I1145" s="58">
        <v>905</v>
      </c>
      <c r="K1145" s="57"/>
    </row>
    <row r="1146" spans="1:11" x14ac:dyDescent="0.25">
      <c r="A1146" s="154">
        <v>40947</v>
      </c>
      <c r="B1146" s="150" t="s">
        <v>1035</v>
      </c>
      <c r="C1146" s="57" t="s">
        <v>909</v>
      </c>
      <c r="D1146" s="57" t="s">
        <v>748</v>
      </c>
      <c r="E1146" s="153">
        <v>1</v>
      </c>
      <c r="F1146" s="153">
        <v>15</v>
      </c>
      <c r="G1146" s="164"/>
      <c r="H1146" s="164">
        <v>15</v>
      </c>
      <c r="I1146" s="58">
        <v>905</v>
      </c>
      <c r="K1146" s="57"/>
    </row>
    <row r="1147" spans="1:11" ht="30" x14ac:dyDescent="0.25">
      <c r="A1147" s="154">
        <v>40948</v>
      </c>
      <c r="B1147" s="150" t="s">
        <v>1036</v>
      </c>
      <c r="C1147" s="57" t="s">
        <v>909</v>
      </c>
      <c r="D1147" s="57" t="s">
        <v>748</v>
      </c>
      <c r="E1147" s="153">
        <v>1</v>
      </c>
      <c r="F1147" s="153">
        <v>76.36</v>
      </c>
      <c r="G1147" s="164"/>
      <c r="H1147" s="164">
        <v>76.36</v>
      </c>
      <c r="I1147" s="58">
        <v>905</v>
      </c>
      <c r="K1147" s="57"/>
    </row>
    <row r="1148" spans="1:11" x14ac:dyDescent="0.25">
      <c r="A1148" s="154">
        <v>40949</v>
      </c>
      <c r="B1148" s="150" t="s">
        <v>1037</v>
      </c>
      <c r="C1148" s="57" t="s">
        <v>909</v>
      </c>
      <c r="D1148" s="57" t="s">
        <v>748</v>
      </c>
      <c r="E1148" s="153">
        <v>1</v>
      </c>
      <c r="F1148" s="153">
        <v>509.63</v>
      </c>
      <c r="G1148" s="164"/>
      <c r="H1148" s="164">
        <v>509.63</v>
      </c>
      <c r="I1148" s="58">
        <v>905</v>
      </c>
      <c r="K1148" s="57"/>
    </row>
    <row r="1149" spans="1:11" x14ac:dyDescent="0.25">
      <c r="A1149" s="154">
        <v>40950</v>
      </c>
      <c r="B1149" s="150" t="s">
        <v>1038</v>
      </c>
      <c r="C1149" s="57" t="s">
        <v>909</v>
      </c>
      <c r="D1149" s="57" t="s">
        <v>748</v>
      </c>
      <c r="E1149" s="153">
        <v>1</v>
      </c>
      <c r="F1149" s="153">
        <v>9.09</v>
      </c>
      <c r="G1149" s="164"/>
      <c r="H1149" s="164">
        <v>9.09</v>
      </c>
      <c r="I1149" s="58">
        <v>905</v>
      </c>
      <c r="K1149" s="57"/>
    </row>
    <row r="1150" spans="1:11" x14ac:dyDescent="0.25">
      <c r="A1150" s="154">
        <v>40953</v>
      </c>
      <c r="B1150" s="150" t="s">
        <v>1039</v>
      </c>
      <c r="C1150" s="57" t="s">
        <v>909</v>
      </c>
      <c r="D1150" s="57" t="s">
        <v>748</v>
      </c>
      <c r="E1150" s="153">
        <v>1</v>
      </c>
      <c r="F1150" s="153">
        <v>14.77</v>
      </c>
      <c r="G1150" s="164"/>
      <c r="H1150" s="164">
        <v>14.77</v>
      </c>
      <c r="I1150" s="58">
        <v>905</v>
      </c>
      <c r="K1150" s="57"/>
    </row>
    <row r="1151" spans="1:11" x14ac:dyDescent="0.25">
      <c r="A1151" s="154">
        <v>40954</v>
      </c>
      <c r="B1151" s="150" t="s">
        <v>1040</v>
      </c>
      <c r="C1151" s="57" t="s">
        <v>909</v>
      </c>
      <c r="D1151" s="57" t="s">
        <v>748</v>
      </c>
      <c r="E1151" s="153">
        <v>6</v>
      </c>
      <c r="F1151" s="153">
        <v>9.2720000000000002</v>
      </c>
      <c r="G1151" s="164"/>
      <c r="H1151" s="164">
        <v>55.631999999999998</v>
      </c>
      <c r="I1151" s="58">
        <v>905</v>
      </c>
      <c r="K1151" s="57"/>
    </row>
    <row r="1152" spans="1:11" x14ac:dyDescent="0.25">
      <c r="A1152" s="154">
        <v>40954</v>
      </c>
      <c r="B1152" s="150" t="s">
        <v>1041</v>
      </c>
      <c r="C1152" s="57" t="s">
        <v>909</v>
      </c>
      <c r="D1152" s="57" t="s">
        <v>748</v>
      </c>
      <c r="E1152" s="153">
        <v>1</v>
      </c>
      <c r="F1152" s="153">
        <v>30.18</v>
      </c>
      <c r="G1152" s="164"/>
      <c r="H1152" s="164">
        <v>30.18</v>
      </c>
      <c r="I1152" s="58">
        <v>905</v>
      </c>
      <c r="K1152" s="57"/>
    </row>
    <row r="1153" spans="1:11" x14ac:dyDescent="0.25">
      <c r="A1153" s="154">
        <v>40954</v>
      </c>
      <c r="B1153" s="150" t="s">
        <v>1042</v>
      </c>
      <c r="C1153" s="57" t="s">
        <v>909</v>
      </c>
      <c r="D1153" s="57" t="s">
        <v>748</v>
      </c>
      <c r="E1153" s="153">
        <v>1</v>
      </c>
      <c r="F1153" s="153">
        <v>30</v>
      </c>
      <c r="G1153" s="164"/>
      <c r="H1153" s="164">
        <v>30</v>
      </c>
      <c r="I1153" s="58">
        <v>905</v>
      </c>
      <c r="K1153" s="57"/>
    </row>
    <row r="1154" spans="1:11" x14ac:dyDescent="0.25">
      <c r="A1154" s="154">
        <v>40959</v>
      </c>
      <c r="B1154" s="150" t="s">
        <v>1043</v>
      </c>
      <c r="C1154" s="57" t="s">
        <v>909</v>
      </c>
      <c r="D1154" s="57" t="s">
        <v>748</v>
      </c>
      <c r="E1154" s="153">
        <v>1</v>
      </c>
      <c r="F1154" s="153">
        <v>252.89</v>
      </c>
      <c r="G1154" s="164"/>
      <c r="H1154" s="164">
        <v>252.89</v>
      </c>
      <c r="I1154" s="58">
        <v>905</v>
      </c>
      <c r="K1154" s="57"/>
    </row>
    <row r="1155" spans="1:11" x14ac:dyDescent="0.25">
      <c r="A1155" s="154">
        <v>40968</v>
      </c>
      <c r="B1155" s="150" t="s">
        <v>1044</v>
      </c>
      <c r="C1155" s="57" t="s">
        <v>909</v>
      </c>
      <c r="D1155" s="57" t="s">
        <v>748</v>
      </c>
      <c r="E1155" s="153">
        <v>1</v>
      </c>
      <c r="F1155" s="153">
        <v>19</v>
      </c>
      <c r="G1155" s="164"/>
      <c r="H1155" s="164">
        <v>19</v>
      </c>
      <c r="I1155" s="58">
        <v>905</v>
      </c>
      <c r="K1155" s="57"/>
    </row>
    <row r="1156" spans="1:11" x14ac:dyDescent="0.25">
      <c r="A1156" s="154">
        <v>40975</v>
      </c>
      <c r="B1156" s="150" t="s">
        <v>1045</v>
      </c>
      <c r="C1156" s="57" t="s">
        <v>909</v>
      </c>
      <c r="D1156" s="57" t="s">
        <v>748</v>
      </c>
      <c r="E1156" s="153">
        <v>2</v>
      </c>
      <c r="F1156" s="153">
        <v>10.91</v>
      </c>
      <c r="G1156" s="164"/>
      <c r="H1156" s="164">
        <v>21.82</v>
      </c>
      <c r="I1156" s="58">
        <v>905</v>
      </c>
      <c r="K1156" s="57"/>
    </row>
    <row r="1157" spans="1:11" x14ac:dyDescent="0.25">
      <c r="A1157" s="154">
        <v>40977</v>
      </c>
      <c r="B1157" s="150" t="s">
        <v>1046</v>
      </c>
      <c r="C1157" s="57" t="s">
        <v>1047</v>
      </c>
      <c r="D1157" s="57" t="s">
        <v>748</v>
      </c>
      <c r="E1157" s="153">
        <v>3</v>
      </c>
      <c r="F1157" s="153">
        <v>61.74</v>
      </c>
      <c r="G1157" s="164"/>
      <c r="H1157" s="164">
        <v>185.22</v>
      </c>
      <c r="I1157" s="58">
        <v>905</v>
      </c>
      <c r="K1157" s="57"/>
    </row>
    <row r="1158" spans="1:11" x14ac:dyDescent="0.25">
      <c r="A1158" s="154">
        <v>40991</v>
      </c>
      <c r="B1158" s="150" t="s">
        <v>1048</v>
      </c>
      <c r="C1158" s="57" t="s">
        <v>909</v>
      </c>
      <c r="D1158" s="57" t="s">
        <v>748</v>
      </c>
      <c r="E1158" s="153">
        <v>3</v>
      </c>
      <c r="F1158" s="153">
        <v>14.27</v>
      </c>
      <c r="G1158" s="164">
        <v>-42.81</v>
      </c>
      <c r="H1158" s="164"/>
      <c r="I1158" s="58">
        <v>905</v>
      </c>
      <c r="K1158" s="57"/>
    </row>
    <row r="1159" spans="1:11" x14ac:dyDescent="0.25">
      <c r="A1159" s="154">
        <v>41081</v>
      </c>
      <c r="B1159" s="150" t="s">
        <v>1049</v>
      </c>
      <c r="C1159" s="57" t="s">
        <v>909</v>
      </c>
      <c r="D1159" s="57" t="s">
        <v>748</v>
      </c>
      <c r="E1159" s="153">
        <v>1</v>
      </c>
      <c r="F1159" s="153">
        <v>90.9</v>
      </c>
      <c r="G1159" s="164"/>
      <c r="H1159" s="164">
        <v>90.9</v>
      </c>
      <c r="I1159" s="58">
        <v>905</v>
      </c>
      <c r="K1159" s="57"/>
    </row>
    <row r="1160" spans="1:11" x14ac:dyDescent="0.25">
      <c r="A1160" s="154">
        <v>41081</v>
      </c>
      <c r="B1160" s="150" t="s">
        <v>1050</v>
      </c>
      <c r="C1160" s="57" t="s">
        <v>909</v>
      </c>
      <c r="D1160" s="57" t="s">
        <v>748</v>
      </c>
      <c r="E1160" s="153">
        <v>1</v>
      </c>
      <c r="F1160" s="153">
        <v>219.81</v>
      </c>
      <c r="G1160" s="164"/>
      <c r="H1160" s="164">
        <v>219.81</v>
      </c>
      <c r="I1160" s="58">
        <v>905</v>
      </c>
      <c r="K1160" s="57"/>
    </row>
    <row r="1161" spans="1:11" x14ac:dyDescent="0.25">
      <c r="A1161" s="154">
        <v>41081</v>
      </c>
      <c r="B1161" s="150" t="s">
        <v>1051</v>
      </c>
      <c r="C1161" s="57" t="s">
        <v>909</v>
      </c>
      <c r="D1161" s="57" t="s">
        <v>748</v>
      </c>
      <c r="E1161" s="153">
        <v>1</v>
      </c>
      <c r="F1161" s="153">
        <v>87.38</v>
      </c>
      <c r="G1161" s="164"/>
      <c r="H1161" s="164">
        <v>87.38</v>
      </c>
      <c r="I1161" s="58">
        <v>905</v>
      </c>
      <c r="K1161" s="57"/>
    </row>
    <row r="1162" spans="1:11" x14ac:dyDescent="0.25">
      <c r="A1162" s="154">
        <v>41081</v>
      </c>
      <c r="B1162" s="150" t="s">
        <v>1052</v>
      </c>
      <c r="C1162" s="57" t="s">
        <v>909</v>
      </c>
      <c r="D1162" s="57" t="s">
        <v>748</v>
      </c>
      <c r="E1162" s="153">
        <v>1</v>
      </c>
      <c r="F1162" s="153">
        <v>35</v>
      </c>
      <c r="G1162" s="164"/>
      <c r="H1162" s="164">
        <v>35</v>
      </c>
      <c r="I1162" s="58">
        <v>905</v>
      </c>
      <c r="K1162" s="57"/>
    </row>
    <row r="1163" spans="1:11" x14ac:dyDescent="0.25">
      <c r="A1163" s="169" t="s">
        <v>682</v>
      </c>
      <c r="B1163" s="170" t="s">
        <v>1053</v>
      </c>
      <c r="C1163" s="171" t="s">
        <v>682</v>
      </c>
      <c r="D1163" s="171" t="s">
        <v>682</v>
      </c>
      <c r="E1163" s="172"/>
      <c r="F1163" s="172"/>
      <c r="G1163" s="173"/>
      <c r="H1163" s="173">
        <v>9544.9399999999969</v>
      </c>
      <c r="I1163" s="174" t="s">
        <v>682</v>
      </c>
      <c r="K1163" s="57"/>
    </row>
    <row r="1164" spans="1:11" x14ac:dyDescent="0.25">
      <c r="A1164" s="154" t="s">
        <v>682</v>
      </c>
      <c r="B1164" s="150" t="s">
        <v>682</v>
      </c>
      <c r="C1164" s="57" t="s">
        <v>682</v>
      </c>
      <c r="D1164" s="57" t="s">
        <v>682</v>
      </c>
      <c r="E1164" s="153"/>
      <c r="F1164" s="153"/>
      <c r="G1164" s="164"/>
      <c r="H1164" s="164"/>
      <c r="I1164" s="58" t="s">
        <v>682</v>
      </c>
      <c r="K1164" s="57"/>
    </row>
    <row r="1165" spans="1:11" x14ac:dyDescent="0.25">
      <c r="A1165" s="166" t="s">
        <v>682</v>
      </c>
      <c r="B1165" s="165" t="s">
        <v>1054</v>
      </c>
      <c r="C1165" s="60" t="s">
        <v>682</v>
      </c>
      <c r="D1165" s="60" t="s">
        <v>682</v>
      </c>
      <c r="E1165" s="167"/>
      <c r="F1165" s="167"/>
      <c r="G1165" s="168"/>
      <c r="H1165" s="168"/>
      <c r="I1165" s="46" t="s">
        <v>682</v>
      </c>
      <c r="K1165" s="57"/>
    </row>
    <row r="1166" spans="1:11" x14ac:dyDescent="0.25">
      <c r="A1166" s="154">
        <v>40841</v>
      </c>
      <c r="B1166" s="150" t="s">
        <v>782</v>
      </c>
      <c r="C1166" s="57" t="s">
        <v>8</v>
      </c>
      <c r="D1166" s="57" t="s">
        <v>26</v>
      </c>
      <c r="E1166" s="153">
        <v>10</v>
      </c>
      <c r="F1166" s="153">
        <v>35.35</v>
      </c>
      <c r="G1166" s="164"/>
      <c r="H1166" s="164">
        <v>353.5</v>
      </c>
      <c r="I1166" s="58">
        <v>907</v>
      </c>
      <c r="K1166" s="57"/>
    </row>
    <row r="1167" spans="1:11" x14ac:dyDescent="0.25">
      <c r="A1167" s="154">
        <v>40841</v>
      </c>
      <c r="B1167" s="150" t="s">
        <v>776</v>
      </c>
      <c r="C1167" s="57" t="s">
        <v>8</v>
      </c>
      <c r="D1167" s="57" t="s">
        <v>26</v>
      </c>
      <c r="E1167" s="153">
        <v>9</v>
      </c>
      <c r="F1167" s="153">
        <v>35.35</v>
      </c>
      <c r="G1167" s="164"/>
      <c r="H1167" s="164">
        <v>318.14999999999998</v>
      </c>
      <c r="I1167" s="58">
        <v>907</v>
      </c>
      <c r="K1167" s="57"/>
    </row>
    <row r="1168" spans="1:11" x14ac:dyDescent="0.25">
      <c r="A1168" s="154">
        <v>40841</v>
      </c>
      <c r="B1168" s="150" t="s">
        <v>782</v>
      </c>
      <c r="C1168" s="57" t="s">
        <v>8</v>
      </c>
      <c r="D1168" s="57" t="s">
        <v>26</v>
      </c>
      <c r="E1168" s="153">
        <v>10.5</v>
      </c>
      <c r="F1168" s="153">
        <v>35.35</v>
      </c>
      <c r="G1168" s="164"/>
      <c r="H1168" s="164">
        <v>371.17500000000001</v>
      </c>
      <c r="I1168" s="58">
        <v>907</v>
      </c>
      <c r="K1168" s="57"/>
    </row>
    <row r="1169" spans="1:11" x14ac:dyDescent="0.25">
      <c r="A1169" s="154">
        <v>40841</v>
      </c>
      <c r="B1169" s="150" t="s">
        <v>776</v>
      </c>
      <c r="C1169" s="57" t="s">
        <v>8</v>
      </c>
      <c r="D1169" s="57" t="s">
        <v>26</v>
      </c>
      <c r="E1169" s="153">
        <v>10</v>
      </c>
      <c r="F1169" s="153">
        <v>35.35</v>
      </c>
      <c r="G1169" s="164"/>
      <c r="H1169" s="164">
        <v>353.5</v>
      </c>
      <c r="I1169" s="58">
        <v>907</v>
      </c>
      <c r="K1169" s="57"/>
    </row>
    <row r="1170" spans="1:11" x14ac:dyDescent="0.25">
      <c r="A1170" s="154">
        <v>40842</v>
      </c>
      <c r="B1170" s="150" t="s">
        <v>773</v>
      </c>
      <c r="C1170" s="57" t="s">
        <v>774</v>
      </c>
      <c r="D1170" s="57" t="s">
        <v>26</v>
      </c>
      <c r="E1170" s="153">
        <v>10.5</v>
      </c>
      <c r="F1170" s="153">
        <v>42.79</v>
      </c>
      <c r="G1170" s="164"/>
      <c r="H1170" s="164">
        <v>449.29500000000002</v>
      </c>
      <c r="I1170" s="58">
        <v>907</v>
      </c>
      <c r="K1170" s="57"/>
    </row>
    <row r="1171" spans="1:11" x14ac:dyDescent="0.25">
      <c r="A1171" s="154">
        <v>40842</v>
      </c>
      <c r="B1171" s="150" t="s">
        <v>782</v>
      </c>
      <c r="C1171" s="57" t="s">
        <v>8</v>
      </c>
      <c r="D1171" s="57" t="s">
        <v>26</v>
      </c>
      <c r="E1171" s="153">
        <v>9.5</v>
      </c>
      <c r="F1171" s="153">
        <v>35.35</v>
      </c>
      <c r="G1171" s="164"/>
      <c r="H1171" s="164">
        <v>335.82499999999999</v>
      </c>
      <c r="I1171" s="58">
        <v>907</v>
      </c>
      <c r="K1171" s="57"/>
    </row>
    <row r="1172" spans="1:11" x14ac:dyDescent="0.25">
      <c r="A1172" s="154">
        <v>40842</v>
      </c>
      <c r="B1172" s="150" t="s">
        <v>776</v>
      </c>
      <c r="C1172" s="57" t="s">
        <v>8</v>
      </c>
      <c r="D1172" s="57" t="s">
        <v>26</v>
      </c>
      <c r="E1172" s="153">
        <v>10.5</v>
      </c>
      <c r="F1172" s="153">
        <v>35.35</v>
      </c>
      <c r="G1172" s="164"/>
      <c r="H1172" s="164">
        <v>371.17500000000001</v>
      </c>
      <c r="I1172" s="58">
        <v>907</v>
      </c>
      <c r="K1172" s="57"/>
    </row>
    <row r="1173" spans="1:11" x14ac:dyDescent="0.25">
      <c r="A1173" s="154">
        <v>40842</v>
      </c>
      <c r="B1173" s="150" t="s">
        <v>914</v>
      </c>
      <c r="C1173" s="57" t="s">
        <v>794</v>
      </c>
      <c r="D1173" s="57" t="s">
        <v>26</v>
      </c>
      <c r="E1173" s="153">
        <v>10.5</v>
      </c>
      <c r="F1173" s="153">
        <v>7</v>
      </c>
      <c r="G1173" s="164"/>
      <c r="H1173" s="164">
        <v>73.5</v>
      </c>
      <c r="I1173" s="58">
        <v>907</v>
      </c>
      <c r="K1173" s="57"/>
    </row>
    <row r="1174" spans="1:11" x14ac:dyDescent="0.25">
      <c r="A1174" s="154">
        <v>40842</v>
      </c>
      <c r="B1174" s="150" t="s">
        <v>776</v>
      </c>
      <c r="C1174" s="57" t="s">
        <v>8</v>
      </c>
      <c r="D1174" s="57" t="s">
        <v>26</v>
      </c>
      <c r="E1174" s="153">
        <v>9.5</v>
      </c>
      <c r="F1174" s="153">
        <v>35.35</v>
      </c>
      <c r="G1174" s="164"/>
      <c r="H1174" s="164">
        <v>335.82499999999999</v>
      </c>
      <c r="I1174" s="58">
        <v>907</v>
      </c>
      <c r="K1174" s="57"/>
    </row>
    <row r="1175" spans="1:11" x14ac:dyDescent="0.25">
      <c r="A1175" s="154">
        <v>40842</v>
      </c>
      <c r="B1175" s="150" t="s">
        <v>782</v>
      </c>
      <c r="C1175" s="57" t="s">
        <v>8</v>
      </c>
      <c r="D1175" s="57" t="s">
        <v>26</v>
      </c>
      <c r="E1175" s="153">
        <v>9.5</v>
      </c>
      <c r="F1175" s="153">
        <v>35.35</v>
      </c>
      <c r="G1175" s="164"/>
      <c r="H1175" s="164">
        <v>335.82499999999999</v>
      </c>
      <c r="I1175" s="58">
        <v>907</v>
      </c>
      <c r="K1175" s="57"/>
    </row>
    <row r="1176" spans="1:11" x14ac:dyDescent="0.25">
      <c r="A1176" s="154">
        <v>40842</v>
      </c>
      <c r="B1176" s="150" t="s">
        <v>865</v>
      </c>
      <c r="C1176" s="57" t="s">
        <v>973</v>
      </c>
      <c r="D1176" s="57" t="s">
        <v>25</v>
      </c>
      <c r="E1176" s="153">
        <v>1</v>
      </c>
      <c r="F1176" s="153">
        <v>850</v>
      </c>
      <c r="G1176" s="164"/>
      <c r="H1176" s="164">
        <v>850</v>
      </c>
      <c r="I1176" s="58">
        <v>907</v>
      </c>
      <c r="K1176" s="57"/>
    </row>
    <row r="1177" spans="1:11" x14ac:dyDescent="0.25">
      <c r="A1177" s="154">
        <v>40843</v>
      </c>
      <c r="B1177" s="150" t="s">
        <v>914</v>
      </c>
      <c r="C1177" s="57" t="s">
        <v>794</v>
      </c>
      <c r="D1177" s="57" t="s">
        <v>26</v>
      </c>
      <c r="E1177" s="153">
        <v>10.5</v>
      </c>
      <c r="F1177" s="153">
        <v>7</v>
      </c>
      <c r="G1177" s="164"/>
      <c r="H1177" s="164">
        <v>73.5</v>
      </c>
      <c r="I1177" s="58">
        <v>907</v>
      </c>
      <c r="K1177" s="57"/>
    </row>
    <row r="1178" spans="1:11" x14ac:dyDescent="0.25">
      <c r="A1178" s="154">
        <v>40843</v>
      </c>
      <c r="B1178" s="150" t="s">
        <v>773</v>
      </c>
      <c r="C1178" s="57" t="s">
        <v>774</v>
      </c>
      <c r="D1178" s="57" t="s">
        <v>26</v>
      </c>
      <c r="E1178" s="153">
        <v>10.5</v>
      </c>
      <c r="F1178" s="153">
        <v>42.79</v>
      </c>
      <c r="G1178" s="164"/>
      <c r="H1178" s="164">
        <v>449.29500000000002</v>
      </c>
      <c r="I1178" s="58">
        <v>907</v>
      </c>
      <c r="K1178" s="57"/>
    </row>
    <row r="1179" spans="1:11" x14ac:dyDescent="0.25">
      <c r="A1179" s="154">
        <v>40843</v>
      </c>
      <c r="B1179" s="150" t="s">
        <v>776</v>
      </c>
      <c r="C1179" s="57" t="s">
        <v>8</v>
      </c>
      <c r="D1179" s="57" t="s">
        <v>26</v>
      </c>
      <c r="E1179" s="153">
        <v>10.5</v>
      </c>
      <c r="F1179" s="153">
        <v>35.35</v>
      </c>
      <c r="G1179" s="164"/>
      <c r="H1179" s="164">
        <v>371.17500000000001</v>
      </c>
      <c r="I1179" s="58">
        <v>907</v>
      </c>
      <c r="K1179" s="57"/>
    </row>
    <row r="1180" spans="1:11" x14ac:dyDescent="0.25">
      <c r="A1180" s="154">
        <v>40844</v>
      </c>
      <c r="B1180" s="150" t="s">
        <v>776</v>
      </c>
      <c r="C1180" s="57" t="s">
        <v>8</v>
      </c>
      <c r="D1180" s="57" t="s">
        <v>26</v>
      </c>
      <c r="E1180" s="153">
        <v>10.5</v>
      </c>
      <c r="F1180" s="153">
        <v>35.35</v>
      </c>
      <c r="G1180" s="164"/>
      <c r="H1180" s="164">
        <v>371.17500000000001</v>
      </c>
      <c r="I1180" s="58">
        <v>907</v>
      </c>
      <c r="K1180" s="57"/>
    </row>
    <row r="1181" spans="1:11" x14ac:dyDescent="0.25">
      <c r="A1181" s="154">
        <v>40848</v>
      </c>
      <c r="B1181" s="150" t="s">
        <v>780</v>
      </c>
      <c r="C1181" s="57" t="s">
        <v>8</v>
      </c>
      <c r="D1181" s="57" t="s">
        <v>26</v>
      </c>
      <c r="E1181" s="153">
        <v>5</v>
      </c>
      <c r="F1181" s="153">
        <v>35.35</v>
      </c>
      <c r="G1181" s="164"/>
      <c r="H1181" s="164">
        <v>176.75</v>
      </c>
      <c r="I1181" s="58">
        <v>907</v>
      </c>
      <c r="K1181" s="57"/>
    </row>
    <row r="1182" spans="1:11" x14ac:dyDescent="0.25">
      <c r="A1182" s="154">
        <v>40850</v>
      </c>
      <c r="B1182" s="150" t="s">
        <v>776</v>
      </c>
      <c r="C1182" s="57" t="s">
        <v>8</v>
      </c>
      <c r="D1182" s="57" t="s">
        <v>26</v>
      </c>
      <c r="E1182" s="153">
        <v>5</v>
      </c>
      <c r="F1182" s="153">
        <v>35.35</v>
      </c>
      <c r="G1182" s="164"/>
      <c r="H1182" s="164">
        <v>176.75</v>
      </c>
      <c r="I1182" s="58">
        <v>907</v>
      </c>
      <c r="K1182" s="57"/>
    </row>
    <row r="1183" spans="1:11" x14ac:dyDescent="0.25">
      <c r="A1183" s="154">
        <v>40850</v>
      </c>
      <c r="B1183" s="150" t="s">
        <v>780</v>
      </c>
      <c r="C1183" s="57" t="s">
        <v>8</v>
      </c>
      <c r="D1183" s="57" t="s">
        <v>26</v>
      </c>
      <c r="E1183" s="153">
        <v>5</v>
      </c>
      <c r="F1183" s="153">
        <v>35.35</v>
      </c>
      <c r="G1183" s="164"/>
      <c r="H1183" s="164">
        <v>176.75</v>
      </c>
      <c r="I1183" s="58">
        <v>907</v>
      </c>
      <c r="K1183" s="57"/>
    </row>
    <row r="1184" spans="1:11" x14ac:dyDescent="0.25">
      <c r="A1184" s="154">
        <v>40850</v>
      </c>
      <c r="B1184" s="150" t="s">
        <v>782</v>
      </c>
      <c r="C1184" s="57" t="s">
        <v>8</v>
      </c>
      <c r="D1184" s="57" t="s">
        <v>26</v>
      </c>
      <c r="E1184" s="153">
        <v>5</v>
      </c>
      <c r="F1184" s="153">
        <v>35.35</v>
      </c>
      <c r="G1184" s="164"/>
      <c r="H1184" s="164">
        <v>176.75</v>
      </c>
      <c r="I1184" s="58">
        <v>907</v>
      </c>
      <c r="K1184" s="57"/>
    </row>
    <row r="1185" spans="1:11" x14ac:dyDescent="0.25">
      <c r="A1185" s="154">
        <v>40850</v>
      </c>
      <c r="B1185" s="150" t="s">
        <v>782</v>
      </c>
      <c r="C1185" s="57" t="s">
        <v>8</v>
      </c>
      <c r="D1185" s="57" t="s">
        <v>26</v>
      </c>
      <c r="E1185" s="153">
        <v>5</v>
      </c>
      <c r="F1185" s="153">
        <v>35.35</v>
      </c>
      <c r="G1185" s="164"/>
      <c r="H1185" s="164">
        <v>176.75</v>
      </c>
      <c r="I1185" s="58">
        <v>907</v>
      </c>
      <c r="K1185" s="57"/>
    </row>
    <row r="1186" spans="1:11" x14ac:dyDescent="0.25">
      <c r="A1186" s="154">
        <v>40855</v>
      </c>
      <c r="B1186" s="150" t="s">
        <v>776</v>
      </c>
      <c r="C1186" s="57" t="s">
        <v>8</v>
      </c>
      <c r="D1186" s="57" t="s">
        <v>26</v>
      </c>
      <c r="E1186" s="153">
        <v>5</v>
      </c>
      <c r="F1186" s="153">
        <v>35.35</v>
      </c>
      <c r="G1186" s="164"/>
      <c r="H1186" s="164">
        <v>176.75</v>
      </c>
      <c r="I1186" s="58">
        <v>907</v>
      </c>
      <c r="K1186" s="57"/>
    </row>
    <row r="1187" spans="1:11" x14ac:dyDescent="0.25">
      <c r="A1187" s="154">
        <v>40855</v>
      </c>
      <c r="B1187" s="150" t="s">
        <v>780</v>
      </c>
      <c r="C1187" s="57" t="s">
        <v>8</v>
      </c>
      <c r="D1187" s="57" t="s">
        <v>26</v>
      </c>
      <c r="E1187" s="153">
        <v>5</v>
      </c>
      <c r="F1187" s="153">
        <v>35.35</v>
      </c>
      <c r="G1187" s="164"/>
      <c r="H1187" s="164">
        <v>176.75</v>
      </c>
      <c r="I1187" s="58">
        <v>907</v>
      </c>
      <c r="K1187" s="57"/>
    </row>
    <row r="1188" spans="1:11" x14ac:dyDescent="0.25">
      <c r="A1188" s="154">
        <v>40855</v>
      </c>
      <c r="B1188" s="150" t="s">
        <v>782</v>
      </c>
      <c r="C1188" s="57" t="s">
        <v>8</v>
      </c>
      <c r="D1188" s="57" t="s">
        <v>26</v>
      </c>
      <c r="E1188" s="153">
        <v>6</v>
      </c>
      <c r="F1188" s="153">
        <v>35.35</v>
      </c>
      <c r="G1188" s="164"/>
      <c r="H1188" s="164">
        <v>212.1</v>
      </c>
      <c r="I1188" s="58">
        <v>907</v>
      </c>
      <c r="K1188" s="57"/>
    </row>
    <row r="1189" spans="1:11" x14ac:dyDescent="0.25">
      <c r="A1189" s="154">
        <v>40855</v>
      </c>
      <c r="B1189" s="150" t="s">
        <v>782</v>
      </c>
      <c r="C1189" s="57" t="s">
        <v>8</v>
      </c>
      <c r="D1189" s="57" t="s">
        <v>26</v>
      </c>
      <c r="E1189" s="153">
        <v>5</v>
      </c>
      <c r="F1189" s="153">
        <v>35.35</v>
      </c>
      <c r="G1189" s="164"/>
      <c r="H1189" s="164">
        <v>176.75</v>
      </c>
      <c r="I1189" s="58">
        <v>907</v>
      </c>
      <c r="K1189" s="57"/>
    </row>
    <row r="1190" spans="1:11" x14ac:dyDescent="0.25">
      <c r="A1190" s="154">
        <v>40855</v>
      </c>
      <c r="B1190" s="150" t="s">
        <v>776</v>
      </c>
      <c r="C1190" s="57" t="s">
        <v>8</v>
      </c>
      <c r="D1190" s="57" t="s">
        <v>26</v>
      </c>
      <c r="E1190" s="153">
        <v>5</v>
      </c>
      <c r="F1190" s="153">
        <v>35.35</v>
      </c>
      <c r="G1190" s="164"/>
      <c r="H1190" s="164">
        <v>176.75</v>
      </c>
      <c r="I1190" s="58">
        <v>907</v>
      </c>
      <c r="K1190" s="57"/>
    </row>
    <row r="1191" spans="1:11" x14ac:dyDescent="0.25">
      <c r="A1191" s="154">
        <v>40859</v>
      </c>
      <c r="B1191" s="150" t="s">
        <v>782</v>
      </c>
      <c r="C1191" s="57" t="s">
        <v>8</v>
      </c>
      <c r="D1191" s="57" t="s">
        <v>26</v>
      </c>
      <c r="E1191" s="153">
        <v>3.5</v>
      </c>
      <c r="F1191" s="153">
        <v>35.35</v>
      </c>
      <c r="G1191" s="164"/>
      <c r="H1191" s="164">
        <v>123.72499999999999</v>
      </c>
      <c r="I1191" s="58">
        <v>907</v>
      </c>
      <c r="K1191" s="57"/>
    </row>
    <row r="1192" spans="1:11" x14ac:dyDescent="0.25">
      <c r="A1192" s="154">
        <v>40864</v>
      </c>
      <c r="B1192" s="150" t="s">
        <v>776</v>
      </c>
      <c r="C1192" s="57" t="s">
        <v>8</v>
      </c>
      <c r="D1192" s="57" t="s">
        <v>26</v>
      </c>
      <c r="E1192" s="153">
        <v>5</v>
      </c>
      <c r="F1192" s="153">
        <v>35.35</v>
      </c>
      <c r="G1192" s="164"/>
      <c r="H1192" s="164">
        <v>176.75</v>
      </c>
      <c r="I1192" s="58">
        <v>907</v>
      </c>
      <c r="K1192" s="57"/>
    </row>
    <row r="1193" spans="1:11" x14ac:dyDescent="0.25">
      <c r="A1193" s="154">
        <v>40869</v>
      </c>
      <c r="B1193" s="150" t="s">
        <v>776</v>
      </c>
      <c r="C1193" s="57" t="s">
        <v>8</v>
      </c>
      <c r="D1193" s="57" t="s">
        <v>26</v>
      </c>
      <c r="E1193" s="153">
        <v>4.5</v>
      </c>
      <c r="F1193" s="153">
        <v>35.35</v>
      </c>
      <c r="G1193" s="164"/>
      <c r="H1193" s="164">
        <v>159.07499999999999</v>
      </c>
      <c r="I1193" s="58">
        <v>907</v>
      </c>
      <c r="K1193" s="57"/>
    </row>
    <row r="1194" spans="1:11" x14ac:dyDescent="0.25">
      <c r="A1194" s="154">
        <v>40869</v>
      </c>
      <c r="B1194" s="150" t="s">
        <v>780</v>
      </c>
      <c r="C1194" s="57" t="s">
        <v>8</v>
      </c>
      <c r="D1194" s="57" t="s">
        <v>26</v>
      </c>
      <c r="E1194" s="153">
        <v>4.5</v>
      </c>
      <c r="F1194" s="153">
        <v>35.35</v>
      </c>
      <c r="G1194" s="164"/>
      <c r="H1194" s="164">
        <v>159.07499999999999</v>
      </c>
      <c r="I1194" s="58">
        <v>907</v>
      </c>
      <c r="K1194" s="57"/>
    </row>
    <row r="1195" spans="1:11" x14ac:dyDescent="0.25">
      <c r="A1195" s="154">
        <v>40869</v>
      </c>
      <c r="B1195" s="150" t="s">
        <v>804</v>
      </c>
      <c r="C1195" s="57" t="s">
        <v>8</v>
      </c>
      <c r="D1195" s="57" t="s">
        <v>26</v>
      </c>
      <c r="E1195" s="153">
        <v>4.5</v>
      </c>
      <c r="F1195" s="153">
        <v>44.2</v>
      </c>
      <c r="G1195" s="164"/>
      <c r="H1195" s="164">
        <v>198.9</v>
      </c>
      <c r="I1195" s="58">
        <v>907</v>
      </c>
      <c r="K1195" s="57"/>
    </row>
    <row r="1196" spans="1:11" x14ac:dyDescent="0.25">
      <c r="A1196" s="154">
        <v>40869</v>
      </c>
      <c r="B1196" s="150" t="s">
        <v>782</v>
      </c>
      <c r="C1196" s="57" t="s">
        <v>8</v>
      </c>
      <c r="D1196" s="57" t="s">
        <v>26</v>
      </c>
      <c r="E1196" s="153">
        <v>4.5</v>
      </c>
      <c r="F1196" s="153">
        <v>35.35</v>
      </c>
      <c r="G1196" s="164"/>
      <c r="H1196" s="164">
        <v>159.07499999999999</v>
      </c>
      <c r="I1196" s="58">
        <v>907</v>
      </c>
      <c r="K1196" s="57"/>
    </row>
    <row r="1197" spans="1:11" x14ac:dyDescent="0.25">
      <c r="A1197" s="154">
        <v>40869</v>
      </c>
      <c r="B1197" s="150" t="s">
        <v>782</v>
      </c>
      <c r="C1197" s="57" t="s">
        <v>8</v>
      </c>
      <c r="D1197" s="57" t="s">
        <v>26</v>
      </c>
      <c r="E1197" s="153">
        <v>4.5</v>
      </c>
      <c r="F1197" s="153">
        <v>35.35</v>
      </c>
      <c r="G1197" s="164"/>
      <c r="H1197" s="164">
        <v>159.07499999999999</v>
      </c>
      <c r="I1197" s="58">
        <v>907</v>
      </c>
      <c r="K1197" s="57"/>
    </row>
    <row r="1198" spans="1:11" x14ac:dyDescent="0.25">
      <c r="A1198" s="154">
        <v>40869</v>
      </c>
      <c r="B1198" s="150" t="s">
        <v>782</v>
      </c>
      <c r="C1198" s="57" t="s">
        <v>8</v>
      </c>
      <c r="D1198" s="57" t="s">
        <v>26</v>
      </c>
      <c r="E1198" s="153">
        <v>6.5</v>
      </c>
      <c r="F1198" s="153">
        <v>35.35</v>
      </c>
      <c r="G1198" s="164"/>
      <c r="H1198" s="164">
        <v>229.77500000000001</v>
      </c>
      <c r="I1198" s="58">
        <v>907</v>
      </c>
      <c r="K1198" s="57"/>
    </row>
    <row r="1199" spans="1:11" x14ac:dyDescent="0.25">
      <c r="A1199" s="154">
        <v>40869</v>
      </c>
      <c r="B1199" s="150" t="s">
        <v>776</v>
      </c>
      <c r="C1199" s="57" t="s">
        <v>8</v>
      </c>
      <c r="D1199" s="57" t="s">
        <v>26</v>
      </c>
      <c r="E1199" s="153">
        <v>4.5</v>
      </c>
      <c r="F1199" s="153">
        <v>35.35</v>
      </c>
      <c r="G1199" s="164"/>
      <c r="H1199" s="164">
        <v>159.07499999999999</v>
      </c>
      <c r="I1199" s="58">
        <v>907</v>
      </c>
      <c r="K1199" s="57"/>
    </row>
    <row r="1200" spans="1:11" x14ac:dyDescent="0.25">
      <c r="A1200" s="154">
        <v>40869</v>
      </c>
      <c r="B1200" s="150" t="s">
        <v>773</v>
      </c>
      <c r="C1200" s="57" t="s">
        <v>774</v>
      </c>
      <c r="D1200" s="57" t="s">
        <v>26</v>
      </c>
      <c r="E1200" s="153">
        <v>4.5</v>
      </c>
      <c r="F1200" s="153">
        <v>42.79</v>
      </c>
      <c r="G1200" s="164"/>
      <c r="H1200" s="164">
        <v>192.55500000000001</v>
      </c>
      <c r="I1200" s="58">
        <v>907</v>
      </c>
      <c r="K1200" s="57"/>
    </row>
    <row r="1201" spans="1:11" x14ac:dyDescent="0.25">
      <c r="A1201" s="154">
        <v>40877</v>
      </c>
      <c r="B1201" s="150" t="s">
        <v>1055</v>
      </c>
      <c r="C1201" s="57" t="s">
        <v>1056</v>
      </c>
      <c r="D1201" s="57" t="s">
        <v>748</v>
      </c>
      <c r="E1201" s="153">
        <v>1</v>
      </c>
      <c r="F1201" s="153">
        <v>1700</v>
      </c>
      <c r="G1201" s="164"/>
      <c r="H1201" s="164">
        <v>1700</v>
      </c>
      <c r="I1201" s="58">
        <v>907</v>
      </c>
      <c r="K1201" s="57"/>
    </row>
    <row r="1202" spans="1:11" x14ac:dyDescent="0.25">
      <c r="A1202" s="154">
        <v>40878</v>
      </c>
      <c r="B1202" s="150" t="s">
        <v>782</v>
      </c>
      <c r="C1202" s="57" t="s">
        <v>8</v>
      </c>
      <c r="D1202" s="57" t="s">
        <v>26</v>
      </c>
      <c r="E1202" s="153">
        <v>4</v>
      </c>
      <c r="F1202" s="153">
        <v>35.35</v>
      </c>
      <c r="G1202" s="164"/>
      <c r="H1202" s="164">
        <v>141.4</v>
      </c>
      <c r="I1202" s="58">
        <v>907</v>
      </c>
      <c r="K1202" s="57"/>
    </row>
    <row r="1203" spans="1:11" x14ac:dyDescent="0.25">
      <c r="A1203" s="154">
        <v>40878</v>
      </c>
      <c r="B1203" s="150" t="s">
        <v>804</v>
      </c>
      <c r="C1203" s="57" t="s">
        <v>8</v>
      </c>
      <c r="D1203" s="57" t="s">
        <v>26</v>
      </c>
      <c r="E1203" s="153">
        <v>4</v>
      </c>
      <c r="F1203" s="153">
        <v>44.2</v>
      </c>
      <c r="G1203" s="164"/>
      <c r="H1203" s="164">
        <v>176.8</v>
      </c>
      <c r="I1203" s="58">
        <v>907</v>
      </c>
      <c r="K1203" s="57"/>
    </row>
    <row r="1204" spans="1:11" x14ac:dyDescent="0.25">
      <c r="A1204" s="154">
        <v>40878</v>
      </c>
      <c r="B1204" s="150" t="s">
        <v>782</v>
      </c>
      <c r="C1204" s="57" t="s">
        <v>8</v>
      </c>
      <c r="D1204" s="57" t="s">
        <v>26</v>
      </c>
      <c r="E1204" s="153">
        <v>4</v>
      </c>
      <c r="F1204" s="153">
        <v>35.35</v>
      </c>
      <c r="G1204" s="164"/>
      <c r="H1204" s="164">
        <v>141.4</v>
      </c>
      <c r="I1204" s="58">
        <v>907</v>
      </c>
      <c r="K1204" s="57"/>
    </row>
    <row r="1205" spans="1:11" x14ac:dyDescent="0.25">
      <c r="A1205" s="154">
        <v>40878</v>
      </c>
      <c r="B1205" s="150" t="s">
        <v>780</v>
      </c>
      <c r="C1205" s="57" t="s">
        <v>8</v>
      </c>
      <c r="D1205" s="57" t="s">
        <v>26</v>
      </c>
      <c r="E1205" s="153">
        <v>4</v>
      </c>
      <c r="F1205" s="153">
        <v>35.35</v>
      </c>
      <c r="G1205" s="164"/>
      <c r="H1205" s="164">
        <v>141.4</v>
      </c>
      <c r="I1205" s="58">
        <v>907</v>
      </c>
      <c r="K1205" s="57"/>
    </row>
    <row r="1206" spans="1:11" x14ac:dyDescent="0.25">
      <c r="A1206" s="154">
        <v>40878</v>
      </c>
      <c r="B1206" s="150" t="s">
        <v>782</v>
      </c>
      <c r="C1206" s="57" t="s">
        <v>8</v>
      </c>
      <c r="D1206" s="57" t="s">
        <v>26</v>
      </c>
      <c r="E1206" s="153">
        <v>4</v>
      </c>
      <c r="F1206" s="153">
        <v>35.35</v>
      </c>
      <c r="G1206" s="164"/>
      <c r="H1206" s="164">
        <v>141.4</v>
      </c>
      <c r="I1206" s="58">
        <v>907</v>
      </c>
      <c r="K1206" s="57"/>
    </row>
    <row r="1207" spans="1:11" x14ac:dyDescent="0.25">
      <c r="A1207" s="154">
        <v>40883</v>
      </c>
      <c r="B1207" s="150" t="s">
        <v>782</v>
      </c>
      <c r="C1207" s="57" t="s">
        <v>8</v>
      </c>
      <c r="D1207" s="57" t="s">
        <v>26</v>
      </c>
      <c r="E1207" s="153">
        <v>4</v>
      </c>
      <c r="F1207" s="153">
        <v>35.35</v>
      </c>
      <c r="G1207" s="164"/>
      <c r="H1207" s="164">
        <v>141.4</v>
      </c>
      <c r="I1207" s="58">
        <v>907</v>
      </c>
      <c r="K1207" s="57"/>
    </row>
    <row r="1208" spans="1:11" x14ac:dyDescent="0.25">
      <c r="A1208" s="154">
        <v>40883</v>
      </c>
      <c r="B1208" s="150" t="s">
        <v>780</v>
      </c>
      <c r="C1208" s="57" t="s">
        <v>8</v>
      </c>
      <c r="D1208" s="57" t="s">
        <v>26</v>
      </c>
      <c r="E1208" s="153">
        <v>4</v>
      </c>
      <c r="F1208" s="153">
        <v>35.35</v>
      </c>
      <c r="G1208" s="164"/>
      <c r="H1208" s="164">
        <v>141.4</v>
      </c>
      <c r="I1208" s="58">
        <v>907</v>
      </c>
      <c r="K1208" s="57"/>
    </row>
    <row r="1209" spans="1:11" x14ac:dyDescent="0.25">
      <c r="A1209" s="154">
        <v>40883</v>
      </c>
      <c r="B1209" s="150" t="s">
        <v>782</v>
      </c>
      <c r="C1209" s="57" t="s">
        <v>8</v>
      </c>
      <c r="D1209" s="57" t="s">
        <v>26</v>
      </c>
      <c r="E1209" s="153">
        <v>4</v>
      </c>
      <c r="F1209" s="153">
        <v>35.35</v>
      </c>
      <c r="G1209" s="164"/>
      <c r="H1209" s="164">
        <v>141.4</v>
      </c>
      <c r="I1209" s="58">
        <v>907</v>
      </c>
      <c r="K1209" s="57"/>
    </row>
    <row r="1210" spans="1:11" x14ac:dyDescent="0.25">
      <c r="A1210" s="154">
        <v>40883</v>
      </c>
      <c r="B1210" s="150" t="s">
        <v>782</v>
      </c>
      <c r="C1210" s="57" t="s">
        <v>8</v>
      </c>
      <c r="D1210" s="57" t="s">
        <v>26</v>
      </c>
      <c r="E1210" s="153">
        <v>4</v>
      </c>
      <c r="F1210" s="153">
        <v>35.35</v>
      </c>
      <c r="G1210" s="164"/>
      <c r="H1210" s="164">
        <v>141.4</v>
      </c>
      <c r="I1210" s="58">
        <v>907</v>
      </c>
      <c r="K1210" s="57"/>
    </row>
    <row r="1211" spans="1:11" x14ac:dyDescent="0.25">
      <c r="A1211" s="154">
        <v>40883</v>
      </c>
      <c r="B1211" s="150" t="s">
        <v>782</v>
      </c>
      <c r="C1211" s="57" t="s">
        <v>8</v>
      </c>
      <c r="D1211" s="57" t="s">
        <v>26</v>
      </c>
      <c r="E1211" s="153">
        <v>4</v>
      </c>
      <c r="F1211" s="153">
        <v>35.35</v>
      </c>
      <c r="G1211" s="164"/>
      <c r="H1211" s="164">
        <v>141.4</v>
      </c>
      <c r="I1211" s="58">
        <v>907</v>
      </c>
      <c r="K1211" s="57"/>
    </row>
    <row r="1212" spans="1:11" x14ac:dyDescent="0.25">
      <c r="A1212" s="154">
        <v>40883</v>
      </c>
      <c r="B1212" s="150" t="s">
        <v>804</v>
      </c>
      <c r="C1212" s="57" t="s">
        <v>8</v>
      </c>
      <c r="D1212" s="57" t="s">
        <v>26</v>
      </c>
      <c r="E1212" s="153">
        <v>4</v>
      </c>
      <c r="F1212" s="153">
        <v>44.2</v>
      </c>
      <c r="G1212" s="164"/>
      <c r="H1212" s="164">
        <v>176.8</v>
      </c>
      <c r="I1212" s="58">
        <v>907</v>
      </c>
      <c r="K1212" s="57"/>
    </row>
    <row r="1213" spans="1:11" x14ac:dyDescent="0.25">
      <c r="A1213" s="154">
        <v>40884</v>
      </c>
      <c r="B1213" s="150" t="s">
        <v>782</v>
      </c>
      <c r="C1213" s="57" t="s">
        <v>8</v>
      </c>
      <c r="D1213" s="57" t="s">
        <v>26</v>
      </c>
      <c r="E1213" s="153">
        <v>7.5</v>
      </c>
      <c r="F1213" s="153">
        <v>35.35</v>
      </c>
      <c r="G1213" s="164"/>
      <c r="H1213" s="164">
        <v>265.125</v>
      </c>
      <c r="I1213" s="58">
        <v>907</v>
      </c>
      <c r="K1213" s="57"/>
    </row>
    <row r="1214" spans="1:11" x14ac:dyDescent="0.25">
      <c r="A1214" s="154">
        <v>40884</v>
      </c>
      <c r="B1214" s="150" t="s">
        <v>782</v>
      </c>
      <c r="C1214" s="57" t="s">
        <v>8</v>
      </c>
      <c r="D1214" s="57" t="s">
        <v>26</v>
      </c>
      <c r="E1214" s="153">
        <v>9.5</v>
      </c>
      <c r="F1214" s="153">
        <v>35.35</v>
      </c>
      <c r="G1214" s="164"/>
      <c r="H1214" s="164">
        <v>335.82499999999999</v>
      </c>
      <c r="I1214" s="58">
        <v>907</v>
      </c>
      <c r="K1214" s="57"/>
    </row>
    <row r="1215" spans="1:11" x14ac:dyDescent="0.25">
      <c r="A1215" s="154">
        <v>40884</v>
      </c>
      <c r="B1215" s="150" t="s">
        <v>776</v>
      </c>
      <c r="C1215" s="57" t="s">
        <v>8</v>
      </c>
      <c r="D1215" s="57" t="s">
        <v>26</v>
      </c>
      <c r="E1215" s="153">
        <v>5</v>
      </c>
      <c r="F1215" s="153">
        <v>35.35</v>
      </c>
      <c r="G1215" s="164"/>
      <c r="H1215" s="164">
        <v>176.75</v>
      </c>
      <c r="I1215" s="58">
        <v>907</v>
      </c>
      <c r="K1215" s="57"/>
    </row>
    <row r="1216" spans="1:11" x14ac:dyDescent="0.25">
      <c r="A1216" s="154">
        <v>40884</v>
      </c>
      <c r="B1216" s="150" t="s">
        <v>782</v>
      </c>
      <c r="C1216" s="57" t="s">
        <v>8</v>
      </c>
      <c r="D1216" s="57" t="s">
        <v>26</v>
      </c>
      <c r="E1216" s="153">
        <v>9.5</v>
      </c>
      <c r="F1216" s="153">
        <v>35.35</v>
      </c>
      <c r="G1216" s="164"/>
      <c r="H1216" s="164">
        <v>335.82499999999999</v>
      </c>
      <c r="I1216" s="58">
        <v>907</v>
      </c>
      <c r="K1216" s="57"/>
    </row>
    <row r="1217" spans="1:11" x14ac:dyDescent="0.25">
      <c r="A1217" s="154">
        <v>40885</v>
      </c>
      <c r="B1217" s="150" t="s">
        <v>782</v>
      </c>
      <c r="C1217" s="57" t="s">
        <v>8</v>
      </c>
      <c r="D1217" s="57" t="s">
        <v>26</v>
      </c>
      <c r="E1217" s="153">
        <v>9.5</v>
      </c>
      <c r="F1217" s="153">
        <v>35.35</v>
      </c>
      <c r="G1217" s="164"/>
      <c r="H1217" s="164">
        <v>335.82499999999999</v>
      </c>
      <c r="I1217" s="58">
        <v>907</v>
      </c>
      <c r="K1217" s="57"/>
    </row>
    <row r="1218" spans="1:11" x14ac:dyDescent="0.25">
      <c r="A1218" s="154">
        <v>40899</v>
      </c>
      <c r="B1218" s="150" t="s">
        <v>1057</v>
      </c>
      <c r="C1218" s="57" t="s">
        <v>1056</v>
      </c>
      <c r="D1218" s="57" t="s">
        <v>748</v>
      </c>
      <c r="E1218" s="153">
        <v>1</v>
      </c>
      <c r="F1218" s="153">
        <v>1500</v>
      </c>
      <c r="G1218" s="164"/>
      <c r="H1218" s="164">
        <v>1500</v>
      </c>
      <c r="I1218" s="58">
        <v>907</v>
      </c>
      <c r="K1218" s="57"/>
    </row>
    <row r="1219" spans="1:11" x14ac:dyDescent="0.25">
      <c r="A1219" s="154">
        <v>40917</v>
      </c>
      <c r="B1219" s="150" t="s">
        <v>1058</v>
      </c>
      <c r="C1219" s="57" t="s">
        <v>8</v>
      </c>
      <c r="D1219" s="57" t="s">
        <v>26</v>
      </c>
      <c r="E1219" s="153">
        <v>2.5</v>
      </c>
      <c r="F1219" s="153">
        <v>40.97</v>
      </c>
      <c r="G1219" s="164"/>
      <c r="H1219" s="164">
        <v>102.425</v>
      </c>
      <c r="I1219" s="58">
        <v>907</v>
      </c>
      <c r="K1219" s="57"/>
    </row>
    <row r="1220" spans="1:11" x14ac:dyDescent="0.25">
      <c r="A1220" s="154">
        <v>40917</v>
      </c>
      <c r="B1220" s="150" t="s">
        <v>856</v>
      </c>
      <c r="C1220" s="57" t="s">
        <v>8</v>
      </c>
      <c r="D1220" s="57" t="s">
        <v>26</v>
      </c>
      <c r="E1220" s="153">
        <v>4</v>
      </c>
      <c r="F1220" s="153">
        <v>40.97</v>
      </c>
      <c r="G1220" s="164"/>
      <c r="H1220" s="164">
        <v>163.88</v>
      </c>
      <c r="I1220" s="58">
        <v>907</v>
      </c>
      <c r="K1220" s="57"/>
    </row>
    <row r="1221" spans="1:11" x14ac:dyDescent="0.25">
      <c r="A1221" s="154">
        <v>40917</v>
      </c>
      <c r="B1221" s="150" t="s">
        <v>782</v>
      </c>
      <c r="C1221" s="57" t="s">
        <v>8</v>
      </c>
      <c r="D1221" s="57" t="s">
        <v>26</v>
      </c>
      <c r="E1221" s="153">
        <v>4</v>
      </c>
      <c r="F1221" s="153">
        <v>35.35</v>
      </c>
      <c r="G1221" s="164"/>
      <c r="H1221" s="164">
        <v>141.4</v>
      </c>
      <c r="I1221" s="58">
        <v>907</v>
      </c>
      <c r="K1221" s="57"/>
    </row>
    <row r="1222" spans="1:11" x14ac:dyDescent="0.25">
      <c r="A1222" s="154">
        <v>40923</v>
      </c>
      <c r="B1222" s="150" t="s">
        <v>782</v>
      </c>
      <c r="C1222" s="57" t="s">
        <v>8</v>
      </c>
      <c r="D1222" s="57" t="s">
        <v>26</v>
      </c>
      <c r="E1222" s="153">
        <v>4</v>
      </c>
      <c r="F1222" s="153">
        <v>35.35</v>
      </c>
      <c r="G1222" s="164"/>
      <c r="H1222" s="164">
        <v>141.4</v>
      </c>
      <c r="I1222" s="58">
        <v>907</v>
      </c>
      <c r="K1222" s="57"/>
    </row>
    <row r="1223" spans="1:11" x14ac:dyDescent="0.25">
      <c r="A1223" s="154">
        <v>40923</v>
      </c>
      <c r="B1223" s="150" t="s">
        <v>782</v>
      </c>
      <c r="C1223" s="57" t="s">
        <v>8</v>
      </c>
      <c r="D1223" s="57" t="s">
        <v>26</v>
      </c>
      <c r="E1223" s="153">
        <v>4</v>
      </c>
      <c r="F1223" s="153">
        <v>35.35</v>
      </c>
      <c r="G1223" s="164"/>
      <c r="H1223" s="164">
        <v>141.4</v>
      </c>
      <c r="I1223" s="58">
        <v>907</v>
      </c>
      <c r="K1223" s="57"/>
    </row>
    <row r="1224" spans="1:11" x14ac:dyDescent="0.25">
      <c r="A1224" s="154">
        <v>40924</v>
      </c>
      <c r="B1224" s="150" t="s">
        <v>845</v>
      </c>
      <c r="C1224" s="57" t="s">
        <v>8</v>
      </c>
      <c r="D1224" s="57" t="s">
        <v>26</v>
      </c>
      <c r="E1224" s="153">
        <v>8</v>
      </c>
      <c r="F1224" s="153">
        <v>40.97</v>
      </c>
      <c r="G1224" s="164"/>
      <c r="H1224" s="164">
        <v>327.76</v>
      </c>
      <c r="I1224" s="58">
        <v>907</v>
      </c>
      <c r="K1224" s="57"/>
    </row>
    <row r="1225" spans="1:11" x14ac:dyDescent="0.25">
      <c r="A1225" s="154">
        <v>40924</v>
      </c>
      <c r="B1225" s="150" t="s">
        <v>782</v>
      </c>
      <c r="C1225" s="57" t="s">
        <v>8</v>
      </c>
      <c r="D1225" s="57" t="s">
        <v>26</v>
      </c>
      <c r="E1225" s="153">
        <v>4</v>
      </c>
      <c r="F1225" s="153">
        <v>35.35</v>
      </c>
      <c r="G1225" s="164"/>
      <c r="H1225" s="164">
        <v>141.4</v>
      </c>
      <c r="I1225" s="58">
        <v>907</v>
      </c>
      <c r="K1225" s="57"/>
    </row>
    <row r="1226" spans="1:11" x14ac:dyDescent="0.25">
      <c r="A1226" s="154">
        <v>40924</v>
      </c>
      <c r="B1226" s="150" t="s">
        <v>782</v>
      </c>
      <c r="C1226" s="57" t="s">
        <v>8</v>
      </c>
      <c r="D1226" s="57" t="s">
        <v>26</v>
      </c>
      <c r="E1226" s="153">
        <v>6</v>
      </c>
      <c r="F1226" s="153">
        <v>35.35</v>
      </c>
      <c r="G1226" s="164"/>
      <c r="H1226" s="164">
        <v>212.1</v>
      </c>
      <c r="I1226" s="58">
        <v>907</v>
      </c>
      <c r="K1226" s="57"/>
    </row>
    <row r="1227" spans="1:11" x14ac:dyDescent="0.25">
      <c r="A1227" s="154">
        <v>40924</v>
      </c>
      <c r="B1227" s="150" t="s">
        <v>1059</v>
      </c>
      <c r="C1227" s="57" t="s">
        <v>8</v>
      </c>
      <c r="D1227" s="57" t="s">
        <v>26</v>
      </c>
      <c r="E1227" s="153">
        <v>10.5</v>
      </c>
      <c r="F1227" s="153">
        <v>40.97</v>
      </c>
      <c r="G1227" s="164"/>
      <c r="H1227" s="164">
        <v>430.185</v>
      </c>
      <c r="I1227" s="58">
        <v>907</v>
      </c>
      <c r="K1227" s="57"/>
    </row>
    <row r="1228" spans="1:11" x14ac:dyDescent="0.25">
      <c r="A1228" s="154">
        <v>40924</v>
      </c>
      <c r="B1228" s="150" t="s">
        <v>856</v>
      </c>
      <c r="C1228" s="57" t="s">
        <v>8</v>
      </c>
      <c r="D1228" s="57" t="s">
        <v>26</v>
      </c>
      <c r="E1228" s="153">
        <v>8.5</v>
      </c>
      <c r="F1228" s="153">
        <v>40.97</v>
      </c>
      <c r="G1228" s="164"/>
      <c r="H1228" s="164">
        <v>348.245</v>
      </c>
      <c r="I1228" s="58">
        <v>907</v>
      </c>
      <c r="K1228" s="57"/>
    </row>
    <row r="1229" spans="1:11" x14ac:dyDescent="0.25">
      <c r="A1229" s="154">
        <v>40926</v>
      </c>
      <c r="B1229" s="150" t="s">
        <v>1060</v>
      </c>
      <c r="C1229" s="57" t="s">
        <v>1056</v>
      </c>
      <c r="D1229" s="57" t="s">
        <v>748</v>
      </c>
      <c r="E1229" s="153">
        <v>1</v>
      </c>
      <c r="F1229" s="153">
        <v>3350</v>
      </c>
      <c r="G1229" s="164"/>
      <c r="H1229" s="164">
        <v>3350</v>
      </c>
      <c r="I1229" s="58">
        <v>907</v>
      </c>
      <c r="K1229" s="57"/>
    </row>
    <row r="1230" spans="1:11" x14ac:dyDescent="0.25">
      <c r="A1230" s="154">
        <v>40927</v>
      </c>
      <c r="B1230" s="150" t="s">
        <v>782</v>
      </c>
      <c r="C1230" s="57" t="s">
        <v>8</v>
      </c>
      <c r="D1230" s="57" t="s">
        <v>26</v>
      </c>
      <c r="E1230" s="153">
        <v>4</v>
      </c>
      <c r="F1230" s="153">
        <v>35.35</v>
      </c>
      <c r="G1230" s="164"/>
      <c r="H1230" s="164">
        <v>141.4</v>
      </c>
      <c r="I1230" s="58">
        <v>907</v>
      </c>
      <c r="K1230" s="57"/>
    </row>
    <row r="1231" spans="1:11" x14ac:dyDescent="0.25">
      <c r="A1231" s="154">
        <v>40927</v>
      </c>
      <c r="B1231" s="150" t="s">
        <v>782</v>
      </c>
      <c r="C1231" s="57" t="s">
        <v>8</v>
      </c>
      <c r="D1231" s="57" t="s">
        <v>26</v>
      </c>
      <c r="E1231" s="153">
        <v>4</v>
      </c>
      <c r="F1231" s="153">
        <v>35.35</v>
      </c>
      <c r="G1231" s="164"/>
      <c r="H1231" s="164">
        <v>141.4</v>
      </c>
      <c r="I1231" s="58">
        <v>907</v>
      </c>
      <c r="K1231" s="57"/>
    </row>
    <row r="1232" spans="1:11" x14ac:dyDescent="0.25">
      <c r="A1232" s="154">
        <v>40927</v>
      </c>
      <c r="B1232" s="150" t="s">
        <v>856</v>
      </c>
      <c r="C1232" s="57" t="s">
        <v>8</v>
      </c>
      <c r="D1232" s="57" t="s">
        <v>26</v>
      </c>
      <c r="E1232" s="153">
        <v>8.5</v>
      </c>
      <c r="F1232" s="153">
        <v>40.97</v>
      </c>
      <c r="G1232" s="164"/>
      <c r="H1232" s="164">
        <v>348.245</v>
      </c>
      <c r="I1232" s="58">
        <v>907</v>
      </c>
      <c r="K1232" s="57"/>
    </row>
    <row r="1233" spans="1:11" x14ac:dyDescent="0.25">
      <c r="A1233" s="154">
        <v>40930</v>
      </c>
      <c r="B1233" s="150" t="s">
        <v>1061</v>
      </c>
      <c r="C1233" s="57" t="s">
        <v>1056</v>
      </c>
      <c r="D1233" s="57" t="s">
        <v>748</v>
      </c>
      <c r="E1233" s="153">
        <v>1</v>
      </c>
      <c r="F1233" s="153">
        <v>1300</v>
      </c>
      <c r="G1233" s="164"/>
      <c r="H1233" s="164">
        <v>1300</v>
      </c>
      <c r="I1233" s="58">
        <v>907</v>
      </c>
      <c r="K1233" s="57"/>
    </row>
    <row r="1234" spans="1:11" x14ac:dyDescent="0.25">
      <c r="A1234" s="154">
        <v>40932</v>
      </c>
      <c r="B1234" s="150" t="s">
        <v>782</v>
      </c>
      <c r="C1234" s="57" t="s">
        <v>8</v>
      </c>
      <c r="D1234" s="57" t="s">
        <v>26</v>
      </c>
      <c r="E1234" s="153">
        <v>4</v>
      </c>
      <c r="F1234" s="153">
        <v>35.35</v>
      </c>
      <c r="G1234" s="164"/>
      <c r="H1234" s="164">
        <v>141.4</v>
      </c>
      <c r="I1234" s="58">
        <v>907</v>
      </c>
      <c r="K1234" s="57"/>
    </row>
    <row r="1235" spans="1:11" x14ac:dyDescent="0.25">
      <c r="A1235" s="154">
        <v>40932</v>
      </c>
      <c r="B1235" s="150" t="s">
        <v>856</v>
      </c>
      <c r="C1235" s="57" t="s">
        <v>8</v>
      </c>
      <c r="D1235" s="57" t="s">
        <v>26</v>
      </c>
      <c r="E1235" s="153">
        <v>4</v>
      </c>
      <c r="F1235" s="153">
        <v>40.97</v>
      </c>
      <c r="G1235" s="164"/>
      <c r="H1235" s="164">
        <v>163.88</v>
      </c>
      <c r="I1235" s="58">
        <v>907</v>
      </c>
      <c r="K1235" s="57"/>
    </row>
    <row r="1236" spans="1:11" x14ac:dyDescent="0.25">
      <c r="A1236" s="154">
        <v>40932</v>
      </c>
      <c r="B1236" s="150" t="s">
        <v>845</v>
      </c>
      <c r="C1236" s="57" t="s">
        <v>8</v>
      </c>
      <c r="D1236" s="57" t="s">
        <v>26</v>
      </c>
      <c r="E1236" s="153">
        <v>10</v>
      </c>
      <c r="F1236" s="153">
        <v>40.97</v>
      </c>
      <c r="G1236" s="164"/>
      <c r="H1236" s="164">
        <v>409.7</v>
      </c>
      <c r="I1236" s="58">
        <v>907</v>
      </c>
      <c r="K1236" s="57"/>
    </row>
    <row r="1237" spans="1:11" x14ac:dyDescent="0.25">
      <c r="A1237" s="154">
        <v>40932</v>
      </c>
      <c r="B1237" s="150" t="s">
        <v>791</v>
      </c>
      <c r="C1237" s="57" t="s">
        <v>1189</v>
      </c>
      <c r="D1237" s="57" t="s">
        <v>26</v>
      </c>
      <c r="E1237" s="153">
        <v>4</v>
      </c>
      <c r="F1237" s="153">
        <v>130</v>
      </c>
      <c r="G1237" s="164"/>
      <c r="H1237" s="164">
        <v>520</v>
      </c>
      <c r="I1237" s="58">
        <v>907</v>
      </c>
      <c r="K1237" s="57"/>
    </row>
    <row r="1238" spans="1:11" x14ac:dyDescent="0.25">
      <c r="A1238" s="154">
        <v>40932</v>
      </c>
      <c r="B1238" s="150" t="s">
        <v>782</v>
      </c>
      <c r="C1238" s="57" t="s">
        <v>8</v>
      </c>
      <c r="D1238" s="57" t="s">
        <v>26</v>
      </c>
      <c r="E1238" s="153">
        <v>4</v>
      </c>
      <c r="F1238" s="153">
        <v>35.35</v>
      </c>
      <c r="G1238" s="164"/>
      <c r="H1238" s="164">
        <v>141.4</v>
      </c>
      <c r="I1238" s="58">
        <v>907</v>
      </c>
      <c r="K1238" s="57"/>
    </row>
    <row r="1239" spans="1:11" x14ac:dyDescent="0.25">
      <c r="A1239" s="154">
        <v>40932</v>
      </c>
      <c r="B1239" s="150" t="s">
        <v>1062</v>
      </c>
      <c r="C1239" s="57" t="s">
        <v>8</v>
      </c>
      <c r="D1239" s="57" t="s">
        <v>26</v>
      </c>
      <c r="E1239" s="153">
        <v>10.5</v>
      </c>
      <c r="F1239" s="153">
        <v>40.97</v>
      </c>
      <c r="G1239" s="164"/>
      <c r="H1239" s="164">
        <v>430.185</v>
      </c>
      <c r="I1239" s="58">
        <v>907</v>
      </c>
      <c r="K1239" s="57"/>
    </row>
    <row r="1240" spans="1:11" x14ac:dyDescent="0.25">
      <c r="A1240" s="154">
        <v>40932</v>
      </c>
      <c r="B1240" s="150" t="s">
        <v>780</v>
      </c>
      <c r="C1240" s="57" t="s">
        <v>8</v>
      </c>
      <c r="D1240" s="57" t="s">
        <v>26</v>
      </c>
      <c r="E1240" s="153">
        <v>4</v>
      </c>
      <c r="F1240" s="153">
        <v>35.35</v>
      </c>
      <c r="G1240" s="164"/>
      <c r="H1240" s="164">
        <v>141.4</v>
      </c>
      <c r="I1240" s="58">
        <v>907</v>
      </c>
      <c r="K1240" s="57"/>
    </row>
    <row r="1241" spans="1:11" x14ac:dyDescent="0.25">
      <c r="A1241" s="154">
        <v>40933</v>
      </c>
      <c r="B1241" s="150" t="s">
        <v>787</v>
      </c>
      <c r="C1241" s="57" t="s">
        <v>8</v>
      </c>
      <c r="D1241" s="57" t="s">
        <v>26</v>
      </c>
      <c r="E1241" s="153">
        <v>10</v>
      </c>
      <c r="F1241" s="153">
        <v>40.97</v>
      </c>
      <c r="G1241" s="164"/>
      <c r="H1241" s="164">
        <v>409.7</v>
      </c>
      <c r="I1241" s="58">
        <v>907</v>
      </c>
      <c r="K1241" s="57"/>
    </row>
    <row r="1242" spans="1:11" x14ac:dyDescent="0.25">
      <c r="A1242" s="154">
        <v>40935</v>
      </c>
      <c r="B1242" s="150" t="s">
        <v>782</v>
      </c>
      <c r="C1242" s="57" t="s">
        <v>8</v>
      </c>
      <c r="D1242" s="57" t="s">
        <v>26</v>
      </c>
      <c r="E1242" s="153">
        <v>8</v>
      </c>
      <c r="F1242" s="153">
        <v>35.35</v>
      </c>
      <c r="G1242" s="164"/>
      <c r="H1242" s="164">
        <v>282.8</v>
      </c>
      <c r="I1242" s="58">
        <v>907</v>
      </c>
      <c r="K1242" s="57"/>
    </row>
    <row r="1243" spans="1:11" x14ac:dyDescent="0.25">
      <c r="A1243" s="154">
        <v>40935</v>
      </c>
      <c r="B1243" s="150" t="s">
        <v>780</v>
      </c>
      <c r="C1243" s="57" t="s">
        <v>8</v>
      </c>
      <c r="D1243" s="57" t="s">
        <v>26</v>
      </c>
      <c r="E1243" s="153">
        <v>8</v>
      </c>
      <c r="F1243" s="153">
        <v>35.35</v>
      </c>
      <c r="G1243" s="164"/>
      <c r="H1243" s="164">
        <v>282.8</v>
      </c>
      <c r="I1243" s="58">
        <v>907</v>
      </c>
      <c r="K1243" s="57"/>
    </row>
    <row r="1244" spans="1:11" x14ac:dyDescent="0.25">
      <c r="A1244" s="154">
        <v>40937</v>
      </c>
      <c r="B1244" s="150" t="s">
        <v>1063</v>
      </c>
      <c r="C1244" s="57" t="s">
        <v>1056</v>
      </c>
      <c r="D1244" s="57" t="s">
        <v>748</v>
      </c>
      <c r="E1244" s="153">
        <v>1</v>
      </c>
      <c r="F1244" s="153">
        <v>1700</v>
      </c>
      <c r="G1244" s="164"/>
      <c r="H1244" s="164">
        <v>1700</v>
      </c>
      <c r="I1244" s="58">
        <v>907</v>
      </c>
      <c r="K1244" s="57"/>
    </row>
    <row r="1245" spans="1:11" ht="30" x14ac:dyDescent="0.25">
      <c r="A1245" s="154">
        <v>40939</v>
      </c>
      <c r="B1245" s="150" t="s">
        <v>1064</v>
      </c>
      <c r="C1245" s="57" t="s">
        <v>982</v>
      </c>
      <c r="D1245" s="57" t="s">
        <v>748</v>
      </c>
      <c r="E1245" s="153">
        <v>1</v>
      </c>
      <c r="F1245" s="153">
        <v>3363.2</v>
      </c>
      <c r="G1245" s="164"/>
      <c r="H1245" s="164">
        <v>3363.2</v>
      </c>
      <c r="I1245" s="58">
        <v>907</v>
      </c>
      <c r="K1245" s="57"/>
    </row>
    <row r="1246" spans="1:11" x14ac:dyDescent="0.25">
      <c r="A1246" s="154">
        <v>40939</v>
      </c>
      <c r="B1246" s="150" t="s">
        <v>1065</v>
      </c>
      <c r="C1246" s="57" t="s">
        <v>1066</v>
      </c>
      <c r="D1246" s="57" t="s">
        <v>748</v>
      </c>
      <c r="E1246" s="153">
        <v>1</v>
      </c>
      <c r="F1246" s="153">
        <v>999.27</v>
      </c>
      <c r="G1246" s="164"/>
      <c r="H1246" s="164">
        <v>999.27</v>
      </c>
      <c r="I1246" s="58">
        <v>907</v>
      </c>
      <c r="K1246" s="57"/>
    </row>
    <row r="1247" spans="1:11" x14ac:dyDescent="0.25">
      <c r="A1247" s="154">
        <v>40942</v>
      </c>
      <c r="B1247" s="150" t="s">
        <v>782</v>
      </c>
      <c r="C1247" s="57" t="s">
        <v>8</v>
      </c>
      <c r="D1247" s="57" t="s">
        <v>26</v>
      </c>
      <c r="E1247" s="153">
        <v>11.5</v>
      </c>
      <c r="F1247" s="153">
        <v>35.35</v>
      </c>
      <c r="G1247" s="164"/>
      <c r="H1247" s="164">
        <v>406.52499999999998</v>
      </c>
      <c r="I1247" s="58">
        <v>907</v>
      </c>
      <c r="K1247" s="57"/>
    </row>
    <row r="1248" spans="1:11" x14ac:dyDescent="0.25">
      <c r="A1248" s="154">
        <v>40942</v>
      </c>
      <c r="B1248" s="150" t="s">
        <v>782</v>
      </c>
      <c r="C1248" s="57" t="s">
        <v>8</v>
      </c>
      <c r="D1248" s="57" t="s">
        <v>26</v>
      </c>
      <c r="E1248" s="153">
        <v>8</v>
      </c>
      <c r="F1248" s="153">
        <v>35.35</v>
      </c>
      <c r="G1248" s="164"/>
      <c r="H1248" s="164">
        <v>282.8</v>
      </c>
      <c r="I1248" s="58">
        <v>907</v>
      </c>
      <c r="K1248" s="57"/>
    </row>
    <row r="1249" spans="1:11" x14ac:dyDescent="0.25">
      <c r="A1249" s="154">
        <v>40942</v>
      </c>
      <c r="B1249" s="150" t="s">
        <v>776</v>
      </c>
      <c r="C1249" s="57" t="s">
        <v>8</v>
      </c>
      <c r="D1249" s="57" t="s">
        <v>26</v>
      </c>
      <c r="E1249" s="153">
        <v>3</v>
      </c>
      <c r="F1249" s="153">
        <v>35.35</v>
      </c>
      <c r="G1249" s="164"/>
      <c r="H1249" s="164">
        <v>106.05</v>
      </c>
      <c r="I1249" s="58">
        <v>907</v>
      </c>
      <c r="K1249" s="57"/>
    </row>
    <row r="1250" spans="1:11" x14ac:dyDescent="0.25">
      <c r="A1250" s="154">
        <v>40946</v>
      </c>
      <c r="B1250" s="150" t="s">
        <v>776</v>
      </c>
      <c r="C1250" s="57" t="s">
        <v>8</v>
      </c>
      <c r="D1250" s="57" t="s">
        <v>26</v>
      </c>
      <c r="E1250" s="153">
        <v>5.5</v>
      </c>
      <c r="F1250" s="153">
        <v>35.35</v>
      </c>
      <c r="G1250" s="164"/>
      <c r="H1250" s="164">
        <v>194.42500000000001</v>
      </c>
      <c r="I1250" s="58">
        <v>907</v>
      </c>
      <c r="K1250" s="57"/>
    </row>
    <row r="1251" spans="1:11" x14ac:dyDescent="0.25">
      <c r="A1251" s="154">
        <v>40946</v>
      </c>
      <c r="B1251" s="150" t="s">
        <v>780</v>
      </c>
      <c r="C1251" s="57" t="s">
        <v>8</v>
      </c>
      <c r="D1251" s="57" t="s">
        <v>26</v>
      </c>
      <c r="E1251" s="153">
        <v>5.5</v>
      </c>
      <c r="F1251" s="153">
        <v>35.35</v>
      </c>
      <c r="G1251" s="164"/>
      <c r="H1251" s="164">
        <v>194.42500000000001</v>
      </c>
      <c r="I1251" s="58">
        <v>907</v>
      </c>
      <c r="K1251" s="57"/>
    </row>
    <row r="1252" spans="1:11" x14ac:dyDescent="0.25">
      <c r="A1252" s="154">
        <v>40946</v>
      </c>
      <c r="B1252" s="150" t="s">
        <v>776</v>
      </c>
      <c r="C1252" s="57" t="s">
        <v>8</v>
      </c>
      <c r="D1252" s="57" t="s">
        <v>26</v>
      </c>
      <c r="E1252" s="153">
        <v>3</v>
      </c>
      <c r="F1252" s="153">
        <v>35.35</v>
      </c>
      <c r="G1252" s="164"/>
      <c r="H1252" s="164">
        <v>106.05</v>
      </c>
      <c r="I1252" s="58">
        <v>907</v>
      </c>
      <c r="K1252" s="57"/>
    </row>
    <row r="1253" spans="1:11" x14ac:dyDescent="0.25">
      <c r="A1253" s="154">
        <v>40946</v>
      </c>
      <c r="B1253" s="150" t="s">
        <v>850</v>
      </c>
      <c r="C1253" s="57" t="s">
        <v>8</v>
      </c>
      <c r="D1253" s="57" t="s">
        <v>26</v>
      </c>
      <c r="E1253" s="153">
        <v>3</v>
      </c>
      <c r="F1253" s="153">
        <v>40.97</v>
      </c>
      <c r="G1253" s="164"/>
      <c r="H1253" s="164">
        <v>122.91</v>
      </c>
      <c r="I1253" s="58">
        <v>907</v>
      </c>
      <c r="K1253" s="57"/>
    </row>
    <row r="1254" spans="1:11" x14ac:dyDescent="0.25">
      <c r="A1254" s="154">
        <v>40956</v>
      </c>
      <c r="B1254" s="150" t="s">
        <v>782</v>
      </c>
      <c r="C1254" s="57" t="s">
        <v>8</v>
      </c>
      <c r="D1254" s="57" t="s">
        <v>26</v>
      </c>
      <c r="E1254" s="153">
        <v>4</v>
      </c>
      <c r="F1254" s="153">
        <v>35.35</v>
      </c>
      <c r="G1254" s="164"/>
      <c r="H1254" s="164">
        <v>141.4</v>
      </c>
      <c r="I1254" s="58">
        <v>907</v>
      </c>
      <c r="K1254" s="57"/>
    </row>
    <row r="1255" spans="1:11" x14ac:dyDescent="0.25">
      <c r="A1255" s="154">
        <v>40960</v>
      </c>
      <c r="B1255" s="150" t="s">
        <v>780</v>
      </c>
      <c r="C1255" s="57" t="s">
        <v>8</v>
      </c>
      <c r="D1255" s="57" t="s">
        <v>26</v>
      </c>
      <c r="E1255" s="153">
        <v>4</v>
      </c>
      <c r="F1255" s="153">
        <v>35.35</v>
      </c>
      <c r="G1255" s="164"/>
      <c r="H1255" s="164">
        <v>141.4</v>
      </c>
      <c r="I1255" s="58">
        <v>907</v>
      </c>
      <c r="K1255" s="57"/>
    </row>
    <row r="1256" spans="1:11" x14ac:dyDescent="0.25">
      <c r="A1256" s="154">
        <v>40966</v>
      </c>
      <c r="B1256" s="150" t="s">
        <v>776</v>
      </c>
      <c r="C1256" s="57" t="s">
        <v>8</v>
      </c>
      <c r="D1256" s="57" t="s">
        <v>26</v>
      </c>
      <c r="E1256" s="153">
        <v>8</v>
      </c>
      <c r="F1256" s="153">
        <v>35.35</v>
      </c>
      <c r="G1256" s="164"/>
      <c r="H1256" s="164">
        <v>282.8</v>
      </c>
      <c r="I1256" s="58">
        <v>907</v>
      </c>
      <c r="K1256" s="57"/>
    </row>
    <row r="1257" spans="1:11" ht="30" x14ac:dyDescent="0.25">
      <c r="A1257" s="154">
        <v>40968</v>
      </c>
      <c r="B1257" s="150" t="s">
        <v>1067</v>
      </c>
      <c r="C1257" s="57" t="s">
        <v>977</v>
      </c>
      <c r="D1257" s="57" t="s">
        <v>748</v>
      </c>
      <c r="E1257" s="153">
        <v>1</v>
      </c>
      <c r="F1257" s="153">
        <v>2320</v>
      </c>
      <c r="G1257" s="164"/>
      <c r="H1257" s="164">
        <v>2320</v>
      </c>
      <c r="I1257" s="58">
        <v>907</v>
      </c>
      <c r="K1257" s="57"/>
    </row>
    <row r="1258" spans="1:11" ht="30" x14ac:dyDescent="0.25">
      <c r="A1258" s="154">
        <v>40968</v>
      </c>
      <c r="B1258" s="150" t="s">
        <v>1068</v>
      </c>
      <c r="C1258" s="57" t="s">
        <v>982</v>
      </c>
      <c r="D1258" s="57" t="s">
        <v>748</v>
      </c>
      <c r="E1258" s="153">
        <v>1</v>
      </c>
      <c r="F1258" s="153">
        <v>1288.5899999999999</v>
      </c>
      <c r="G1258" s="164"/>
      <c r="H1258" s="164">
        <v>1288.5899999999999</v>
      </c>
      <c r="I1258" s="58">
        <v>907</v>
      </c>
      <c r="K1258" s="57"/>
    </row>
    <row r="1259" spans="1:11" x14ac:dyDescent="0.25">
      <c r="A1259" s="154">
        <v>40968</v>
      </c>
      <c r="B1259" s="150" t="s">
        <v>1069</v>
      </c>
      <c r="C1259" s="57" t="s">
        <v>1066</v>
      </c>
      <c r="D1259" s="57" t="s">
        <v>748</v>
      </c>
      <c r="E1259" s="153">
        <v>1</v>
      </c>
      <c r="F1259" s="153">
        <v>756.78</v>
      </c>
      <c r="G1259" s="164"/>
      <c r="H1259" s="164">
        <v>756.78</v>
      </c>
      <c r="I1259" s="58">
        <v>907</v>
      </c>
      <c r="K1259" s="57"/>
    </row>
    <row r="1260" spans="1:11" x14ac:dyDescent="0.25">
      <c r="A1260" s="154">
        <v>40974</v>
      </c>
      <c r="B1260" s="150" t="s">
        <v>780</v>
      </c>
      <c r="C1260" s="57" t="s">
        <v>8</v>
      </c>
      <c r="D1260" s="57" t="s">
        <v>26</v>
      </c>
      <c r="E1260" s="153">
        <v>4</v>
      </c>
      <c r="F1260" s="153">
        <v>35.35</v>
      </c>
      <c r="G1260" s="164"/>
      <c r="H1260" s="164">
        <v>141.4</v>
      </c>
      <c r="I1260" s="58">
        <v>907</v>
      </c>
      <c r="K1260" s="57"/>
    </row>
    <row r="1261" spans="1:11" x14ac:dyDescent="0.25">
      <c r="A1261" s="154">
        <v>40974</v>
      </c>
      <c r="B1261" s="150" t="s">
        <v>776</v>
      </c>
      <c r="C1261" s="57" t="s">
        <v>8</v>
      </c>
      <c r="D1261" s="57" t="s">
        <v>26</v>
      </c>
      <c r="E1261" s="153">
        <v>4</v>
      </c>
      <c r="F1261" s="153">
        <v>35.35</v>
      </c>
      <c r="G1261" s="164"/>
      <c r="H1261" s="164">
        <v>141.4</v>
      </c>
      <c r="I1261" s="58">
        <v>907</v>
      </c>
      <c r="K1261" s="57"/>
    </row>
    <row r="1262" spans="1:11" x14ac:dyDescent="0.25">
      <c r="A1262" s="154">
        <v>40974</v>
      </c>
      <c r="B1262" s="150" t="s">
        <v>776</v>
      </c>
      <c r="C1262" s="57" t="s">
        <v>8</v>
      </c>
      <c r="D1262" s="57" t="s">
        <v>26</v>
      </c>
      <c r="E1262" s="153">
        <v>10</v>
      </c>
      <c r="F1262" s="153">
        <v>35.35</v>
      </c>
      <c r="G1262" s="164"/>
      <c r="H1262" s="164">
        <v>353.5</v>
      </c>
      <c r="I1262" s="58">
        <v>907</v>
      </c>
      <c r="K1262" s="57"/>
    </row>
    <row r="1263" spans="1:11" x14ac:dyDescent="0.25">
      <c r="A1263" s="154">
        <v>40974</v>
      </c>
      <c r="B1263" s="150" t="s">
        <v>773</v>
      </c>
      <c r="C1263" s="57" t="s">
        <v>774</v>
      </c>
      <c r="D1263" s="57" t="s">
        <v>26</v>
      </c>
      <c r="E1263" s="153">
        <v>10</v>
      </c>
      <c r="F1263" s="153">
        <v>42.79</v>
      </c>
      <c r="G1263" s="164"/>
      <c r="H1263" s="164">
        <v>427.9</v>
      </c>
      <c r="I1263" s="58">
        <v>907</v>
      </c>
      <c r="K1263" s="57"/>
    </row>
    <row r="1264" spans="1:11" x14ac:dyDescent="0.25">
      <c r="A1264" s="154">
        <v>40974</v>
      </c>
      <c r="B1264" s="150" t="s">
        <v>682</v>
      </c>
      <c r="C1264" s="57" t="s">
        <v>794</v>
      </c>
      <c r="D1264" s="57" t="s">
        <v>26</v>
      </c>
      <c r="E1264" s="153">
        <v>10</v>
      </c>
      <c r="F1264" s="153">
        <v>7</v>
      </c>
      <c r="G1264" s="164"/>
      <c r="H1264" s="164">
        <v>70</v>
      </c>
      <c r="I1264" s="58">
        <v>907</v>
      </c>
      <c r="K1264" s="57"/>
    </row>
    <row r="1265" spans="1:11" x14ac:dyDescent="0.25">
      <c r="A1265" s="154">
        <v>40977</v>
      </c>
      <c r="B1265" s="150" t="s">
        <v>776</v>
      </c>
      <c r="C1265" s="57" t="s">
        <v>8</v>
      </c>
      <c r="D1265" s="57" t="s">
        <v>26</v>
      </c>
      <c r="E1265" s="153">
        <v>4</v>
      </c>
      <c r="F1265" s="153">
        <v>35.35</v>
      </c>
      <c r="G1265" s="164"/>
      <c r="H1265" s="164">
        <v>141.4</v>
      </c>
      <c r="I1265" s="58">
        <v>907</v>
      </c>
      <c r="K1265" s="57"/>
    </row>
    <row r="1266" spans="1:11" x14ac:dyDescent="0.25">
      <c r="A1266" s="154">
        <v>40999</v>
      </c>
      <c r="B1266" s="150" t="s">
        <v>1070</v>
      </c>
      <c r="C1266" s="57" t="s">
        <v>1066</v>
      </c>
      <c r="D1266" s="57" t="s">
        <v>748</v>
      </c>
      <c r="E1266" s="153">
        <v>1</v>
      </c>
      <c r="F1266" s="153">
        <v>729</v>
      </c>
      <c r="G1266" s="164"/>
      <c r="H1266" s="164">
        <v>729</v>
      </c>
      <c r="I1266" s="58">
        <v>907</v>
      </c>
      <c r="K1266" s="57"/>
    </row>
    <row r="1267" spans="1:11" x14ac:dyDescent="0.25">
      <c r="A1267" s="154">
        <v>41002</v>
      </c>
      <c r="B1267" s="150" t="s">
        <v>1071</v>
      </c>
      <c r="C1267" s="57" t="s">
        <v>1066</v>
      </c>
      <c r="D1267" s="57" t="s">
        <v>748</v>
      </c>
      <c r="E1267" s="153">
        <v>1</v>
      </c>
      <c r="F1267" s="153">
        <v>404.05</v>
      </c>
      <c r="G1267" s="164"/>
      <c r="H1267" s="164">
        <v>404.05</v>
      </c>
      <c r="I1267" s="58">
        <v>907</v>
      </c>
      <c r="K1267" s="57"/>
    </row>
    <row r="1268" spans="1:11" x14ac:dyDescent="0.25">
      <c r="A1268" s="154">
        <v>41070</v>
      </c>
      <c r="B1268" s="150" t="s">
        <v>1072</v>
      </c>
      <c r="C1268" s="57" t="s">
        <v>1056</v>
      </c>
      <c r="D1268" s="57" t="s">
        <v>748</v>
      </c>
      <c r="E1268" s="153">
        <v>1</v>
      </c>
      <c r="F1268" s="153">
        <v>2950</v>
      </c>
      <c r="G1268" s="164"/>
      <c r="H1268" s="164">
        <v>2950</v>
      </c>
      <c r="I1268" s="58">
        <v>907</v>
      </c>
      <c r="K1268" s="57"/>
    </row>
    <row r="1269" spans="1:11" x14ac:dyDescent="0.25">
      <c r="A1269" s="154">
        <v>41073</v>
      </c>
      <c r="B1269" s="150" t="s">
        <v>782</v>
      </c>
      <c r="C1269" s="57" t="s">
        <v>8</v>
      </c>
      <c r="D1269" s="57" t="s">
        <v>26</v>
      </c>
      <c r="E1269" s="153">
        <v>4</v>
      </c>
      <c r="F1269" s="153">
        <v>35.35</v>
      </c>
      <c r="G1269" s="164"/>
      <c r="H1269" s="164">
        <v>141.4</v>
      </c>
      <c r="I1269" s="58">
        <v>907</v>
      </c>
      <c r="K1269" s="57"/>
    </row>
    <row r="1270" spans="1:11" x14ac:dyDescent="0.25">
      <c r="A1270" s="154">
        <v>41073</v>
      </c>
      <c r="B1270" s="150" t="s">
        <v>880</v>
      </c>
      <c r="C1270" s="57" t="s">
        <v>8</v>
      </c>
      <c r="D1270" s="57" t="s">
        <v>26</v>
      </c>
      <c r="E1270" s="153">
        <v>4</v>
      </c>
      <c r="F1270" s="153">
        <v>35.35</v>
      </c>
      <c r="G1270" s="164"/>
      <c r="H1270" s="164">
        <v>141.4</v>
      </c>
      <c r="I1270" s="58">
        <v>907</v>
      </c>
      <c r="K1270" s="57"/>
    </row>
    <row r="1271" spans="1:11" x14ac:dyDescent="0.25">
      <c r="A1271" s="154">
        <v>41074</v>
      </c>
      <c r="B1271" s="150" t="s">
        <v>776</v>
      </c>
      <c r="C1271" s="57" t="s">
        <v>8</v>
      </c>
      <c r="D1271" s="57" t="s">
        <v>26</v>
      </c>
      <c r="E1271" s="153">
        <v>4</v>
      </c>
      <c r="F1271" s="153">
        <v>35.35</v>
      </c>
      <c r="G1271" s="164"/>
      <c r="H1271" s="164">
        <v>141.4</v>
      </c>
      <c r="I1271" s="58">
        <v>907</v>
      </c>
      <c r="K1271" s="57"/>
    </row>
    <row r="1272" spans="1:11" x14ac:dyDescent="0.25">
      <c r="A1272" s="154">
        <v>41074</v>
      </c>
      <c r="B1272" s="150" t="s">
        <v>776</v>
      </c>
      <c r="C1272" s="57" t="s">
        <v>8</v>
      </c>
      <c r="D1272" s="57" t="s">
        <v>26</v>
      </c>
      <c r="E1272" s="153">
        <v>4</v>
      </c>
      <c r="F1272" s="153">
        <v>35.35</v>
      </c>
      <c r="G1272" s="164"/>
      <c r="H1272" s="164">
        <v>141.4</v>
      </c>
      <c r="I1272" s="58">
        <v>907</v>
      </c>
      <c r="K1272" s="57"/>
    </row>
    <row r="1273" spans="1:11" x14ac:dyDescent="0.25">
      <c r="A1273" s="154">
        <v>41074</v>
      </c>
      <c r="B1273" s="150" t="s">
        <v>782</v>
      </c>
      <c r="C1273" s="57" t="s">
        <v>8</v>
      </c>
      <c r="D1273" s="57" t="s">
        <v>26</v>
      </c>
      <c r="E1273" s="153">
        <v>4</v>
      </c>
      <c r="F1273" s="153">
        <v>74.650000000000006</v>
      </c>
      <c r="G1273" s="164"/>
      <c r="H1273" s="164">
        <v>298.60000000000002</v>
      </c>
      <c r="I1273" s="58">
        <v>907</v>
      </c>
      <c r="K1273" s="57"/>
    </row>
    <row r="1274" spans="1:11" x14ac:dyDescent="0.25">
      <c r="A1274" s="154">
        <v>41074</v>
      </c>
      <c r="B1274" s="150" t="s">
        <v>776</v>
      </c>
      <c r="C1274" s="57" t="s">
        <v>8</v>
      </c>
      <c r="D1274" s="57" t="s">
        <v>26</v>
      </c>
      <c r="E1274" s="153">
        <v>4</v>
      </c>
      <c r="F1274" s="153">
        <v>35.35</v>
      </c>
      <c r="G1274" s="164"/>
      <c r="H1274" s="164">
        <v>141.4</v>
      </c>
      <c r="I1274" s="58">
        <v>907</v>
      </c>
      <c r="K1274" s="57"/>
    </row>
    <row r="1275" spans="1:11" x14ac:dyDescent="0.25">
      <c r="A1275" s="154">
        <v>41074</v>
      </c>
      <c r="B1275" s="150" t="s">
        <v>880</v>
      </c>
      <c r="C1275" s="57" t="s">
        <v>8</v>
      </c>
      <c r="D1275" s="57" t="s">
        <v>26</v>
      </c>
      <c r="E1275" s="153">
        <v>4</v>
      </c>
      <c r="F1275" s="153">
        <v>35.35</v>
      </c>
      <c r="G1275" s="164"/>
      <c r="H1275" s="164">
        <v>141.4</v>
      </c>
      <c r="I1275" s="58">
        <v>907</v>
      </c>
      <c r="K1275" s="57"/>
    </row>
    <row r="1276" spans="1:11" x14ac:dyDescent="0.25">
      <c r="A1276" s="154">
        <v>41074</v>
      </c>
      <c r="B1276" s="150" t="s">
        <v>776</v>
      </c>
      <c r="C1276" s="57" t="s">
        <v>8</v>
      </c>
      <c r="D1276" s="57" t="s">
        <v>26</v>
      </c>
      <c r="E1276" s="153">
        <v>4</v>
      </c>
      <c r="F1276" s="153">
        <v>35.357999999999997</v>
      </c>
      <c r="G1276" s="164"/>
      <c r="H1276" s="164">
        <v>141.43199999999999</v>
      </c>
      <c r="I1276" s="58">
        <v>907</v>
      </c>
      <c r="K1276" s="57"/>
    </row>
    <row r="1277" spans="1:11" x14ac:dyDescent="0.25">
      <c r="A1277" s="154">
        <v>41074</v>
      </c>
      <c r="B1277" s="150" t="s">
        <v>776</v>
      </c>
      <c r="C1277" s="57" t="s">
        <v>8</v>
      </c>
      <c r="D1277" s="57" t="s">
        <v>26</v>
      </c>
      <c r="E1277" s="153">
        <v>4</v>
      </c>
      <c r="F1277" s="153">
        <v>35.35</v>
      </c>
      <c r="G1277" s="164"/>
      <c r="H1277" s="164">
        <v>141.4</v>
      </c>
      <c r="I1277" s="58">
        <v>907</v>
      </c>
      <c r="K1277" s="57"/>
    </row>
    <row r="1278" spans="1:11" x14ac:dyDescent="0.25">
      <c r="A1278" s="154">
        <v>41078</v>
      </c>
      <c r="B1278" s="150" t="s">
        <v>880</v>
      </c>
      <c r="C1278" s="57" t="s">
        <v>8</v>
      </c>
      <c r="D1278" s="57" t="s">
        <v>26</v>
      </c>
      <c r="E1278" s="153">
        <v>4</v>
      </c>
      <c r="F1278" s="153">
        <v>35.35</v>
      </c>
      <c r="G1278" s="164"/>
      <c r="H1278" s="164">
        <v>141.4</v>
      </c>
      <c r="I1278" s="58">
        <v>907</v>
      </c>
      <c r="K1278" s="57"/>
    </row>
    <row r="1279" spans="1:11" x14ac:dyDescent="0.25">
      <c r="A1279" s="154">
        <v>41079</v>
      </c>
      <c r="B1279" s="150" t="s">
        <v>776</v>
      </c>
      <c r="C1279" s="57" t="s">
        <v>8</v>
      </c>
      <c r="D1279" s="57" t="s">
        <v>26</v>
      </c>
      <c r="E1279" s="153">
        <v>4</v>
      </c>
      <c r="F1279" s="153">
        <v>35.35</v>
      </c>
      <c r="G1279" s="164"/>
      <c r="H1279" s="164">
        <v>141.4</v>
      </c>
      <c r="I1279" s="58">
        <v>907</v>
      </c>
      <c r="K1279" s="57"/>
    </row>
    <row r="1280" spans="1:11" x14ac:dyDescent="0.25">
      <c r="A1280" s="154">
        <v>41085</v>
      </c>
      <c r="B1280" s="150" t="s">
        <v>776</v>
      </c>
      <c r="C1280" s="57" t="s">
        <v>8</v>
      </c>
      <c r="D1280" s="57" t="s">
        <v>26</v>
      </c>
      <c r="E1280" s="153">
        <v>4</v>
      </c>
      <c r="F1280" s="153">
        <v>35.35</v>
      </c>
      <c r="G1280" s="164"/>
      <c r="H1280" s="164">
        <v>141.4</v>
      </c>
      <c r="I1280" s="58">
        <v>907</v>
      </c>
      <c r="K1280" s="57"/>
    </row>
    <row r="1281" spans="1:11" x14ac:dyDescent="0.25">
      <c r="A1281" s="154">
        <v>41085</v>
      </c>
      <c r="B1281" s="150" t="s">
        <v>776</v>
      </c>
      <c r="C1281" s="57" t="s">
        <v>8</v>
      </c>
      <c r="D1281" s="57" t="s">
        <v>26</v>
      </c>
      <c r="E1281" s="153">
        <v>4</v>
      </c>
      <c r="F1281" s="153">
        <v>35.357999999999997</v>
      </c>
      <c r="G1281" s="164"/>
      <c r="H1281" s="164">
        <v>141.43199999999999</v>
      </c>
      <c r="I1281" s="58">
        <v>907</v>
      </c>
      <c r="K1281" s="57"/>
    </row>
    <row r="1282" spans="1:11" x14ac:dyDescent="0.25">
      <c r="A1282" s="169" t="s">
        <v>682</v>
      </c>
      <c r="B1282" s="170" t="s">
        <v>1073</v>
      </c>
      <c r="C1282" s="171" t="s">
        <v>682</v>
      </c>
      <c r="D1282" s="171" t="s">
        <v>682</v>
      </c>
      <c r="E1282" s="172"/>
      <c r="F1282" s="172"/>
      <c r="G1282" s="173"/>
      <c r="H1282" s="173">
        <v>45323.639000000039</v>
      </c>
      <c r="I1282" s="174" t="s">
        <v>682</v>
      </c>
      <c r="K1282" s="57"/>
    </row>
    <row r="1283" spans="1:11" x14ac:dyDescent="0.25">
      <c r="A1283" s="154" t="s">
        <v>682</v>
      </c>
      <c r="B1283" s="150" t="s">
        <v>682</v>
      </c>
      <c r="C1283" s="57" t="s">
        <v>682</v>
      </c>
      <c r="D1283" s="57" t="s">
        <v>682</v>
      </c>
      <c r="E1283" s="153"/>
      <c r="F1283" s="153"/>
      <c r="G1283" s="164"/>
      <c r="H1283" s="164"/>
      <c r="I1283" s="58" t="s">
        <v>682</v>
      </c>
      <c r="K1283" s="57"/>
    </row>
    <row r="1284" spans="1:11" x14ac:dyDescent="0.25">
      <c r="A1284" s="166" t="s">
        <v>682</v>
      </c>
      <c r="B1284" s="165" t="s">
        <v>1074</v>
      </c>
      <c r="C1284" s="60" t="s">
        <v>682</v>
      </c>
      <c r="D1284" s="60" t="s">
        <v>682</v>
      </c>
      <c r="E1284" s="167"/>
      <c r="F1284" s="167"/>
      <c r="G1284" s="168"/>
      <c r="H1284" s="168"/>
      <c r="I1284" s="46" t="s">
        <v>682</v>
      </c>
      <c r="K1284" s="57"/>
    </row>
    <row r="1285" spans="1:11" x14ac:dyDescent="0.25">
      <c r="A1285" s="154">
        <v>40978</v>
      </c>
      <c r="B1285" s="150" t="s">
        <v>776</v>
      </c>
      <c r="C1285" s="57" t="s">
        <v>8</v>
      </c>
      <c r="D1285" s="57" t="s">
        <v>26</v>
      </c>
      <c r="E1285" s="153">
        <v>5</v>
      </c>
      <c r="F1285" s="153">
        <v>35.35</v>
      </c>
      <c r="G1285" s="164"/>
      <c r="H1285" s="164">
        <v>176.75</v>
      </c>
      <c r="I1285" s="58">
        <v>910</v>
      </c>
      <c r="K1285" s="57"/>
    </row>
    <row r="1286" spans="1:11" x14ac:dyDescent="0.25">
      <c r="A1286" s="154">
        <v>40978</v>
      </c>
      <c r="B1286" s="150" t="s">
        <v>776</v>
      </c>
      <c r="C1286" s="57" t="s">
        <v>8</v>
      </c>
      <c r="D1286" s="57" t="s">
        <v>26</v>
      </c>
      <c r="E1286" s="153">
        <v>5</v>
      </c>
      <c r="F1286" s="153">
        <v>35.35</v>
      </c>
      <c r="G1286" s="164"/>
      <c r="H1286" s="164">
        <v>176.75</v>
      </c>
      <c r="I1286" s="58">
        <v>910</v>
      </c>
      <c r="K1286" s="57"/>
    </row>
    <row r="1287" spans="1:11" x14ac:dyDescent="0.25">
      <c r="A1287" s="154">
        <v>40978</v>
      </c>
      <c r="B1287" s="150" t="s">
        <v>776</v>
      </c>
      <c r="C1287" s="57" t="s">
        <v>8</v>
      </c>
      <c r="D1287" s="57" t="s">
        <v>26</v>
      </c>
      <c r="E1287" s="153">
        <v>5</v>
      </c>
      <c r="F1287" s="153">
        <v>35.35</v>
      </c>
      <c r="G1287" s="164"/>
      <c r="H1287" s="164">
        <v>176.75</v>
      </c>
      <c r="I1287" s="58">
        <v>910</v>
      </c>
      <c r="K1287" s="57"/>
    </row>
    <row r="1288" spans="1:11" x14ac:dyDescent="0.25">
      <c r="A1288" s="169" t="s">
        <v>682</v>
      </c>
      <c r="B1288" s="170" t="s">
        <v>1075</v>
      </c>
      <c r="C1288" s="171" t="s">
        <v>682</v>
      </c>
      <c r="D1288" s="171" t="s">
        <v>682</v>
      </c>
      <c r="E1288" s="172"/>
      <c r="F1288" s="172"/>
      <c r="G1288" s="173"/>
      <c r="H1288" s="173">
        <v>530.25</v>
      </c>
      <c r="I1288" s="174" t="s">
        <v>682</v>
      </c>
      <c r="K1288" s="57"/>
    </row>
    <row r="1289" spans="1:11" x14ac:dyDescent="0.25">
      <c r="A1289" s="154" t="s">
        <v>682</v>
      </c>
      <c r="B1289" s="150" t="s">
        <v>682</v>
      </c>
      <c r="C1289" s="57" t="s">
        <v>682</v>
      </c>
      <c r="D1289" s="57" t="s">
        <v>682</v>
      </c>
      <c r="E1289" s="153"/>
      <c r="F1289" s="153"/>
      <c r="G1289" s="164"/>
      <c r="H1289" s="164"/>
      <c r="I1289" s="58" t="s">
        <v>682</v>
      </c>
      <c r="K1289" s="57"/>
    </row>
    <row r="1290" spans="1:11" x14ac:dyDescent="0.25">
      <c r="A1290" s="166" t="s">
        <v>682</v>
      </c>
      <c r="B1290" s="165" t="s">
        <v>1076</v>
      </c>
      <c r="C1290" s="60" t="s">
        <v>682</v>
      </c>
      <c r="D1290" s="60" t="s">
        <v>682</v>
      </c>
      <c r="E1290" s="167"/>
      <c r="F1290" s="167"/>
      <c r="G1290" s="168"/>
      <c r="H1290" s="168"/>
      <c r="I1290" s="46" t="s">
        <v>682</v>
      </c>
      <c r="K1290" s="57"/>
    </row>
    <row r="1291" spans="1:11" ht="30" x14ac:dyDescent="0.25">
      <c r="A1291" s="154">
        <v>40860</v>
      </c>
      <c r="B1291" s="150" t="s">
        <v>1077</v>
      </c>
      <c r="C1291" s="57" t="s">
        <v>1078</v>
      </c>
      <c r="D1291" s="57" t="s">
        <v>748</v>
      </c>
      <c r="E1291" s="153">
        <v>1</v>
      </c>
      <c r="F1291" s="153">
        <v>104.45</v>
      </c>
      <c r="G1291" s="164"/>
      <c r="H1291" s="164">
        <v>104.45</v>
      </c>
      <c r="I1291" s="58">
        <v>911</v>
      </c>
      <c r="K1291" s="57"/>
    </row>
    <row r="1292" spans="1:11" ht="30" x14ac:dyDescent="0.25">
      <c r="A1292" s="154">
        <v>40862</v>
      </c>
      <c r="B1292" s="150" t="s">
        <v>1079</v>
      </c>
      <c r="C1292" s="57" t="s">
        <v>1078</v>
      </c>
      <c r="D1292" s="57" t="s">
        <v>748</v>
      </c>
      <c r="E1292" s="153">
        <v>1</v>
      </c>
      <c r="F1292" s="153">
        <v>2950</v>
      </c>
      <c r="G1292" s="164"/>
      <c r="H1292" s="164">
        <v>2950</v>
      </c>
      <c r="I1292" s="58">
        <v>911</v>
      </c>
      <c r="K1292" s="57"/>
    </row>
    <row r="1293" spans="1:11" x14ac:dyDescent="0.25">
      <c r="A1293" s="154">
        <v>40877</v>
      </c>
      <c r="B1293" s="150" t="s">
        <v>1080</v>
      </c>
      <c r="C1293" s="57" t="s">
        <v>1078</v>
      </c>
      <c r="D1293" s="57" t="s">
        <v>748</v>
      </c>
      <c r="E1293" s="153">
        <v>1</v>
      </c>
      <c r="F1293" s="153">
        <v>593.1</v>
      </c>
      <c r="G1293" s="164"/>
      <c r="H1293" s="164">
        <v>593.1</v>
      </c>
      <c r="I1293" s="58">
        <v>911</v>
      </c>
      <c r="K1293" s="57"/>
    </row>
    <row r="1294" spans="1:11" x14ac:dyDescent="0.25">
      <c r="A1294" s="154">
        <v>40877</v>
      </c>
      <c r="B1294" s="150" t="s">
        <v>1081</v>
      </c>
      <c r="C1294" s="57" t="s">
        <v>1078</v>
      </c>
      <c r="D1294" s="57" t="s">
        <v>748</v>
      </c>
      <c r="E1294" s="153">
        <v>1</v>
      </c>
      <c r="F1294" s="153">
        <v>748.8</v>
      </c>
      <c r="G1294" s="164"/>
      <c r="H1294" s="164">
        <v>748.8</v>
      </c>
      <c r="I1294" s="58">
        <v>911</v>
      </c>
      <c r="K1294" s="57"/>
    </row>
    <row r="1295" spans="1:11" x14ac:dyDescent="0.25">
      <c r="A1295" s="154">
        <v>40877</v>
      </c>
      <c r="B1295" s="150" t="s">
        <v>1082</v>
      </c>
      <c r="C1295" s="57" t="s">
        <v>1078</v>
      </c>
      <c r="D1295" s="57" t="s">
        <v>748</v>
      </c>
      <c r="E1295" s="153">
        <v>1</v>
      </c>
      <c r="F1295" s="153">
        <v>2567.4</v>
      </c>
      <c r="G1295" s="164"/>
      <c r="H1295" s="164">
        <v>2567.4</v>
      </c>
      <c r="I1295" s="58">
        <v>911</v>
      </c>
      <c r="K1295" s="57"/>
    </row>
    <row r="1296" spans="1:11" ht="30" x14ac:dyDescent="0.25">
      <c r="A1296" s="154">
        <v>40877</v>
      </c>
      <c r="B1296" s="150" t="s">
        <v>1083</v>
      </c>
      <c r="C1296" s="57" t="s">
        <v>1078</v>
      </c>
      <c r="D1296" s="57" t="s">
        <v>748</v>
      </c>
      <c r="E1296" s="153">
        <v>1</v>
      </c>
      <c r="F1296" s="153">
        <v>561.6</v>
      </c>
      <c r="G1296" s="164"/>
      <c r="H1296" s="164">
        <v>561.6</v>
      </c>
      <c r="I1296" s="58">
        <v>911</v>
      </c>
      <c r="K1296" s="57"/>
    </row>
    <row r="1297" spans="1:11" ht="30" x14ac:dyDescent="0.25">
      <c r="A1297" s="154">
        <v>40908</v>
      </c>
      <c r="B1297" s="150" t="s">
        <v>1084</v>
      </c>
      <c r="C1297" s="57" t="s">
        <v>1078</v>
      </c>
      <c r="D1297" s="57" t="s">
        <v>748</v>
      </c>
      <c r="E1297" s="153">
        <v>1</v>
      </c>
      <c r="F1297" s="153">
        <v>813.64</v>
      </c>
      <c r="G1297" s="164"/>
      <c r="H1297" s="164">
        <v>813.64</v>
      </c>
      <c r="I1297" s="58">
        <v>911</v>
      </c>
      <c r="K1297" s="57"/>
    </row>
    <row r="1298" spans="1:11" ht="30" x14ac:dyDescent="0.25">
      <c r="A1298" s="154">
        <v>40931</v>
      </c>
      <c r="B1298" s="150" t="s">
        <v>1085</v>
      </c>
      <c r="C1298" s="57" t="s">
        <v>1078</v>
      </c>
      <c r="D1298" s="57" t="s">
        <v>748</v>
      </c>
      <c r="E1298" s="153">
        <v>1</v>
      </c>
      <c r="F1298" s="153">
        <v>2113.64</v>
      </c>
      <c r="G1298" s="164"/>
      <c r="H1298" s="164">
        <v>2113.64</v>
      </c>
      <c r="I1298" s="58">
        <v>911</v>
      </c>
      <c r="K1298" s="57"/>
    </row>
    <row r="1299" spans="1:11" ht="30" x14ac:dyDescent="0.25">
      <c r="A1299" s="154">
        <v>40932</v>
      </c>
      <c r="B1299" s="150" t="s">
        <v>1086</v>
      </c>
      <c r="C1299" s="57" t="s">
        <v>1087</v>
      </c>
      <c r="D1299" s="57" t="s">
        <v>748</v>
      </c>
      <c r="E1299" s="153">
        <v>1</v>
      </c>
      <c r="F1299" s="153">
        <v>231.27</v>
      </c>
      <c r="G1299" s="164"/>
      <c r="H1299" s="164">
        <v>231.27</v>
      </c>
      <c r="I1299" s="58">
        <v>911</v>
      </c>
      <c r="K1299" s="57"/>
    </row>
    <row r="1300" spans="1:11" ht="30" x14ac:dyDescent="0.25">
      <c r="A1300" s="154">
        <v>40933</v>
      </c>
      <c r="B1300" s="150" t="s">
        <v>1088</v>
      </c>
      <c r="C1300" s="57" t="s">
        <v>1087</v>
      </c>
      <c r="D1300" s="57" t="s">
        <v>748</v>
      </c>
      <c r="E1300" s="153">
        <v>1</v>
      </c>
      <c r="F1300" s="153">
        <v>528.86</v>
      </c>
      <c r="G1300" s="164"/>
      <c r="H1300" s="164">
        <v>528.86</v>
      </c>
      <c r="I1300" s="58">
        <v>911</v>
      </c>
      <c r="K1300" s="57"/>
    </row>
    <row r="1301" spans="1:11" ht="30" x14ac:dyDescent="0.25">
      <c r="A1301" s="154">
        <v>40939</v>
      </c>
      <c r="B1301" s="150" t="s">
        <v>1089</v>
      </c>
      <c r="C1301" s="57" t="s">
        <v>1078</v>
      </c>
      <c r="D1301" s="57" t="s">
        <v>748</v>
      </c>
      <c r="E1301" s="153">
        <v>1</v>
      </c>
      <c r="F1301" s="153">
        <v>4745.46</v>
      </c>
      <c r="G1301" s="164"/>
      <c r="H1301" s="164">
        <v>4745.46</v>
      </c>
      <c r="I1301" s="58">
        <v>911</v>
      </c>
      <c r="K1301" s="57"/>
    </row>
    <row r="1302" spans="1:11" ht="30" x14ac:dyDescent="0.25">
      <c r="A1302" s="154">
        <v>40941</v>
      </c>
      <c r="B1302" s="150" t="s">
        <v>1090</v>
      </c>
      <c r="C1302" s="57" t="s">
        <v>1087</v>
      </c>
      <c r="D1302" s="57" t="s">
        <v>748</v>
      </c>
      <c r="E1302" s="153">
        <v>1</v>
      </c>
      <c r="F1302" s="153">
        <v>595.17999999999995</v>
      </c>
      <c r="G1302" s="164"/>
      <c r="H1302" s="164">
        <v>595.17999999999995</v>
      </c>
      <c r="I1302" s="58">
        <v>911</v>
      </c>
      <c r="K1302" s="57"/>
    </row>
    <row r="1303" spans="1:11" ht="30" x14ac:dyDescent="0.25">
      <c r="A1303" s="154">
        <v>40954</v>
      </c>
      <c r="B1303" s="150" t="s">
        <v>1091</v>
      </c>
      <c r="C1303" s="57" t="s">
        <v>1078</v>
      </c>
      <c r="D1303" s="57" t="s">
        <v>748</v>
      </c>
      <c r="E1303" s="153">
        <v>1</v>
      </c>
      <c r="F1303" s="153">
        <v>3113.64</v>
      </c>
      <c r="G1303" s="164"/>
      <c r="H1303" s="164">
        <v>3113.64</v>
      </c>
      <c r="I1303" s="58">
        <v>911</v>
      </c>
      <c r="K1303" s="57"/>
    </row>
    <row r="1304" spans="1:11" ht="30" x14ac:dyDescent="0.25">
      <c r="A1304" s="154">
        <v>40968</v>
      </c>
      <c r="B1304" s="150" t="s">
        <v>1092</v>
      </c>
      <c r="C1304" s="57" t="s">
        <v>1078</v>
      </c>
      <c r="D1304" s="57" t="s">
        <v>748</v>
      </c>
      <c r="E1304" s="153">
        <v>1</v>
      </c>
      <c r="F1304" s="153">
        <v>2114</v>
      </c>
      <c r="G1304" s="164"/>
      <c r="H1304" s="164">
        <v>2114</v>
      </c>
      <c r="I1304" s="58">
        <v>911</v>
      </c>
      <c r="K1304" s="57"/>
    </row>
    <row r="1305" spans="1:11" x14ac:dyDescent="0.25">
      <c r="A1305" s="154">
        <v>40968</v>
      </c>
      <c r="B1305" s="150" t="s">
        <v>1093</v>
      </c>
      <c r="C1305" s="57" t="s">
        <v>1078</v>
      </c>
      <c r="D1305" s="57" t="s">
        <v>748</v>
      </c>
      <c r="E1305" s="153">
        <v>1</v>
      </c>
      <c r="F1305" s="153">
        <v>655.20000000000005</v>
      </c>
      <c r="G1305" s="164"/>
      <c r="H1305" s="164">
        <v>655.20000000000005</v>
      </c>
      <c r="I1305" s="58">
        <v>911</v>
      </c>
      <c r="K1305" s="57"/>
    </row>
    <row r="1306" spans="1:11" ht="30" x14ac:dyDescent="0.25">
      <c r="A1306" s="154">
        <v>40999</v>
      </c>
      <c r="B1306" s="150" t="s">
        <v>1094</v>
      </c>
      <c r="C1306" s="57" t="s">
        <v>1078</v>
      </c>
      <c r="D1306" s="57" t="s">
        <v>748</v>
      </c>
      <c r="E1306" s="153">
        <v>1</v>
      </c>
      <c r="F1306" s="153">
        <v>2468.1799999999998</v>
      </c>
      <c r="G1306" s="164">
        <v>0.01</v>
      </c>
      <c r="H1306" s="164">
        <v>2468.19</v>
      </c>
      <c r="I1306" s="58">
        <v>911</v>
      </c>
      <c r="K1306" s="57"/>
    </row>
    <row r="1307" spans="1:11" x14ac:dyDescent="0.25">
      <c r="A1307" s="169" t="s">
        <v>682</v>
      </c>
      <c r="B1307" s="170" t="s">
        <v>1095</v>
      </c>
      <c r="C1307" s="171" t="s">
        <v>682</v>
      </c>
      <c r="D1307" s="171" t="s">
        <v>682</v>
      </c>
      <c r="E1307" s="172"/>
      <c r="F1307" s="172"/>
      <c r="G1307" s="173"/>
      <c r="H1307" s="173">
        <v>24904.43</v>
      </c>
      <c r="I1307" s="174" t="s">
        <v>682</v>
      </c>
      <c r="K1307" s="57"/>
    </row>
    <row r="1308" spans="1:11" x14ac:dyDescent="0.25">
      <c r="A1308" s="154" t="s">
        <v>682</v>
      </c>
      <c r="B1308" s="150" t="s">
        <v>682</v>
      </c>
      <c r="C1308" s="57" t="s">
        <v>682</v>
      </c>
      <c r="D1308" s="57" t="s">
        <v>682</v>
      </c>
      <c r="E1308" s="153"/>
      <c r="F1308" s="153"/>
      <c r="G1308" s="164"/>
      <c r="H1308" s="164"/>
      <c r="I1308" s="58" t="s">
        <v>682</v>
      </c>
      <c r="K1308" s="57"/>
    </row>
    <row r="1309" spans="1:11" x14ac:dyDescent="0.25">
      <c r="A1309" s="166" t="s">
        <v>682</v>
      </c>
      <c r="B1309" s="165" t="s">
        <v>1096</v>
      </c>
      <c r="C1309" s="60" t="s">
        <v>682</v>
      </c>
      <c r="D1309" s="60" t="s">
        <v>682</v>
      </c>
      <c r="E1309" s="167"/>
      <c r="F1309" s="167"/>
      <c r="G1309" s="168"/>
      <c r="H1309" s="168"/>
      <c r="I1309" s="46" t="s">
        <v>682</v>
      </c>
      <c r="K1309" s="57"/>
    </row>
    <row r="1310" spans="1:11" x14ac:dyDescent="0.25">
      <c r="A1310" s="154">
        <v>40872</v>
      </c>
      <c r="B1310" s="150" t="s">
        <v>1097</v>
      </c>
      <c r="C1310" s="57" t="s">
        <v>960</v>
      </c>
      <c r="D1310" s="57" t="s">
        <v>748</v>
      </c>
      <c r="E1310" s="153">
        <v>1</v>
      </c>
      <c r="F1310" s="153">
        <v>1035.5</v>
      </c>
      <c r="G1310" s="164"/>
      <c r="H1310" s="164">
        <v>1035.5</v>
      </c>
      <c r="I1310" s="58" t="s">
        <v>1358</v>
      </c>
      <c r="K1310" s="57"/>
    </row>
    <row r="1311" spans="1:11" x14ac:dyDescent="0.25">
      <c r="A1311" s="154">
        <v>40935</v>
      </c>
      <c r="B1311" s="150" t="s">
        <v>1098</v>
      </c>
      <c r="C1311" s="57" t="s">
        <v>960</v>
      </c>
      <c r="D1311" s="57" t="s">
        <v>748</v>
      </c>
      <c r="E1311" s="153">
        <v>1</v>
      </c>
      <c r="F1311" s="153">
        <v>295</v>
      </c>
      <c r="G1311" s="164"/>
      <c r="H1311" s="164">
        <v>295</v>
      </c>
      <c r="I1311" s="58" t="s">
        <v>1358</v>
      </c>
      <c r="K1311" s="57"/>
    </row>
    <row r="1312" spans="1:11" x14ac:dyDescent="0.25">
      <c r="A1312" s="154">
        <v>40939</v>
      </c>
      <c r="B1312" s="150" t="s">
        <v>1099</v>
      </c>
      <c r="C1312" s="57" t="s">
        <v>960</v>
      </c>
      <c r="D1312" s="57" t="s">
        <v>748</v>
      </c>
      <c r="E1312" s="153">
        <v>1</v>
      </c>
      <c r="F1312" s="153">
        <v>495</v>
      </c>
      <c r="G1312" s="164"/>
      <c r="H1312" s="164">
        <v>495</v>
      </c>
      <c r="I1312" s="58" t="s">
        <v>1358</v>
      </c>
      <c r="K1312" s="57"/>
    </row>
    <row r="1313" spans="1:11" x14ac:dyDescent="0.25">
      <c r="A1313" s="154">
        <v>40950</v>
      </c>
      <c r="B1313" s="150" t="s">
        <v>1100</v>
      </c>
      <c r="C1313" s="57" t="s">
        <v>960</v>
      </c>
      <c r="D1313" s="57" t="s">
        <v>748</v>
      </c>
      <c r="E1313" s="153">
        <v>1</v>
      </c>
      <c r="F1313" s="153">
        <v>345.5</v>
      </c>
      <c r="G1313" s="164"/>
      <c r="H1313" s="164">
        <v>345.5</v>
      </c>
      <c r="I1313" s="58" t="s">
        <v>1358</v>
      </c>
      <c r="K1313" s="57"/>
    </row>
    <row r="1314" spans="1:11" x14ac:dyDescent="0.25">
      <c r="A1314" s="154">
        <v>40953</v>
      </c>
      <c r="B1314" s="150" t="s">
        <v>1101</v>
      </c>
      <c r="C1314" s="57" t="s">
        <v>960</v>
      </c>
      <c r="D1314" s="57" t="s">
        <v>748</v>
      </c>
      <c r="E1314" s="153">
        <v>1</v>
      </c>
      <c r="F1314" s="153">
        <v>342.5</v>
      </c>
      <c r="G1314" s="164"/>
      <c r="H1314" s="164">
        <v>342.5</v>
      </c>
      <c r="I1314" s="58" t="s">
        <v>1358</v>
      </c>
      <c r="K1314" s="57"/>
    </row>
    <row r="1315" spans="1:11" x14ac:dyDescent="0.25">
      <c r="A1315" s="169" t="s">
        <v>682</v>
      </c>
      <c r="B1315" s="170" t="s">
        <v>1102</v>
      </c>
      <c r="C1315" s="171" t="s">
        <v>682</v>
      </c>
      <c r="D1315" s="171" t="s">
        <v>682</v>
      </c>
      <c r="E1315" s="172"/>
      <c r="F1315" s="172"/>
      <c r="G1315" s="173"/>
      <c r="H1315" s="173">
        <v>2513.5</v>
      </c>
      <c r="I1315" s="174" t="s">
        <v>682</v>
      </c>
      <c r="K1315" s="57"/>
    </row>
    <row r="1316" spans="1:11" x14ac:dyDescent="0.25">
      <c r="A1316" s="154" t="s">
        <v>682</v>
      </c>
      <c r="B1316" s="150" t="s">
        <v>682</v>
      </c>
      <c r="C1316" s="57" t="s">
        <v>682</v>
      </c>
      <c r="D1316" s="57" t="s">
        <v>682</v>
      </c>
      <c r="E1316" s="153"/>
      <c r="F1316" s="153"/>
      <c r="G1316" s="164"/>
      <c r="H1316" s="164"/>
      <c r="I1316" s="58" t="s">
        <v>682</v>
      </c>
      <c r="K1316" s="57"/>
    </row>
    <row r="1317" spans="1:11" x14ac:dyDescent="0.25">
      <c r="A1317" s="166" t="s">
        <v>682</v>
      </c>
      <c r="B1317" s="165" t="s">
        <v>1103</v>
      </c>
      <c r="C1317" s="60" t="s">
        <v>682</v>
      </c>
      <c r="D1317" s="60" t="s">
        <v>682</v>
      </c>
      <c r="E1317" s="167"/>
      <c r="F1317" s="167"/>
      <c r="G1317" s="168"/>
      <c r="H1317" s="168"/>
      <c r="I1317" s="46" t="s">
        <v>682</v>
      </c>
      <c r="K1317" s="57"/>
    </row>
    <row r="1318" spans="1:11" x14ac:dyDescent="0.25">
      <c r="A1318" s="154">
        <v>40875</v>
      </c>
      <c r="B1318" s="150" t="s">
        <v>1104</v>
      </c>
      <c r="C1318" s="57" t="s">
        <v>1105</v>
      </c>
      <c r="D1318" s="57" t="s">
        <v>748</v>
      </c>
      <c r="E1318" s="153">
        <v>1</v>
      </c>
      <c r="F1318" s="153">
        <v>1417.5</v>
      </c>
      <c r="G1318" s="164"/>
      <c r="H1318" s="164">
        <v>1417.5</v>
      </c>
      <c r="I1318" s="58" t="s">
        <v>550</v>
      </c>
      <c r="K1318" s="57"/>
    </row>
    <row r="1319" spans="1:11" x14ac:dyDescent="0.25">
      <c r="A1319" s="154">
        <v>40877</v>
      </c>
      <c r="B1319" s="150" t="s">
        <v>1106</v>
      </c>
      <c r="C1319" s="57" t="s">
        <v>1105</v>
      </c>
      <c r="D1319" s="57" t="s">
        <v>748</v>
      </c>
      <c r="E1319" s="153">
        <v>1</v>
      </c>
      <c r="F1319" s="153">
        <v>1020.6</v>
      </c>
      <c r="G1319" s="164"/>
      <c r="H1319" s="164">
        <v>1020.6</v>
      </c>
      <c r="I1319" s="58" t="s">
        <v>550</v>
      </c>
      <c r="K1319" s="57"/>
    </row>
    <row r="1320" spans="1:11" x14ac:dyDescent="0.25">
      <c r="A1320" s="154">
        <v>40890</v>
      </c>
      <c r="B1320" s="150" t="s">
        <v>1107</v>
      </c>
      <c r="C1320" s="57" t="s">
        <v>1108</v>
      </c>
      <c r="D1320" s="57" t="s">
        <v>748</v>
      </c>
      <c r="E1320" s="153">
        <v>1</v>
      </c>
      <c r="F1320" s="153">
        <v>278.39999999999998</v>
      </c>
      <c r="G1320" s="164"/>
      <c r="H1320" s="164">
        <v>278.39999999999998</v>
      </c>
      <c r="I1320" s="58" t="s">
        <v>550</v>
      </c>
      <c r="K1320" s="57"/>
    </row>
    <row r="1321" spans="1:11" x14ac:dyDescent="0.25">
      <c r="A1321" s="154">
        <v>40933</v>
      </c>
      <c r="B1321" s="150" t="s">
        <v>1109</v>
      </c>
      <c r="C1321" s="57" t="s">
        <v>1105</v>
      </c>
      <c r="D1321" s="57" t="s">
        <v>748</v>
      </c>
      <c r="E1321" s="153">
        <v>1</v>
      </c>
      <c r="F1321" s="153">
        <v>3816.8</v>
      </c>
      <c r="G1321" s="164"/>
      <c r="H1321" s="164">
        <v>3816.8</v>
      </c>
      <c r="I1321" s="58" t="s">
        <v>550</v>
      </c>
      <c r="K1321" s="57"/>
    </row>
    <row r="1322" spans="1:11" x14ac:dyDescent="0.25">
      <c r="A1322" s="154">
        <v>40938</v>
      </c>
      <c r="B1322" s="150" t="s">
        <v>1110</v>
      </c>
      <c r="C1322" s="57" t="s">
        <v>1105</v>
      </c>
      <c r="D1322" s="57" t="s">
        <v>748</v>
      </c>
      <c r="E1322" s="153">
        <v>1</v>
      </c>
      <c r="F1322" s="153">
        <v>353.5</v>
      </c>
      <c r="G1322" s="164"/>
      <c r="H1322" s="164">
        <v>353.5</v>
      </c>
      <c r="I1322" s="58" t="s">
        <v>550</v>
      </c>
      <c r="K1322" s="57"/>
    </row>
    <row r="1323" spans="1:11" x14ac:dyDescent="0.25">
      <c r="A1323" s="169" t="s">
        <v>682</v>
      </c>
      <c r="B1323" s="170" t="s">
        <v>1111</v>
      </c>
      <c r="C1323" s="171" t="s">
        <v>682</v>
      </c>
      <c r="D1323" s="171" t="s">
        <v>682</v>
      </c>
      <c r="E1323" s="172"/>
      <c r="F1323" s="172"/>
      <c r="G1323" s="173"/>
      <c r="H1323" s="173">
        <v>6886.8</v>
      </c>
      <c r="I1323" s="174" t="s">
        <v>682</v>
      </c>
      <c r="K1323" s="57"/>
    </row>
    <row r="1324" spans="1:11" x14ac:dyDescent="0.25">
      <c r="A1324" s="154" t="s">
        <v>682</v>
      </c>
      <c r="B1324" s="150" t="s">
        <v>682</v>
      </c>
      <c r="C1324" s="57" t="s">
        <v>682</v>
      </c>
      <c r="D1324" s="57" t="s">
        <v>682</v>
      </c>
      <c r="E1324" s="153"/>
      <c r="F1324" s="153"/>
      <c r="G1324" s="164"/>
      <c r="H1324" s="164"/>
      <c r="I1324" s="58" t="s">
        <v>682</v>
      </c>
      <c r="K1324" s="57"/>
    </row>
    <row r="1325" spans="1:11" x14ac:dyDescent="0.25">
      <c r="A1325" s="166" t="s">
        <v>682</v>
      </c>
      <c r="B1325" s="165" t="s">
        <v>1112</v>
      </c>
      <c r="C1325" s="60" t="s">
        <v>682</v>
      </c>
      <c r="D1325" s="60" t="s">
        <v>682</v>
      </c>
      <c r="E1325" s="167"/>
      <c r="F1325" s="167"/>
      <c r="G1325" s="168"/>
      <c r="H1325" s="168"/>
      <c r="I1325" s="46" t="s">
        <v>682</v>
      </c>
      <c r="K1325" s="57"/>
    </row>
    <row r="1326" spans="1:11" x14ac:dyDescent="0.25">
      <c r="A1326" s="154">
        <v>40861</v>
      </c>
      <c r="B1326" s="150" t="s">
        <v>1113</v>
      </c>
      <c r="C1326" s="57" t="s">
        <v>1114</v>
      </c>
      <c r="D1326" s="57" t="s">
        <v>748</v>
      </c>
      <c r="E1326" s="153">
        <v>1</v>
      </c>
      <c r="F1326" s="153">
        <v>3761.1</v>
      </c>
      <c r="G1326" s="164"/>
      <c r="H1326" s="164">
        <v>3761.1</v>
      </c>
      <c r="I1326" s="58" t="s">
        <v>543</v>
      </c>
      <c r="K1326" s="57"/>
    </row>
    <row r="1327" spans="1:11" x14ac:dyDescent="0.25">
      <c r="A1327" s="154">
        <v>40862</v>
      </c>
      <c r="B1327" s="150" t="s">
        <v>1115</v>
      </c>
      <c r="C1327" s="57" t="s">
        <v>1116</v>
      </c>
      <c r="D1327" s="57" t="s">
        <v>748</v>
      </c>
      <c r="E1327" s="153">
        <v>1</v>
      </c>
      <c r="F1327" s="153">
        <v>3283.5</v>
      </c>
      <c r="G1327" s="164"/>
      <c r="H1327" s="164">
        <v>3283.5</v>
      </c>
      <c r="I1327" s="58" t="s">
        <v>543</v>
      </c>
      <c r="K1327" s="57"/>
    </row>
    <row r="1328" spans="1:11" x14ac:dyDescent="0.25">
      <c r="A1328" s="154">
        <v>40947</v>
      </c>
      <c r="B1328" s="150" t="s">
        <v>1117</v>
      </c>
      <c r="C1328" s="57" t="s">
        <v>1116</v>
      </c>
      <c r="D1328" s="57" t="s">
        <v>748</v>
      </c>
      <c r="E1328" s="153">
        <v>1</v>
      </c>
      <c r="F1328" s="153">
        <v>526.6</v>
      </c>
      <c r="G1328" s="164"/>
      <c r="H1328" s="164">
        <v>526.6</v>
      </c>
      <c r="I1328" s="58" t="s">
        <v>543</v>
      </c>
      <c r="K1328" s="57"/>
    </row>
    <row r="1329" spans="1:11" x14ac:dyDescent="0.25">
      <c r="A1329" s="169" t="s">
        <v>682</v>
      </c>
      <c r="B1329" s="170" t="s">
        <v>1118</v>
      </c>
      <c r="C1329" s="171" t="s">
        <v>682</v>
      </c>
      <c r="D1329" s="171" t="s">
        <v>682</v>
      </c>
      <c r="E1329" s="172"/>
      <c r="F1329" s="172"/>
      <c r="G1329" s="173"/>
      <c r="H1329" s="173">
        <v>7571.2000000000007</v>
      </c>
      <c r="I1329" s="174" t="s">
        <v>682</v>
      </c>
      <c r="K1329" s="57"/>
    </row>
    <row r="1330" spans="1:11" x14ac:dyDescent="0.25">
      <c r="A1330" s="154" t="s">
        <v>682</v>
      </c>
      <c r="B1330" s="150" t="s">
        <v>682</v>
      </c>
      <c r="C1330" s="57" t="s">
        <v>682</v>
      </c>
      <c r="D1330" s="57" t="s">
        <v>682</v>
      </c>
      <c r="E1330" s="153"/>
      <c r="F1330" s="153"/>
      <c r="G1330" s="164"/>
      <c r="H1330" s="164"/>
      <c r="I1330" s="58" t="s">
        <v>682</v>
      </c>
      <c r="K1330" s="57"/>
    </row>
    <row r="1331" spans="1:11" x14ac:dyDescent="0.25">
      <c r="A1331" s="166" t="s">
        <v>682</v>
      </c>
      <c r="B1331" s="165" t="s">
        <v>1119</v>
      </c>
      <c r="C1331" s="60" t="s">
        <v>682</v>
      </c>
      <c r="D1331" s="60" t="s">
        <v>682</v>
      </c>
      <c r="E1331" s="167"/>
      <c r="F1331" s="167"/>
      <c r="G1331" s="168"/>
      <c r="H1331" s="168"/>
      <c r="I1331" s="46" t="s">
        <v>682</v>
      </c>
      <c r="K1331" s="57"/>
    </row>
    <row r="1332" spans="1:11" x14ac:dyDescent="0.25">
      <c r="A1332" s="154">
        <v>40954</v>
      </c>
      <c r="B1332" s="150" t="s">
        <v>1120</v>
      </c>
      <c r="C1332" s="57" t="s">
        <v>1121</v>
      </c>
      <c r="D1332" s="57" t="s">
        <v>748</v>
      </c>
      <c r="E1332" s="153">
        <v>1</v>
      </c>
      <c r="F1332" s="153">
        <v>2177.4</v>
      </c>
      <c r="G1332" s="164"/>
      <c r="H1332" s="164">
        <v>2177.4</v>
      </c>
      <c r="I1332" s="58" t="s">
        <v>547</v>
      </c>
      <c r="K1332" s="57"/>
    </row>
    <row r="1333" spans="1:11" x14ac:dyDescent="0.25">
      <c r="A1333" s="169" t="s">
        <v>682</v>
      </c>
      <c r="B1333" s="170" t="s">
        <v>1122</v>
      </c>
      <c r="C1333" s="171" t="s">
        <v>682</v>
      </c>
      <c r="D1333" s="171" t="s">
        <v>682</v>
      </c>
      <c r="E1333" s="172"/>
      <c r="F1333" s="172"/>
      <c r="G1333" s="173"/>
      <c r="H1333" s="173">
        <v>2177.4</v>
      </c>
      <c r="I1333" s="174" t="s">
        <v>682</v>
      </c>
      <c r="K1333" s="57"/>
    </row>
    <row r="1334" spans="1:11" x14ac:dyDescent="0.25">
      <c r="A1334" s="154" t="s">
        <v>682</v>
      </c>
      <c r="B1334" s="150" t="s">
        <v>682</v>
      </c>
      <c r="C1334" s="57" t="s">
        <v>682</v>
      </c>
      <c r="D1334" s="57" t="s">
        <v>682</v>
      </c>
      <c r="E1334" s="153"/>
      <c r="F1334" s="153"/>
      <c r="G1334" s="164"/>
      <c r="H1334" s="164"/>
      <c r="I1334" s="58" t="s">
        <v>682</v>
      </c>
      <c r="K1334" s="57"/>
    </row>
    <row r="1335" spans="1:11" x14ac:dyDescent="0.25">
      <c r="A1335" s="166" t="s">
        <v>682</v>
      </c>
      <c r="B1335" s="165" t="s">
        <v>1123</v>
      </c>
      <c r="C1335" s="60" t="s">
        <v>682</v>
      </c>
      <c r="D1335" s="60" t="s">
        <v>682</v>
      </c>
      <c r="E1335" s="167"/>
      <c r="F1335" s="167"/>
      <c r="G1335" s="168"/>
      <c r="H1335" s="168"/>
      <c r="I1335" s="46" t="s">
        <v>682</v>
      </c>
      <c r="K1335" s="57"/>
    </row>
    <row r="1336" spans="1:11" x14ac:dyDescent="0.25">
      <c r="A1336" s="154">
        <v>41067</v>
      </c>
      <c r="B1336" s="150" t="s">
        <v>1124</v>
      </c>
      <c r="C1336" s="57" t="s">
        <v>1125</v>
      </c>
      <c r="D1336" s="57" t="s">
        <v>748</v>
      </c>
      <c r="E1336" s="153">
        <v>25.35</v>
      </c>
      <c r="F1336" s="153">
        <v>265.57</v>
      </c>
      <c r="G1336" s="164"/>
      <c r="H1336" s="164">
        <v>6732.1994999999997</v>
      </c>
      <c r="I1336" s="58" t="s">
        <v>546</v>
      </c>
      <c r="K1336" s="57"/>
    </row>
    <row r="1337" spans="1:11" x14ac:dyDescent="0.25">
      <c r="A1337" s="154">
        <v>41068</v>
      </c>
      <c r="B1337" s="150" t="s">
        <v>1126</v>
      </c>
      <c r="C1337" s="57" t="s">
        <v>1125</v>
      </c>
      <c r="D1337" s="57" t="s">
        <v>748</v>
      </c>
      <c r="E1337" s="153">
        <v>24.75</v>
      </c>
      <c r="F1337" s="153">
        <v>265.57</v>
      </c>
      <c r="G1337" s="164"/>
      <c r="H1337" s="164">
        <v>6572.8575000000001</v>
      </c>
      <c r="I1337" s="58" t="s">
        <v>546</v>
      </c>
      <c r="K1337" s="57"/>
    </row>
    <row r="1338" spans="1:11" x14ac:dyDescent="0.25">
      <c r="A1338" s="154">
        <v>41069</v>
      </c>
      <c r="B1338" s="150" t="s">
        <v>1127</v>
      </c>
      <c r="C1338" s="57" t="s">
        <v>853</v>
      </c>
      <c r="D1338" s="57" t="s">
        <v>748</v>
      </c>
      <c r="E1338" s="153">
        <v>6.3</v>
      </c>
      <c r="F1338" s="153">
        <v>48</v>
      </c>
      <c r="G1338" s="164"/>
      <c r="H1338" s="164">
        <v>302.39999999999998</v>
      </c>
      <c r="I1338" s="58" t="s">
        <v>546</v>
      </c>
      <c r="K1338" s="57"/>
    </row>
    <row r="1339" spans="1:11" x14ac:dyDescent="0.25">
      <c r="A1339" s="154">
        <v>41070</v>
      </c>
      <c r="B1339" s="150" t="s">
        <v>1128</v>
      </c>
      <c r="C1339" s="57" t="s">
        <v>853</v>
      </c>
      <c r="D1339" s="57" t="s">
        <v>748</v>
      </c>
      <c r="E1339" s="153">
        <v>17.55</v>
      </c>
      <c r="F1339" s="153">
        <v>48</v>
      </c>
      <c r="G1339" s="164"/>
      <c r="H1339" s="164">
        <v>842.4</v>
      </c>
      <c r="I1339" s="58" t="s">
        <v>546</v>
      </c>
      <c r="K1339" s="57"/>
    </row>
    <row r="1340" spans="1:11" x14ac:dyDescent="0.25">
      <c r="A1340" s="154">
        <v>41071</v>
      </c>
      <c r="B1340" s="150" t="s">
        <v>1129</v>
      </c>
      <c r="C1340" s="57" t="s">
        <v>853</v>
      </c>
      <c r="D1340" s="57" t="s">
        <v>748</v>
      </c>
      <c r="E1340" s="153">
        <v>18</v>
      </c>
      <c r="F1340" s="153">
        <v>48</v>
      </c>
      <c r="G1340" s="164"/>
      <c r="H1340" s="164">
        <v>864</v>
      </c>
      <c r="I1340" s="58" t="s">
        <v>546</v>
      </c>
      <c r="K1340" s="57"/>
    </row>
    <row r="1341" spans="1:11" x14ac:dyDescent="0.25">
      <c r="A1341" s="154">
        <v>41073</v>
      </c>
      <c r="B1341" s="150" t="s">
        <v>1130</v>
      </c>
      <c r="C1341" s="57" t="s">
        <v>853</v>
      </c>
      <c r="D1341" s="57" t="s">
        <v>748</v>
      </c>
      <c r="E1341" s="153">
        <v>16.7</v>
      </c>
      <c r="F1341" s="153">
        <v>48</v>
      </c>
      <c r="G1341" s="164"/>
      <c r="H1341" s="164">
        <v>801.6</v>
      </c>
      <c r="I1341" s="58" t="s">
        <v>546</v>
      </c>
      <c r="K1341" s="57"/>
    </row>
    <row r="1342" spans="1:11" x14ac:dyDescent="0.25">
      <c r="A1342" s="154">
        <v>41081</v>
      </c>
      <c r="B1342" s="150" t="s">
        <v>1131</v>
      </c>
      <c r="C1342" s="57" t="s">
        <v>853</v>
      </c>
      <c r="D1342" s="57" t="s">
        <v>748</v>
      </c>
      <c r="E1342" s="153">
        <v>72.900000000000006</v>
      </c>
      <c r="F1342" s="153">
        <v>45</v>
      </c>
      <c r="G1342" s="164"/>
      <c r="H1342" s="164">
        <v>3280.5</v>
      </c>
      <c r="I1342" s="58" t="s">
        <v>546</v>
      </c>
      <c r="K1342" s="57"/>
    </row>
    <row r="1343" spans="1:11" x14ac:dyDescent="0.25">
      <c r="A1343" s="154">
        <v>41083</v>
      </c>
      <c r="B1343" s="150" t="s">
        <v>1132</v>
      </c>
      <c r="C1343" s="57" t="s">
        <v>853</v>
      </c>
      <c r="D1343" s="57" t="s">
        <v>748</v>
      </c>
      <c r="E1343" s="153">
        <v>27.4</v>
      </c>
      <c r="F1343" s="153">
        <v>48</v>
      </c>
      <c r="G1343" s="164"/>
      <c r="H1343" s="164">
        <v>1315.2</v>
      </c>
      <c r="I1343" s="58" t="s">
        <v>546</v>
      </c>
      <c r="K1343" s="57"/>
    </row>
    <row r="1344" spans="1:11" x14ac:dyDescent="0.25">
      <c r="A1344" s="169" t="s">
        <v>682</v>
      </c>
      <c r="B1344" s="170" t="s">
        <v>1133</v>
      </c>
      <c r="C1344" s="171" t="s">
        <v>682</v>
      </c>
      <c r="D1344" s="171" t="s">
        <v>682</v>
      </c>
      <c r="E1344" s="172"/>
      <c r="F1344" s="172"/>
      <c r="G1344" s="173"/>
      <c r="H1344" s="173">
        <v>20711.157000000003</v>
      </c>
      <c r="I1344" s="174" t="s">
        <v>682</v>
      </c>
      <c r="K1344" s="57"/>
    </row>
    <row r="1345" spans="1:11" x14ac:dyDescent="0.25">
      <c r="A1345" s="154" t="s">
        <v>682</v>
      </c>
      <c r="B1345" s="150" t="s">
        <v>682</v>
      </c>
      <c r="C1345" s="57" t="s">
        <v>682</v>
      </c>
      <c r="D1345" s="57" t="s">
        <v>682</v>
      </c>
      <c r="E1345" s="153"/>
      <c r="F1345" s="153"/>
      <c r="G1345" s="164"/>
      <c r="H1345" s="164"/>
      <c r="I1345" s="58" t="s">
        <v>682</v>
      </c>
      <c r="K1345" s="57"/>
    </row>
    <row r="1346" spans="1:11" x14ac:dyDescent="0.25">
      <c r="A1346" s="166" t="s">
        <v>682</v>
      </c>
      <c r="B1346" s="165" t="s">
        <v>1134</v>
      </c>
      <c r="C1346" s="60" t="s">
        <v>682</v>
      </c>
      <c r="D1346" s="60" t="s">
        <v>682</v>
      </c>
      <c r="E1346" s="167"/>
      <c r="F1346" s="167"/>
      <c r="G1346" s="168"/>
      <c r="H1346" s="168"/>
      <c r="I1346" s="46" t="s">
        <v>682</v>
      </c>
      <c r="K1346" s="57"/>
    </row>
    <row r="1347" spans="1:11" x14ac:dyDescent="0.25">
      <c r="A1347" s="154">
        <v>40841</v>
      </c>
      <c r="B1347" s="150" t="s">
        <v>1150</v>
      </c>
      <c r="C1347" s="57" t="s">
        <v>820</v>
      </c>
      <c r="D1347" s="57" t="s">
        <v>748</v>
      </c>
      <c r="E1347" s="153">
        <v>12.16</v>
      </c>
      <c r="F1347" s="153">
        <v>25</v>
      </c>
      <c r="G1347" s="164"/>
      <c r="H1347" s="164">
        <v>304</v>
      </c>
      <c r="I1347" s="58" t="s">
        <v>1359</v>
      </c>
      <c r="K1347" s="57"/>
    </row>
    <row r="1348" spans="1:11" x14ac:dyDescent="0.25">
      <c r="A1348" s="154">
        <v>40848</v>
      </c>
      <c r="B1348" s="150" t="s">
        <v>1151</v>
      </c>
      <c r="C1348" s="57" t="s">
        <v>1152</v>
      </c>
      <c r="D1348" s="57" t="s">
        <v>748</v>
      </c>
      <c r="E1348" s="153">
        <v>12</v>
      </c>
      <c r="F1348" s="153">
        <v>24.36</v>
      </c>
      <c r="G1348" s="164"/>
      <c r="H1348" s="164">
        <v>292.32</v>
      </c>
      <c r="I1348" s="58" t="s">
        <v>1359</v>
      </c>
      <c r="K1348" s="57"/>
    </row>
    <row r="1349" spans="1:11" x14ac:dyDescent="0.25">
      <c r="A1349" s="154">
        <v>40864</v>
      </c>
      <c r="B1349" s="150" t="s">
        <v>1135</v>
      </c>
      <c r="C1349" s="57" t="s">
        <v>820</v>
      </c>
      <c r="D1349" s="57" t="s">
        <v>748</v>
      </c>
      <c r="E1349" s="153">
        <v>1</v>
      </c>
      <c r="F1349" s="153">
        <v>1216.7</v>
      </c>
      <c r="G1349" s="164"/>
      <c r="H1349" s="164">
        <v>1216.7</v>
      </c>
      <c r="I1349" s="58" t="s">
        <v>1359</v>
      </c>
      <c r="K1349" s="57"/>
    </row>
    <row r="1350" spans="1:11" x14ac:dyDescent="0.25">
      <c r="A1350" s="154">
        <v>40948</v>
      </c>
      <c r="B1350" s="150" t="s">
        <v>1136</v>
      </c>
      <c r="C1350" s="57" t="s">
        <v>820</v>
      </c>
      <c r="D1350" s="57" t="s">
        <v>748</v>
      </c>
      <c r="E1350" s="153">
        <v>1</v>
      </c>
      <c r="F1350" s="153">
        <v>2340</v>
      </c>
      <c r="G1350" s="164"/>
      <c r="H1350" s="164">
        <v>2340</v>
      </c>
      <c r="I1350" s="58" t="s">
        <v>1359</v>
      </c>
      <c r="K1350" s="57"/>
    </row>
    <row r="1351" spans="1:11" x14ac:dyDescent="0.25">
      <c r="A1351" s="154">
        <v>40949</v>
      </c>
      <c r="B1351" s="150" t="s">
        <v>1137</v>
      </c>
      <c r="C1351" s="57" t="s">
        <v>820</v>
      </c>
      <c r="D1351" s="57" t="s">
        <v>748</v>
      </c>
      <c r="E1351" s="153">
        <v>1</v>
      </c>
      <c r="F1351" s="153">
        <v>1901.8</v>
      </c>
      <c r="G1351" s="164"/>
      <c r="H1351" s="164">
        <v>1901.8</v>
      </c>
      <c r="I1351" s="58" t="s">
        <v>1359</v>
      </c>
      <c r="K1351" s="57"/>
    </row>
    <row r="1352" spans="1:11" x14ac:dyDescent="0.25">
      <c r="A1352" s="154">
        <v>40968</v>
      </c>
      <c r="B1352" s="150" t="s">
        <v>1138</v>
      </c>
      <c r="C1352" s="57" t="s">
        <v>820</v>
      </c>
      <c r="D1352" s="57" t="s">
        <v>748</v>
      </c>
      <c r="E1352" s="153">
        <v>26.26</v>
      </c>
      <c r="F1352" s="153">
        <v>25</v>
      </c>
      <c r="G1352" s="164"/>
      <c r="H1352" s="164">
        <v>656.5</v>
      </c>
      <c r="I1352" s="58" t="s">
        <v>1359</v>
      </c>
      <c r="K1352" s="57"/>
    </row>
    <row r="1353" spans="1:11" x14ac:dyDescent="0.25">
      <c r="A1353" s="169" t="s">
        <v>682</v>
      </c>
      <c r="B1353" s="170" t="s">
        <v>1139</v>
      </c>
      <c r="C1353" s="171" t="s">
        <v>682</v>
      </c>
      <c r="D1353" s="171" t="s">
        <v>682</v>
      </c>
      <c r="E1353" s="172"/>
      <c r="F1353" s="172"/>
      <c r="G1353" s="173"/>
      <c r="H1353" s="173">
        <v>6711.3200000000006</v>
      </c>
      <c r="I1353" s="174" t="s">
        <v>682</v>
      </c>
      <c r="K1353" s="57"/>
    </row>
    <row r="1354" spans="1:11" x14ac:dyDescent="0.25">
      <c r="A1354" s="154" t="s">
        <v>682</v>
      </c>
      <c r="B1354" s="150" t="s">
        <v>682</v>
      </c>
      <c r="C1354" s="57" t="s">
        <v>682</v>
      </c>
      <c r="D1354" s="57" t="s">
        <v>682</v>
      </c>
      <c r="E1354" s="153"/>
      <c r="F1354" s="153"/>
      <c r="G1354" s="164"/>
      <c r="H1354" s="164"/>
      <c r="I1354" s="58" t="s">
        <v>682</v>
      </c>
      <c r="K1354" s="57"/>
    </row>
    <row r="1355" spans="1:11" x14ac:dyDescent="0.25">
      <c r="A1355" s="166" t="s">
        <v>682</v>
      </c>
      <c r="B1355" s="165" t="s">
        <v>1140</v>
      </c>
      <c r="C1355" s="60" t="s">
        <v>682</v>
      </c>
      <c r="D1355" s="60" t="s">
        <v>682</v>
      </c>
      <c r="E1355" s="167"/>
      <c r="F1355" s="167"/>
      <c r="G1355" s="168"/>
      <c r="H1355" s="168"/>
      <c r="I1355" s="46" t="s">
        <v>682</v>
      </c>
      <c r="K1355" s="57"/>
    </row>
    <row r="1356" spans="1:11" x14ac:dyDescent="0.25">
      <c r="A1356" s="154">
        <v>40935</v>
      </c>
      <c r="B1356" s="150" t="s">
        <v>1141</v>
      </c>
      <c r="C1356" s="57" t="s">
        <v>1142</v>
      </c>
      <c r="D1356" s="57" t="s">
        <v>748</v>
      </c>
      <c r="E1356" s="153">
        <v>1</v>
      </c>
      <c r="F1356" s="153">
        <v>3350.29</v>
      </c>
      <c r="G1356" s="164"/>
      <c r="H1356" s="164">
        <v>3350.29</v>
      </c>
      <c r="I1356" s="58" t="s">
        <v>548</v>
      </c>
      <c r="K1356" s="57"/>
    </row>
    <row r="1357" spans="1:11" x14ac:dyDescent="0.25">
      <c r="A1357" s="154">
        <v>40952</v>
      </c>
      <c r="B1357" s="150" t="s">
        <v>1143</v>
      </c>
      <c r="C1357" s="57" t="s">
        <v>1144</v>
      </c>
      <c r="D1357" s="57" t="s">
        <v>748</v>
      </c>
      <c r="E1357" s="153">
        <v>1</v>
      </c>
      <c r="F1357" s="153">
        <v>1720</v>
      </c>
      <c r="G1357" s="164"/>
      <c r="H1357" s="164">
        <v>1720</v>
      </c>
      <c r="I1357" s="58" t="s">
        <v>548</v>
      </c>
      <c r="K1357" s="57"/>
    </row>
    <row r="1358" spans="1:11" x14ac:dyDescent="0.25">
      <c r="A1358" s="169" t="s">
        <v>682</v>
      </c>
      <c r="B1358" s="170" t="s">
        <v>1145</v>
      </c>
      <c r="C1358" s="171" t="s">
        <v>682</v>
      </c>
      <c r="D1358" s="171" t="s">
        <v>682</v>
      </c>
      <c r="E1358" s="172"/>
      <c r="F1358" s="172"/>
      <c r="G1358" s="173"/>
      <c r="H1358" s="173">
        <v>5070.29</v>
      </c>
      <c r="I1358" s="174" t="s">
        <v>682</v>
      </c>
      <c r="K1358" s="57"/>
    </row>
    <row r="1359" spans="1:11" x14ac:dyDescent="0.25">
      <c r="A1359" s="154" t="s">
        <v>682</v>
      </c>
      <c r="B1359" s="150" t="s">
        <v>682</v>
      </c>
      <c r="C1359" s="57" t="s">
        <v>682</v>
      </c>
      <c r="D1359" s="57" t="s">
        <v>682</v>
      </c>
      <c r="E1359" s="153"/>
      <c r="F1359" s="153"/>
      <c r="G1359" s="164"/>
      <c r="H1359" s="164"/>
      <c r="I1359" s="58" t="s">
        <v>682</v>
      </c>
      <c r="K1359" s="57"/>
    </row>
    <row r="1360" spans="1:11" x14ac:dyDescent="0.25">
      <c r="A1360" s="166" t="s">
        <v>682</v>
      </c>
      <c r="B1360" s="165" t="s">
        <v>1146</v>
      </c>
      <c r="C1360" s="60" t="s">
        <v>682</v>
      </c>
      <c r="D1360" s="60" t="s">
        <v>682</v>
      </c>
      <c r="E1360" s="167"/>
      <c r="F1360" s="167"/>
      <c r="G1360" s="168"/>
      <c r="H1360" s="168"/>
      <c r="I1360" s="46" t="s">
        <v>682</v>
      </c>
      <c r="K1360" s="57"/>
    </row>
    <row r="1361" spans="1:11" x14ac:dyDescent="0.25">
      <c r="A1361" s="154">
        <v>40938</v>
      </c>
      <c r="B1361" s="150" t="s">
        <v>1147</v>
      </c>
      <c r="C1361" s="57" t="s">
        <v>1148</v>
      </c>
      <c r="D1361" s="57" t="s">
        <v>748</v>
      </c>
      <c r="E1361" s="153">
        <v>1</v>
      </c>
      <c r="F1361" s="153">
        <v>3525</v>
      </c>
      <c r="G1361" s="164"/>
      <c r="H1361" s="164">
        <v>3525</v>
      </c>
      <c r="I1361" s="58" t="s">
        <v>549</v>
      </c>
      <c r="K1361" s="57"/>
    </row>
    <row r="1362" spans="1:11" x14ac:dyDescent="0.25">
      <c r="A1362" s="169" t="s">
        <v>682</v>
      </c>
      <c r="B1362" s="170" t="s">
        <v>1149</v>
      </c>
      <c r="C1362" s="171" t="s">
        <v>682</v>
      </c>
      <c r="D1362" s="171" t="s">
        <v>682</v>
      </c>
      <c r="E1362" s="172"/>
      <c r="F1362" s="172"/>
      <c r="G1362" s="173"/>
      <c r="H1362" s="173">
        <v>3525</v>
      </c>
      <c r="I1362" s="174" t="s">
        <v>682</v>
      </c>
      <c r="K1362" s="57"/>
    </row>
    <row r="1363" spans="1:11" x14ac:dyDescent="0.25">
      <c r="A1363" s="154" t="s">
        <v>682</v>
      </c>
      <c r="B1363" s="150" t="s">
        <v>682</v>
      </c>
      <c r="C1363" s="57" t="s">
        <v>682</v>
      </c>
      <c r="D1363" s="57" t="s">
        <v>682</v>
      </c>
      <c r="E1363" s="153"/>
      <c r="F1363" s="153"/>
      <c r="G1363" s="164"/>
      <c r="H1363" s="164"/>
      <c r="I1363" s="58" t="s">
        <v>682</v>
      </c>
      <c r="K1363" s="57"/>
    </row>
    <row r="1364" spans="1:11" x14ac:dyDescent="0.25">
      <c r="A1364" s="166" t="s">
        <v>682</v>
      </c>
      <c r="B1364" s="165" t="s">
        <v>1153</v>
      </c>
      <c r="C1364" s="60" t="s">
        <v>682</v>
      </c>
      <c r="D1364" s="60" t="s">
        <v>682</v>
      </c>
      <c r="E1364" s="167"/>
      <c r="F1364" s="167"/>
      <c r="G1364" s="168"/>
      <c r="H1364" s="168"/>
      <c r="I1364" s="46" t="s">
        <v>682</v>
      </c>
      <c r="K1364" s="57"/>
    </row>
    <row r="1365" spans="1:11" x14ac:dyDescent="0.25">
      <c r="A1365" s="154">
        <v>40938</v>
      </c>
      <c r="B1365" s="150" t="s">
        <v>1154</v>
      </c>
      <c r="C1365" s="57" t="s">
        <v>813</v>
      </c>
      <c r="D1365" s="57" t="s">
        <v>748</v>
      </c>
      <c r="E1365" s="153">
        <v>4610.3999999999996</v>
      </c>
      <c r="F1365" s="153">
        <v>8</v>
      </c>
      <c r="G1365" s="164"/>
      <c r="H1365" s="164">
        <v>36883.199999999997</v>
      </c>
      <c r="I1365" s="58" t="s">
        <v>539</v>
      </c>
      <c r="K1365" s="57"/>
    </row>
    <row r="1366" spans="1:11" x14ac:dyDescent="0.25">
      <c r="A1366" s="169" t="s">
        <v>682</v>
      </c>
      <c r="B1366" s="170" t="s">
        <v>1155</v>
      </c>
      <c r="C1366" s="171" t="s">
        <v>682</v>
      </c>
      <c r="D1366" s="171" t="s">
        <v>682</v>
      </c>
      <c r="E1366" s="172"/>
      <c r="F1366" s="172"/>
      <c r="G1366" s="173"/>
      <c r="H1366" s="173">
        <v>36883.199999999997</v>
      </c>
      <c r="I1366" s="174" t="s">
        <v>682</v>
      </c>
      <c r="K1366" s="57"/>
    </row>
    <row r="1367" spans="1:11" x14ac:dyDescent="0.25">
      <c r="A1367" s="154" t="s">
        <v>682</v>
      </c>
      <c r="B1367" s="150" t="s">
        <v>682</v>
      </c>
      <c r="C1367" s="57" t="s">
        <v>682</v>
      </c>
      <c r="D1367" s="57" t="s">
        <v>682</v>
      </c>
      <c r="E1367" s="153"/>
      <c r="F1367" s="153"/>
      <c r="G1367" s="164"/>
      <c r="H1367" s="164"/>
      <c r="I1367" s="58" t="s">
        <v>682</v>
      </c>
      <c r="K1367" s="57"/>
    </row>
    <row r="1368" spans="1:11" x14ac:dyDescent="0.25">
      <c r="A1368" s="166" t="s">
        <v>682</v>
      </c>
      <c r="B1368" s="165" t="s">
        <v>1156</v>
      </c>
      <c r="C1368" s="60" t="s">
        <v>682</v>
      </c>
      <c r="D1368" s="60" t="s">
        <v>682</v>
      </c>
      <c r="E1368" s="167"/>
      <c r="F1368" s="167"/>
      <c r="G1368" s="168"/>
      <c r="H1368" s="168"/>
      <c r="I1368" s="46" t="s">
        <v>682</v>
      </c>
      <c r="K1368" s="57"/>
    </row>
    <row r="1369" spans="1:11" x14ac:dyDescent="0.25">
      <c r="A1369" s="154">
        <v>40857</v>
      </c>
      <c r="B1369" s="150" t="s">
        <v>1157</v>
      </c>
      <c r="C1369" s="57" t="s">
        <v>833</v>
      </c>
      <c r="D1369" s="57" t="s">
        <v>748</v>
      </c>
      <c r="E1369" s="153">
        <v>1</v>
      </c>
      <c r="F1369" s="153">
        <v>812.78</v>
      </c>
      <c r="G1369" s="164"/>
      <c r="H1369" s="164">
        <v>812.78</v>
      </c>
      <c r="I1369" s="58" t="s">
        <v>540</v>
      </c>
      <c r="K1369" s="57"/>
    </row>
    <row r="1370" spans="1:11" x14ac:dyDescent="0.25">
      <c r="A1370" s="154">
        <v>40862</v>
      </c>
      <c r="B1370" s="150" t="s">
        <v>1158</v>
      </c>
      <c r="C1370" s="57" t="s">
        <v>1159</v>
      </c>
      <c r="D1370" s="57" t="s">
        <v>748</v>
      </c>
      <c r="E1370" s="153">
        <v>12.18</v>
      </c>
      <c r="F1370" s="153">
        <v>33.6</v>
      </c>
      <c r="G1370" s="164"/>
      <c r="H1370" s="164">
        <v>409.24799999999999</v>
      </c>
      <c r="I1370" s="58" t="s">
        <v>540</v>
      </c>
      <c r="K1370" s="57"/>
    </row>
    <row r="1371" spans="1:11" x14ac:dyDescent="0.25">
      <c r="A1371" s="154">
        <v>40938</v>
      </c>
      <c r="B1371" s="150" t="s">
        <v>1160</v>
      </c>
      <c r="C1371" s="57" t="s">
        <v>1161</v>
      </c>
      <c r="D1371" s="57" t="s">
        <v>748</v>
      </c>
      <c r="E1371" s="153">
        <v>1</v>
      </c>
      <c r="F1371" s="153">
        <v>4783.24</v>
      </c>
      <c r="G1371" s="164"/>
      <c r="H1371" s="164">
        <v>4783.24</v>
      </c>
      <c r="I1371" s="58" t="s">
        <v>540</v>
      </c>
      <c r="K1371" s="57"/>
    </row>
    <row r="1372" spans="1:11" x14ac:dyDescent="0.25">
      <c r="A1372" s="169" t="s">
        <v>682</v>
      </c>
      <c r="B1372" s="170" t="s">
        <v>1162</v>
      </c>
      <c r="C1372" s="171" t="s">
        <v>682</v>
      </c>
      <c r="D1372" s="171" t="s">
        <v>682</v>
      </c>
      <c r="E1372" s="172"/>
      <c r="F1372" s="172"/>
      <c r="G1372" s="173"/>
      <c r="H1372" s="173">
        <v>6005.268</v>
      </c>
      <c r="I1372" s="174" t="s">
        <v>682</v>
      </c>
      <c r="K1372" s="57"/>
    </row>
    <row r="1373" spans="1:11" x14ac:dyDescent="0.25">
      <c r="A1373" s="154" t="s">
        <v>682</v>
      </c>
      <c r="B1373" s="150" t="s">
        <v>682</v>
      </c>
      <c r="C1373" s="57" t="s">
        <v>682</v>
      </c>
      <c r="D1373" s="57" t="s">
        <v>682</v>
      </c>
      <c r="E1373" s="153"/>
      <c r="F1373" s="153"/>
      <c r="G1373" s="164"/>
      <c r="H1373" s="164"/>
      <c r="I1373" s="58" t="s">
        <v>682</v>
      </c>
      <c r="K1373" s="57"/>
    </row>
    <row r="1374" spans="1:11" x14ac:dyDescent="0.25">
      <c r="A1374" s="166" t="s">
        <v>682</v>
      </c>
      <c r="B1374" s="165" t="s">
        <v>1163</v>
      </c>
      <c r="C1374" s="60" t="s">
        <v>682</v>
      </c>
      <c r="D1374" s="60" t="s">
        <v>682</v>
      </c>
      <c r="E1374" s="167"/>
      <c r="F1374" s="167"/>
      <c r="G1374" s="168"/>
      <c r="H1374" s="168"/>
      <c r="I1374" s="46" t="s">
        <v>682</v>
      </c>
      <c r="K1374" s="57"/>
    </row>
    <row r="1375" spans="1:11" x14ac:dyDescent="0.25">
      <c r="A1375" s="154">
        <v>40861</v>
      </c>
      <c r="B1375" s="150" t="s">
        <v>1164</v>
      </c>
      <c r="C1375" s="57" t="s">
        <v>820</v>
      </c>
      <c r="D1375" s="57" t="s">
        <v>748</v>
      </c>
      <c r="E1375" s="153">
        <v>1</v>
      </c>
      <c r="F1375" s="153">
        <v>1428.3</v>
      </c>
      <c r="G1375" s="164"/>
      <c r="H1375" s="164">
        <v>1428.3</v>
      </c>
      <c r="I1375" s="58" t="s">
        <v>542</v>
      </c>
      <c r="K1375" s="57"/>
    </row>
    <row r="1376" spans="1:11" x14ac:dyDescent="0.25">
      <c r="A1376" s="169" t="s">
        <v>682</v>
      </c>
      <c r="B1376" s="170" t="s">
        <v>1165</v>
      </c>
      <c r="C1376" s="171" t="s">
        <v>682</v>
      </c>
      <c r="D1376" s="171" t="s">
        <v>682</v>
      </c>
      <c r="E1376" s="172"/>
      <c r="F1376" s="172"/>
      <c r="G1376" s="173"/>
      <c r="H1376" s="173">
        <v>1428.3</v>
      </c>
      <c r="I1376" s="174" t="s">
        <v>682</v>
      </c>
      <c r="K1376" s="57"/>
    </row>
    <row r="1377" spans="1:11" x14ac:dyDescent="0.25">
      <c r="A1377" s="154" t="s">
        <v>682</v>
      </c>
      <c r="B1377" s="150" t="s">
        <v>682</v>
      </c>
      <c r="C1377" s="57" t="s">
        <v>682</v>
      </c>
      <c r="D1377" s="57" t="s">
        <v>682</v>
      </c>
      <c r="E1377" s="153"/>
      <c r="F1377" s="153"/>
      <c r="G1377" s="164"/>
      <c r="H1377" s="164"/>
      <c r="I1377" s="58" t="s">
        <v>682</v>
      </c>
      <c r="K1377" s="57"/>
    </row>
    <row r="1378" spans="1:11" x14ac:dyDescent="0.25">
      <c r="A1378" s="166" t="s">
        <v>682</v>
      </c>
      <c r="B1378" s="165" t="s">
        <v>1167</v>
      </c>
      <c r="C1378" s="60" t="s">
        <v>682</v>
      </c>
      <c r="D1378" s="60" t="s">
        <v>682</v>
      </c>
      <c r="E1378" s="167"/>
      <c r="F1378" s="167"/>
      <c r="G1378" s="168"/>
      <c r="H1378" s="168"/>
      <c r="I1378" s="46" t="s">
        <v>682</v>
      </c>
      <c r="K1378" s="57"/>
    </row>
    <row r="1379" spans="1:11" ht="30" x14ac:dyDescent="0.25">
      <c r="A1379" s="154">
        <v>40858</v>
      </c>
      <c r="B1379" s="150" t="s">
        <v>1168</v>
      </c>
      <c r="C1379" s="57" t="s">
        <v>1000</v>
      </c>
      <c r="D1379" s="57" t="s">
        <v>748</v>
      </c>
      <c r="E1379" s="153">
        <v>1</v>
      </c>
      <c r="F1379" s="153">
        <v>2780.72</v>
      </c>
      <c r="G1379" s="164"/>
      <c r="H1379" s="164">
        <v>2780.72</v>
      </c>
      <c r="I1379" s="58" t="s">
        <v>544</v>
      </c>
      <c r="K1379" s="57"/>
    </row>
    <row r="1380" spans="1:11" ht="30" x14ac:dyDescent="0.25">
      <c r="A1380" s="154">
        <v>40858</v>
      </c>
      <c r="B1380" s="150" t="s">
        <v>1169</v>
      </c>
      <c r="C1380" s="57" t="s">
        <v>1000</v>
      </c>
      <c r="D1380" s="57" t="s">
        <v>748</v>
      </c>
      <c r="E1380" s="153">
        <v>1</v>
      </c>
      <c r="F1380" s="153">
        <v>128.80000000000001</v>
      </c>
      <c r="G1380" s="164"/>
      <c r="H1380" s="164">
        <v>128.80000000000001</v>
      </c>
      <c r="I1380" s="58" t="s">
        <v>544</v>
      </c>
      <c r="K1380" s="57"/>
    </row>
    <row r="1381" spans="1:11" x14ac:dyDescent="0.25">
      <c r="A1381" s="169" t="s">
        <v>682</v>
      </c>
      <c r="B1381" s="170" t="s">
        <v>1170</v>
      </c>
      <c r="C1381" s="171" t="s">
        <v>682</v>
      </c>
      <c r="D1381" s="171" t="s">
        <v>682</v>
      </c>
      <c r="E1381" s="172"/>
      <c r="F1381" s="172"/>
      <c r="G1381" s="173"/>
      <c r="H1381" s="173">
        <v>2909.52</v>
      </c>
      <c r="I1381" s="174" t="s">
        <v>682</v>
      </c>
      <c r="K1381" s="57"/>
    </row>
    <row r="1382" spans="1:11" x14ac:dyDescent="0.25">
      <c r="A1382" s="154" t="s">
        <v>682</v>
      </c>
      <c r="B1382" s="150" t="s">
        <v>682</v>
      </c>
      <c r="C1382" s="57" t="s">
        <v>682</v>
      </c>
      <c r="D1382" s="57" t="s">
        <v>682</v>
      </c>
      <c r="E1382" s="153"/>
      <c r="F1382" s="153"/>
      <c r="G1382" s="164"/>
      <c r="H1382" s="164"/>
      <c r="I1382" s="58" t="s">
        <v>682</v>
      </c>
      <c r="K1382" s="57"/>
    </row>
    <row r="1383" spans="1:11" x14ac:dyDescent="0.25">
      <c r="A1383" s="166" t="s">
        <v>682</v>
      </c>
      <c r="B1383" s="165" t="s">
        <v>1171</v>
      </c>
      <c r="C1383" s="60" t="s">
        <v>682</v>
      </c>
      <c r="D1383" s="60" t="s">
        <v>682</v>
      </c>
      <c r="E1383" s="167"/>
      <c r="F1383" s="167"/>
      <c r="G1383" s="168"/>
      <c r="H1383" s="168"/>
      <c r="I1383" s="46" t="s">
        <v>682</v>
      </c>
      <c r="K1383" s="57"/>
    </row>
    <row r="1384" spans="1:11" x14ac:dyDescent="0.25">
      <c r="A1384" s="154">
        <v>40854</v>
      </c>
      <c r="B1384" s="150" t="s">
        <v>1172</v>
      </c>
      <c r="C1384" s="57" t="s">
        <v>1173</v>
      </c>
      <c r="D1384" s="57" t="s">
        <v>748</v>
      </c>
      <c r="E1384" s="153">
        <v>15</v>
      </c>
      <c r="F1384" s="153">
        <v>320</v>
      </c>
      <c r="G1384" s="164"/>
      <c r="H1384" s="164">
        <v>4800</v>
      </c>
      <c r="I1384" s="58" t="s">
        <v>545</v>
      </c>
      <c r="K1384" s="57"/>
    </row>
    <row r="1385" spans="1:11" x14ac:dyDescent="0.25">
      <c r="A1385" s="154">
        <v>40854</v>
      </c>
      <c r="B1385" s="150" t="s">
        <v>1172</v>
      </c>
      <c r="C1385" s="57" t="s">
        <v>1174</v>
      </c>
      <c r="D1385" s="57" t="s">
        <v>748</v>
      </c>
      <c r="E1385" s="153">
        <v>34</v>
      </c>
      <c r="F1385" s="153">
        <v>465</v>
      </c>
      <c r="G1385" s="164"/>
      <c r="H1385" s="164">
        <v>15810</v>
      </c>
      <c r="I1385" s="58" t="s">
        <v>545</v>
      </c>
      <c r="K1385" s="57"/>
    </row>
    <row r="1386" spans="1:11" x14ac:dyDescent="0.25">
      <c r="A1386" s="169" t="s">
        <v>682</v>
      </c>
      <c r="B1386" s="170" t="s">
        <v>1175</v>
      </c>
      <c r="C1386" s="171" t="s">
        <v>682</v>
      </c>
      <c r="D1386" s="171" t="s">
        <v>682</v>
      </c>
      <c r="E1386" s="172"/>
      <c r="F1386" s="172"/>
      <c r="G1386" s="173"/>
      <c r="H1386" s="173">
        <v>20610</v>
      </c>
      <c r="I1386" s="174" t="s">
        <v>682</v>
      </c>
      <c r="K1386" s="57"/>
    </row>
    <row r="1387" spans="1:11" x14ac:dyDescent="0.25">
      <c r="A1387" s="154" t="s">
        <v>682</v>
      </c>
      <c r="B1387" s="150" t="s">
        <v>682</v>
      </c>
      <c r="C1387" s="57" t="s">
        <v>682</v>
      </c>
      <c r="D1387" s="57" t="s">
        <v>682</v>
      </c>
      <c r="E1387" s="153"/>
      <c r="F1387" s="153"/>
      <c r="G1387" s="164"/>
      <c r="H1387" s="164"/>
      <c r="I1387" s="58" t="s">
        <v>682</v>
      </c>
      <c r="K1387" s="57"/>
    </row>
    <row r="1388" spans="1:11" x14ac:dyDescent="0.25">
      <c r="A1388" s="166" t="s">
        <v>682</v>
      </c>
      <c r="B1388" s="165" t="s">
        <v>1176</v>
      </c>
      <c r="C1388" s="60" t="s">
        <v>682</v>
      </c>
      <c r="D1388" s="60" t="s">
        <v>682</v>
      </c>
      <c r="E1388" s="167"/>
      <c r="F1388" s="167"/>
      <c r="G1388" s="168"/>
      <c r="H1388" s="168"/>
      <c r="I1388" s="46" t="s">
        <v>682</v>
      </c>
      <c r="K1388" s="57"/>
    </row>
    <row r="1389" spans="1:11" x14ac:dyDescent="0.25">
      <c r="A1389" s="154">
        <v>40831</v>
      </c>
      <c r="B1389" s="150" t="s">
        <v>1177</v>
      </c>
      <c r="C1389" s="57" t="s">
        <v>1178</v>
      </c>
      <c r="D1389" s="57" t="s">
        <v>748</v>
      </c>
      <c r="E1389" s="153">
        <v>1</v>
      </c>
      <c r="F1389" s="153">
        <v>9270.25</v>
      </c>
      <c r="G1389" s="164"/>
      <c r="H1389" s="164">
        <v>9270.25</v>
      </c>
      <c r="I1389" s="58" t="s">
        <v>541</v>
      </c>
      <c r="K1389" s="57"/>
    </row>
    <row r="1390" spans="1:11" x14ac:dyDescent="0.25">
      <c r="A1390" s="154">
        <v>40855</v>
      </c>
      <c r="B1390" s="150" t="s">
        <v>1179</v>
      </c>
      <c r="C1390" s="57" t="s">
        <v>1180</v>
      </c>
      <c r="D1390" s="57" t="s">
        <v>748</v>
      </c>
      <c r="E1390" s="153">
        <v>1</v>
      </c>
      <c r="F1390" s="153">
        <v>417</v>
      </c>
      <c r="G1390" s="164"/>
      <c r="H1390" s="164">
        <v>417</v>
      </c>
      <c r="I1390" s="58" t="s">
        <v>541</v>
      </c>
      <c r="K1390" s="57"/>
    </row>
    <row r="1391" spans="1:11" ht="30" x14ac:dyDescent="0.25">
      <c r="A1391" s="154">
        <v>40856</v>
      </c>
      <c r="B1391" s="150" t="s">
        <v>1181</v>
      </c>
      <c r="C1391" s="57" t="s">
        <v>1182</v>
      </c>
      <c r="D1391" s="57" t="s">
        <v>748</v>
      </c>
      <c r="E1391" s="153">
        <v>1</v>
      </c>
      <c r="F1391" s="153">
        <v>175</v>
      </c>
      <c r="G1391" s="164"/>
      <c r="H1391" s="164">
        <v>175</v>
      </c>
      <c r="I1391" s="58" t="s">
        <v>541</v>
      </c>
      <c r="K1391" s="57"/>
    </row>
    <row r="1392" spans="1:11" ht="30" x14ac:dyDescent="0.25">
      <c r="A1392" s="154">
        <v>40873</v>
      </c>
      <c r="B1392" s="150" t="s">
        <v>1183</v>
      </c>
      <c r="C1392" s="57" t="s">
        <v>918</v>
      </c>
      <c r="D1392" s="57" t="s">
        <v>748</v>
      </c>
      <c r="E1392" s="153">
        <v>1</v>
      </c>
      <c r="F1392" s="153">
        <v>198</v>
      </c>
      <c r="G1392" s="164"/>
      <c r="H1392" s="164">
        <v>198</v>
      </c>
      <c r="I1392" s="58" t="s">
        <v>541</v>
      </c>
      <c r="K1392" s="57"/>
    </row>
    <row r="1393" spans="1:11" x14ac:dyDescent="0.25">
      <c r="A1393" s="154">
        <v>40877</v>
      </c>
      <c r="B1393" s="150" t="s">
        <v>1184</v>
      </c>
      <c r="C1393" s="57" t="s">
        <v>1185</v>
      </c>
      <c r="D1393" s="57" t="s">
        <v>748</v>
      </c>
      <c r="E1393" s="153">
        <v>1</v>
      </c>
      <c r="F1393" s="153">
        <v>440</v>
      </c>
      <c r="G1393" s="164"/>
      <c r="H1393" s="164">
        <v>440</v>
      </c>
      <c r="I1393" s="58" t="s">
        <v>541</v>
      </c>
      <c r="K1393" s="57"/>
    </row>
    <row r="1394" spans="1:11" x14ac:dyDescent="0.25">
      <c r="A1394" s="169" t="s">
        <v>682</v>
      </c>
      <c r="B1394" s="170" t="s">
        <v>1186</v>
      </c>
      <c r="C1394" s="171" t="s">
        <v>682</v>
      </c>
      <c r="D1394" s="171" t="s">
        <v>682</v>
      </c>
      <c r="E1394" s="172"/>
      <c r="F1394" s="172"/>
      <c r="G1394" s="173"/>
      <c r="H1394" s="173">
        <v>10500.25</v>
      </c>
      <c r="I1394" s="174" t="s">
        <v>682</v>
      </c>
      <c r="K1394" s="57"/>
    </row>
    <row r="1395" spans="1:11" x14ac:dyDescent="0.25">
      <c r="A1395" s="154" t="s">
        <v>682</v>
      </c>
      <c r="B1395" s="150" t="s">
        <v>682</v>
      </c>
      <c r="C1395" s="57" t="s">
        <v>682</v>
      </c>
      <c r="D1395" s="57" t="s">
        <v>682</v>
      </c>
      <c r="E1395" s="153"/>
      <c r="F1395" s="153"/>
      <c r="G1395" s="164"/>
      <c r="H1395" s="164"/>
      <c r="I1395" s="58" t="s">
        <v>682</v>
      </c>
      <c r="K1395" s="57"/>
    </row>
    <row r="1396" spans="1:11" x14ac:dyDescent="0.25">
      <c r="A1396" s="175" t="s">
        <v>682</v>
      </c>
      <c r="B1396" s="176" t="s">
        <v>1187</v>
      </c>
      <c r="C1396" s="177" t="s">
        <v>682</v>
      </c>
      <c r="D1396" s="177" t="s">
        <v>682</v>
      </c>
      <c r="E1396" s="178"/>
      <c r="F1396" s="178"/>
      <c r="G1396" s="179"/>
      <c r="H1396" s="179">
        <v>1429262.6044999999</v>
      </c>
      <c r="I1396" s="180" t="s">
        <v>682</v>
      </c>
      <c r="K1396" s="57"/>
    </row>
    <row r="1397" spans="1:11" x14ac:dyDescent="0.25">
      <c r="K1397" s="57"/>
    </row>
    <row r="1398" spans="1:11" x14ac:dyDescent="0.25">
      <c r="K1398" s="5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Estimate</vt:lpstr>
      <vt:lpstr>Resources</vt:lpstr>
      <vt:lpstr>Model Inputs</vt:lpstr>
      <vt:lpstr>Non-Work Days</vt:lpstr>
      <vt:lpstr>Program Links</vt:lpstr>
      <vt:lpstr>Budget &amp; Revenue</vt:lpstr>
      <vt:lpstr>Portfolio WBS</vt:lpstr>
      <vt:lpstr>Actual Costs</vt:lpstr>
      <vt:lpstr>Workhrs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Thiele</dc:creator>
  <cp:lastModifiedBy>Brett Thiele</cp:lastModifiedBy>
  <dcterms:created xsi:type="dcterms:W3CDTF">2019-09-28T23:06:21Z</dcterms:created>
  <dcterms:modified xsi:type="dcterms:W3CDTF">2020-09-25T06:03:22Z</dcterms:modified>
</cp:coreProperties>
</file>