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5554629_ad_unsw_edu_au/Documents/UNSW (ADFA)/Project Data/AAA - Linked Estimates Completed Projects/Finalised/"/>
    </mc:Choice>
  </mc:AlternateContent>
  <xr:revisionPtr revIDLastSave="133" documentId="8_{165E775E-347D-49DD-9939-A13894BA1C05}" xr6:coauthVersionLast="45" xr6:coauthVersionMax="45" xr10:uidLastSave="{C47FFCB2-E987-4121-84C9-5BA3EAB3346B}"/>
  <bookViews>
    <workbookView xWindow="-120" yWindow="-120" windowWidth="29040" windowHeight="17640" activeTab="6" xr2:uid="{00000000-000D-0000-FFFF-FFFF00000000}"/>
  </bookViews>
  <sheets>
    <sheet name="Estimate" sheetId="1" r:id="rId1"/>
    <sheet name="Resources" sheetId="2" r:id="rId2"/>
    <sheet name="Model Inputs" sheetId="4" r:id="rId3"/>
    <sheet name="Non-Work Days" sheetId="9" r:id="rId4"/>
    <sheet name="Program Links" sheetId="5" r:id="rId5"/>
    <sheet name="Budget &amp; Revenue" sheetId="6" r:id="rId6"/>
    <sheet name="Portfolio WBS" sheetId="7" r:id="rId7"/>
    <sheet name="Actual Costs" sheetId="8" r:id="rId8"/>
  </sheets>
  <definedNames>
    <definedName name="GCF">Resources!$D$306</definedName>
    <definedName name="Workhrs">'Non-Work Days'!$C$71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5" l="1"/>
  <c r="H6" i="5"/>
  <c r="I6" i="5"/>
  <c r="J6" i="5"/>
  <c r="K6" i="5"/>
  <c r="L6" i="5"/>
  <c r="M6" i="5"/>
  <c r="N6" i="5"/>
  <c r="O6" i="5"/>
  <c r="P6" i="5"/>
  <c r="G7" i="5"/>
  <c r="H7" i="5"/>
  <c r="I7" i="5"/>
  <c r="J7" i="5"/>
  <c r="K7" i="5"/>
  <c r="L7" i="5"/>
  <c r="M7" i="5"/>
  <c r="N7" i="5"/>
  <c r="O7" i="5"/>
  <c r="P7" i="5"/>
  <c r="G8" i="5"/>
  <c r="H8" i="5"/>
  <c r="I8" i="5"/>
  <c r="J8" i="5"/>
  <c r="K8" i="5"/>
  <c r="L8" i="5"/>
  <c r="M8" i="5"/>
  <c r="N8" i="5"/>
  <c r="O8" i="5"/>
  <c r="P8" i="5"/>
  <c r="G9" i="5"/>
  <c r="H9" i="5"/>
  <c r="I9" i="5"/>
  <c r="J9" i="5"/>
  <c r="K9" i="5"/>
  <c r="L9" i="5"/>
  <c r="M9" i="5"/>
  <c r="N9" i="5"/>
  <c r="O9" i="5"/>
  <c r="P9" i="5"/>
  <c r="G10" i="5"/>
  <c r="H10" i="5"/>
  <c r="I10" i="5"/>
  <c r="J10" i="5"/>
  <c r="K10" i="5"/>
  <c r="L10" i="5"/>
  <c r="M10" i="5"/>
  <c r="N10" i="5"/>
  <c r="O10" i="5"/>
  <c r="P10" i="5"/>
  <c r="G11" i="5"/>
  <c r="H11" i="5"/>
  <c r="I11" i="5"/>
  <c r="J11" i="5"/>
  <c r="K11" i="5"/>
  <c r="L11" i="5"/>
  <c r="M11" i="5"/>
  <c r="N11" i="5"/>
  <c r="O11" i="5"/>
  <c r="P11" i="5"/>
  <c r="G12" i="5"/>
  <c r="H12" i="5"/>
  <c r="I12" i="5"/>
  <c r="J12" i="5"/>
  <c r="K12" i="5"/>
  <c r="L12" i="5"/>
  <c r="M12" i="5"/>
  <c r="N12" i="5"/>
  <c r="O12" i="5"/>
  <c r="P12" i="5"/>
  <c r="G13" i="5"/>
  <c r="H13" i="5"/>
  <c r="I13" i="5"/>
  <c r="J13" i="5"/>
  <c r="K13" i="5"/>
  <c r="L13" i="5"/>
  <c r="M13" i="5"/>
  <c r="N13" i="5"/>
  <c r="O13" i="5"/>
  <c r="P13" i="5"/>
  <c r="G14" i="5"/>
  <c r="H14" i="5"/>
  <c r="I14" i="5"/>
  <c r="J14" i="5"/>
  <c r="K14" i="5"/>
  <c r="L14" i="5"/>
  <c r="M14" i="5"/>
  <c r="N14" i="5"/>
  <c r="O14" i="5"/>
  <c r="P14" i="5"/>
  <c r="G15" i="5"/>
  <c r="H15" i="5"/>
  <c r="I15" i="5"/>
  <c r="J15" i="5"/>
  <c r="K15" i="5"/>
  <c r="L15" i="5"/>
  <c r="M15" i="5"/>
  <c r="N15" i="5"/>
  <c r="O15" i="5"/>
  <c r="P15" i="5"/>
  <c r="G16" i="5"/>
  <c r="H16" i="5"/>
  <c r="I16" i="5"/>
  <c r="J16" i="5"/>
  <c r="K16" i="5"/>
  <c r="L16" i="5"/>
  <c r="M16" i="5"/>
  <c r="N16" i="5"/>
  <c r="O16" i="5"/>
  <c r="P16" i="5"/>
  <c r="G17" i="5"/>
  <c r="H17" i="5"/>
  <c r="I17" i="5"/>
  <c r="J17" i="5"/>
  <c r="K17" i="5"/>
  <c r="L17" i="5"/>
  <c r="M17" i="5"/>
  <c r="N17" i="5"/>
  <c r="O17" i="5"/>
  <c r="P17" i="5"/>
  <c r="G18" i="5"/>
  <c r="H18" i="5"/>
  <c r="I18" i="5"/>
  <c r="J18" i="5"/>
  <c r="K18" i="5"/>
  <c r="L18" i="5"/>
  <c r="M18" i="5"/>
  <c r="N18" i="5"/>
  <c r="O18" i="5"/>
  <c r="P18" i="5"/>
  <c r="G19" i="5"/>
  <c r="H19" i="5"/>
  <c r="I19" i="5"/>
  <c r="J19" i="5"/>
  <c r="K19" i="5"/>
  <c r="L19" i="5"/>
  <c r="M19" i="5"/>
  <c r="N19" i="5"/>
  <c r="O19" i="5"/>
  <c r="P19" i="5"/>
  <c r="G20" i="5"/>
  <c r="H20" i="5"/>
  <c r="I20" i="5"/>
  <c r="J20" i="5"/>
  <c r="K20" i="5"/>
  <c r="L20" i="5"/>
  <c r="M20" i="5"/>
  <c r="N20" i="5"/>
  <c r="O20" i="5"/>
  <c r="P20" i="5"/>
  <c r="G21" i="5"/>
  <c r="H21" i="5"/>
  <c r="I21" i="5"/>
  <c r="J21" i="5"/>
  <c r="K21" i="5"/>
  <c r="L21" i="5"/>
  <c r="M21" i="5"/>
  <c r="N21" i="5"/>
  <c r="O21" i="5"/>
  <c r="P21" i="5"/>
  <c r="G22" i="5"/>
  <c r="H22" i="5"/>
  <c r="I22" i="5"/>
  <c r="J22" i="5"/>
  <c r="K22" i="5"/>
  <c r="L22" i="5"/>
  <c r="M22" i="5"/>
  <c r="N22" i="5"/>
  <c r="O22" i="5"/>
  <c r="P22" i="5"/>
  <c r="G23" i="5"/>
  <c r="H23" i="5"/>
  <c r="I23" i="5"/>
  <c r="J23" i="5"/>
  <c r="K23" i="5"/>
  <c r="L23" i="5"/>
  <c r="M23" i="5"/>
  <c r="N23" i="5"/>
  <c r="O23" i="5"/>
  <c r="P23" i="5"/>
  <c r="G24" i="5"/>
  <c r="H24" i="5"/>
  <c r="I24" i="5"/>
  <c r="J24" i="5"/>
  <c r="K24" i="5"/>
  <c r="L24" i="5"/>
  <c r="M24" i="5"/>
  <c r="N24" i="5"/>
  <c r="O24" i="5"/>
  <c r="P24" i="5"/>
  <c r="G25" i="5"/>
  <c r="H25" i="5"/>
  <c r="I25" i="5"/>
  <c r="J25" i="5"/>
  <c r="K25" i="5"/>
  <c r="L25" i="5"/>
  <c r="M25" i="5"/>
  <c r="N25" i="5"/>
  <c r="O25" i="5"/>
  <c r="P25" i="5"/>
  <c r="G26" i="5"/>
  <c r="H26" i="5"/>
  <c r="I26" i="5"/>
  <c r="J26" i="5"/>
  <c r="K26" i="5"/>
  <c r="L26" i="5"/>
  <c r="M26" i="5"/>
  <c r="N26" i="5"/>
  <c r="O26" i="5"/>
  <c r="P26" i="5"/>
  <c r="G27" i="5"/>
  <c r="H27" i="5"/>
  <c r="I27" i="5"/>
  <c r="J27" i="5"/>
  <c r="K27" i="5"/>
  <c r="L27" i="5"/>
  <c r="M27" i="5"/>
  <c r="N27" i="5"/>
  <c r="O27" i="5"/>
  <c r="P27" i="5"/>
  <c r="G28" i="5"/>
  <c r="H28" i="5"/>
  <c r="I28" i="5"/>
  <c r="J28" i="5"/>
  <c r="K28" i="5"/>
  <c r="L28" i="5"/>
  <c r="M28" i="5"/>
  <c r="N28" i="5"/>
  <c r="O28" i="5"/>
  <c r="P28" i="5"/>
  <c r="G29" i="5"/>
  <c r="H29" i="5"/>
  <c r="I29" i="5"/>
  <c r="J29" i="5"/>
  <c r="K29" i="5"/>
  <c r="L29" i="5"/>
  <c r="M29" i="5"/>
  <c r="N29" i="5"/>
  <c r="O29" i="5"/>
  <c r="P29" i="5"/>
  <c r="G30" i="5"/>
  <c r="H30" i="5"/>
  <c r="I30" i="5"/>
  <c r="J30" i="5"/>
  <c r="K30" i="5"/>
  <c r="L30" i="5"/>
  <c r="M30" i="5"/>
  <c r="N30" i="5"/>
  <c r="O30" i="5"/>
  <c r="P30" i="5"/>
  <c r="G31" i="5"/>
  <c r="H31" i="5"/>
  <c r="I31" i="5"/>
  <c r="J31" i="5"/>
  <c r="K31" i="5"/>
  <c r="L31" i="5"/>
  <c r="M31" i="5"/>
  <c r="N31" i="5"/>
  <c r="O31" i="5"/>
  <c r="P31" i="5"/>
  <c r="G32" i="5"/>
  <c r="H32" i="5"/>
  <c r="I32" i="5"/>
  <c r="J32" i="5"/>
  <c r="K32" i="5"/>
  <c r="L32" i="5"/>
  <c r="M32" i="5"/>
  <c r="N32" i="5"/>
  <c r="O32" i="5"/>
  <c r="P32" i="5"/>
  <c r="G33" i="5"/>
  <c r="H33" i="5"/>
  <c r="I33" i="5"/>
  <c r="J33" i="5"/>
  <c r="K33" i="5"/>
  <c r="L33" i="5"/>
  <c r="M33" i="5"/>
  <c r="N33" i="5"/>
  <c r="O33" i="5"/>
  <c r="P33" i="5"/>
  <c r="G34" i="5"/>
  <c r="H34" i="5"/>
  <c r="I34" i="5"/>
  <c r="J34" i="5"/>
  <c r="K34" i="5"/>
  <c r="L34" i="5"/>
  <c r="M34" i="5"/>
  <c r="N34" i="5"/>
  <c r="O34" i="5"/>
  <c r="P34" i="5"/>
  <c r="G35" i="5"/>
  <c r="H35" i="5"/>
  <c r="I35" i="5"/>
  <c r="J35" i="5"/>
  <c r="K35" i="5"/>
  <c r="L35" i="5"/>
  <c r="M35" i="5"/>
  <c r="N35" i="5"/>
  <c r="O35" i="5"/>
  <c r="P35" i="5"/>
  <c r="G36" i="5"/>
  <c r="H36" i="5"/>
  <c r="I36" i="5"/>
  <c r="J36" i="5"/>
  <c r="K36" i="5"/>
  <c r="L36" i="5"/>
  <c r="M36" i="5"/>
  <c r="N36" i="5"/>
  <c r="O36" i="5"/>
  <c r="P36" i="5"/>
  <c r="G37" i="5"/>
  <c r="H37" i="5"/>
  <c r="I37" i="5"/>
  <c r="J37" i="5"/>
  <c r="K37" i="5"/>
  <c r="L37" i="5"/>
  <c r="M37" i="5"/>
  <c r="N37" i="5"/>
  <c r="O37" i="5"/>
  <c r="P37" i="5"/>
  <c r="G38" i="5"/>
  <c r="H38" i="5"/>
  <c r="I38" i="5"/>
  <c r="J38" i="5"/>
  <c r="K38" i="5"/>
  <c r="L38" i="5"/>
  <c r="M38" i="5"/>
  <c r="N38" i="5"/>
  <c r="O38" i="5"/>
  <c r="P38" i="5"/>
  <c r="G39" i="5"/>
  <c r="H39" i="5"/>
  <c r="I39" i="5"/>
  <c r="J39" i="5"/>
  <c r="K39" i="5"/>
  <c r="L39" i="5"/>
  <c r="M39" i="5"/>
  <c r="N39" i="5"/>
  <c r="O39" i="5"/>
  <c r="P39" i="5"/>
  <c r="G40" i="5"/>
  <c r="H40" i="5"/>
  <c r="I40" i="5"/>
  <c r="J40" i="5"/>
  <c r="K40" i="5"/>
  <c r="L40" i="5"/>
  <c r="M40" i="5"/>
  <c r="N40" i="5"/>
  <c r="O40" i="5"/>
  <c r="P40" i="5"/>
  <c r="G41" i="5"/>
  <c r="H41" i="5"/>
  <c r="I41" i="5"/>
  <c r="J41" i="5"/>
  <c r="K41" i="5"/>
  <c r="L41" i="5"/>
  <c r="M41" i="5"/>
  <c r="N41" i="5"/>
  <c r="O41" i="5"/>
  <c r="P41" i="5"/>
  <c r="G42" i="5"/>
  <c r="H42" i="5"/>
  <c r="I42" i="5"/>
  <c r="J42" i="5"/>
  <c r="K42" i="5"/>
  <c r="L42" i="5"/>
  <c r="M42" i="5"/>
  <c r="N42" i="5"/>
  <c r="O42" i="5"/>
  <c r="P42" i="5"/>
  <c r="G43" i="5"/>
  <c r="H43" i="5"/>
  <c r="I43" i="5"/>
  <c r="J43" i="5"/>
  <c r="K43" i="5"/>
  <c r="L43" i="5"/>
  <c r="M43" i="5"/>
  <c r="N43" i="5"/>
  <c r="O43" i="5"/>
  <c r="P43" i="5"/>
  <c r="G44" i="5"/>
  <c r="H44" i="5"/>
  <c r="I44" i="5"/>
  <c r="J44" i="5"/>
  <c r="K44" i="5"/>
  <c r="L44" i="5"/>
  <c r="M44" i="5"/>
  <c r="N44" i="5"/>
  <c r="O44" i="5"/>
  <c r="P44" i="5"/>
  <c r="G45" i="5"/>
  <c r="H45" i="5"/>
  <c r="I45" i="5"/>
  <c r="J45" i="5"/>
  <c r="K45" i="5"/>
  <c r="L45" i="5"/>
  <c r="M45" i="5"/>
  <c r="N45" i="5"/>
  <c r="O45" i="5"/>
  <c r="P45" i="5"/>
  <c r="G46" i="5"/>
  <c r="H46" i="5"/>
  <c r="I46" i="5"/>
  <c r="J46" i="5"/>
  <c r="K46" i="5"/>
  <c r="L46" i="5"/>
  <c r="M46" i="5"/>
  <c r="N46" i="5"/>
  <c r="O46" i="5"/>
  <c r="P46" i="5"/>
  <c r="G47" i="5"/>
  <c r="H47" i="5"/>
  <c r="I47" i="5"/>
  <c r="J47" i="5"/>
  <c r="K47" i="5"/>
  <c r="L47" i="5"/>
  <c r="M47" i="5"/>
  <c r="N47" i="5"/>
  <c r="O47" i="5"/>
  <c r="P47" i="5"/>
  <c r="G48" i="5"/>
  <c r="H48" i="5"/>
  <c r="I48" i="5"/>
  <c r="J48" i="5"/>
  <c r="K48" i="5"/>
  <c r="L48" i="5"/>
  <c r="M48" i="5"/>
  <c r="N48" i="5"/>
  <c r="O48" i="5"/>
  <c r="P48" i="5"/>
  <c r="G49" i="5"/>
  <c r="H49" i="5"/>
  <c r="I49" i="5"/>
  <c r="J49" i="5"/>
  <c r="K49" i="5"/>
  <c r="L49" i="5"/>
  <c r="M49" i="5"/>
  <c r="N49" i="5"/>
  <c r="O49" i="5"/>
  <c r="P49" i="5"/>
  <c r="G50" i="5"/>
  <c r="H50" i="5"/>
  <c r="I50" i="5"/>
  <c r="J50" i="5"/>
  <c r="K50" i="5"/>
  <c r="L50" i="5"/>
  <c r="M50" i="5"/>
  <c r="N50" i="5"/>
  <c r="O50" i="5"/>
  <c r="P50" i="5"/>
  <c r="G51" i="5"/>
  <c r="H51" i="5"/>
  <c r="I51" i="5"/>
  <c r="J51" i="5"/>
  <c r="K51" i="5"/>
  <c r="L51" i="5"/>
  <c r="M51" i="5"/>
  <c r="N51" i="5"/>
  <c r="O51" i="5"/>
  <c r="P51" i="5"/>
  <c r="G52" i="5"/>
  <c r="H52" i="5"/>
  <c r="I52" i="5"/>
  <c r="J52" i="5"/>
  <c r="K52" i="5"/>
  <c r="L52" i="5"/>
  <c r="M52" i="5"/>
  <c r="N52" i="5"/>
  <c r="O52" i="5"/>
  <c r="P52" i="5"/>
  <c r="G68" i="5"/>
  <c r="H68" i="5"/>
  <c r="I68" i="5"/>
  <c r="J68" i="5"/>
  <c r="K68" i="5"/>
  <c r="L68" i="5"/>
  <c r="M68" i="5"/>
  <c r="N68" i="5"/>
  <c r="O68" i="5"/>
  <c r="P68" i="5"/>
  <c r="G79" i="5"/>
  <c r="H79" i="5"/>
  <c r="I79" i="5"/>
  <c r="J79" i="5"/>
  <c r="K79" i="5"/>
  <c r="L79" i="5"/>
  <c r="M79" i="5"/>
  <c r="N79" i="5"/>
  <c r="O79" i="5"/>
  <c r="P79" i="5"/>
  <c r="G85" i="5"/>
  <c r="H85" i="5"/>
  <c r="I85" i="5"/>
  <c r="J85" i="5"/>
  <c r="K85" i="5"/>
  <c r="L85" i="5"/>
  <c r="M85" i="5"/>
  <c r="N85" i="5"/>
  <c r="O85" i="5"/>
  <c r="P85" i="5"/>
  <c r="G86" i="5"/>
  <c r="H86" i="5"/>
  <c r="I86" i="5"/>
  <c r="J86" i="5"/>
  <c r="K86" i="5"/>
  <c r="L86" i="5"/>
  <c r="M86" i="5"/>
  <c r="N86" i="5"/>
  <c r="O86" i="5"/>
  <c r="P86" i="5"/>
  <c r="G87" i="5"/>
  <c r="H87" i="5"/>
  <c r="I87" i="5"/>
  <c r="J87" i="5"/>
  <c r="K87" i="5"/>
  <c r="L87" i="5"/>
  <c r="M87" i="5"/>
  <c r="N87" i="5"/>
  <c r="O87" i="5"/>
  <c r="P87" i="5"/>
  <c r="G88" i="5"/>
  <c r="H88" i="5"/>
  <c r="I88" i="5"/>
  <c r="J88" i="5"/>
  <c r="K88" i="5"/>
  <c r="L88" i="5"/>
  <c r="M88" i="5"/>
  <c r="N88" i="5"/>
  <c r="O88" i="5"/>
  <c r="P88" i="5"/>
  <c r="G89" i="5"/>
  <c r="H89" i="5"/>
  <c r="I89" i="5"/>
  <c r="J89" i="5"/>
  <c r="K89" i="5"/>
  <c r="L89" i="5"/>
  <c r="M89" i="5"/>
  <c r="N89" i="5"/>
  <c r="O89" i="5"/>
  <c r="P89" i="5"/>
  <c r="G90" i="5"/>
  <c r="H90" i="5"/>
  <c r="I90" i="5"/>
  <c r="J90" i="5"/>
  <c r="K90" i="5"/>
  <c r="L90" i="5"/>
  <c r="M90" i="5"/>
  <c r="N90" i="5"/>
  <c r="O90" i="5"/>
  <c r="P90" i="5"/>
  <c r="G91" i="5"/>
  <c r="H91" i="5"/>
  <c r="I91" i="5"/>
  <c r="J91" i="5"/>
  <c r="K91" i="5"/>
  <c r="L91" i="5"/>
  <c r="M91" i="5"/>
  <c r="N91" i="5"/>
  <c r="O91" i="5"/>
  <c r="P91" i="5"/>
  <c r="G92" i="5"/>
  <c r="H92" i="5"/>
  <c r="I92" i="5"/>
  <c r="J92" i="5"/>
  <c r="K92" i="5"/>
  <c r="L92" i="5"/>
  <c r="M92" i="5"/>
  <c r="N92" i="5"/>
  <c r="O92" i="5"/>
  <c r="P92" i="5"/>
  <c r="G93" i="5"/>
  <c r="H93" i="5"/>
  <c r="I93" i="5"/>
  <c r="J93" i="5"/>
  <c r="K93" i="5"/>
  <c r="L93" i="5"/>
  <c r="M93" i="5"/>
  <c r="N93" i="5"/>
  <c r="O93" i="5"/>
  <c r="P93" i="5"/>
  <c r="G94" i="5"/>
  <c r="H94" i="5"/>
  <c r="I94" i="5"/>
  <c r="J94" i="5"/>
  <c r="K94" i="5"/>
  <c r="L94" i="5"/>
  <c r="M94" i="5"/>
  <c r="N94" i="5"/>
  <c r="O94" i="5"/>
  <c r="P94" i="5"/>
  <c r="G95" i="5"/>
  <c r="H95" i="5"/>
  <c r="I95" i="5"/>
  <c r="J95" i="5"/>
  <c r="K95" i="5"/>
  <c r="L95" i="5"/>
  <c r="M95" i="5"/>
  <c r="N95" i="5"/>
  <c r="O95" i="5"/>
  <c r="P95" i="5"/>
  <c r="G96" i="5"/>
  <c r="H96" i="5"/>
  <c r="I96" i="5"/>
  <c r="J96" i="5"/>
  <c r="K96" i="5"/>
  <c r="L96" i="5"/>
  <c r="M96" i="5"/>
  <c r="N96" i="5"/>
  <c r="O96" i="5"/>
  <c r="P96" i="5"/>
  <c r="G97" i="5"/>
  <c r="H97" i="5"/>
  <c r="I97" i="5"/>
  <c r="J97" i="5"/>
  <c r="K97" i="5"/>
  <c r="L97" i="5"/>
  <c r="M97" i="5"/>
  <c r="N97" i="5"/>
  <c r="O97" i="5"/>
  <c r="P97" i="5"/>
  <c r="G98" i="5"/>
  <c r="H98" i="5"/>
  <c r="I98" i="5"/>
  <c r="J98" i="5"/>
  <c r="K98" i="5"/>
  <c r="L98" i="5"/>
  <c r="M98" i="5"/>
  <c r="N98" i="5"/>
  <c r="O98" i="5"/>
  <c r="P98" i="5"/>
  <c r="G99" i="5"/>
  <c r="H99" i="5"/>
  <c r="I99" i="5"/>
  <c r="J99" i="5"/>
  <c r="K99" i="5"/>
  <c r="L99" i="5"/>
  <c r="M99" i="5"/>
  <c r="N99" i="5"/>
  <c r="O99" i="5"/>
  <c r="P99" i="5"/>
  <c r="G100" i="5"/>
  <c r="H100" i="5"/>
  <c r="I100" i="5"/>
  <c r="J100" i="5"/>
  <c r="K100" i="5"/>
  <c r="L100" i="5"/>
  <c r="M100" i="5"/>
  <c r="N100" i="5"/>
  <c r="O100" i="5"/>
  <c r="P100" i="5"/>
  <c r="G101" i="5"/>
  <c r="H101" i="5"/>
  <c r="I101" i="5"/>
  <c r="J101" i="5"/>
  <c r="K101" i="5"/>
  <c r="L101" i="5"/>
  <c r="M101" i="5"/>
  <c r="N101" i="5"/>
  <c r="O101" i="5"/>
  <c r="P101" i="5"/>
  <c r="G102" i="5"/>
  <c r="H102" i="5"/>
  <c r="I102" i="5"/>
  <c r="J102" i="5"/>
  <c r="K102" i="5"/>
  <c r="L102" i="5"/>
  <c r="M102" i="5"/>
  <c r="N102" i="5"/>
  <c r="O102" i="5"/>
  <c r="P102" i="5"/>
  <c r="G103" i="5"/>
  <c r="H103" i="5"/>
  <c r="I103" i="5"/>
  <c r="J103" i="5"/>
  <c r="K103" i="5"/>
  <c r="L103" i="5"/>
  <c r="M103" i="5"/>
  <c r="N103" i="5"/>
  <c r="O103" i="5"/>
  <c r="P103" i="5"/>
  <c r="G104" i="5"/>
  <c r="H104" i="5"/>
  <c r="I104" i="5"/>
  <c r="J104" i="5"/>
  <c r="K104" i="5"/>
  <c r="L104" i="5"/>
  <c r="M104" i="5"/>
  <c r="N104" i="5"/>
  <c r="O104" i="5"/>
  <c r="P104" i="5"/>
  <c r="G105" i="5"/>
  <c r="H105" i="5"/>
  <c r="I105" i="5"/>
  <c r="J105" i="5"/>
  <c r="K105" i="5"/>
  <c r="L105" i="5"/>
  <c r="M105" i="5"/>
  <c r="N105" i="5"/>
  <c r="O105" i="5"/>
  <c r="P105" i="5"/>
  <c r="G106" i="5"/>
  <c r="H106" i="5"/>
  <c r="I106" i="5"/>
  <c r="J106" i="5"/>
  <c r="K106" i="5"/>
  <c r="L106" i="5"/>
  <c r="M106" i="5"/>
  <c r="N106" i="5"/>
  <c r="O106" i="5"/>
  <c r="P106" i="5"/>
  <c r="G107" i="5"/>
  <c r="H107" i="5"/>
  <c r="I107" i="5"/>
  <c r="J107" i="5"/>
  <c r="K107" i="5"/>
  <c r="L107" i="5"/>
  <c r="M107" i="5"/>
  <c r="N107" i="5"/>
  <c r="O107" i="5"/>
  <c r="P107" i="5"/>
  <c r="G108" i="5"/>
  <c r="H108" i="5"/>
  <c r="I108" i="5"/>
  <c r="J108" i="5"/>
  <c r="K108" i="5"/>
  <c r="L108" i="5"/>
  <c r="M108" i="5"/>
  <c r="N108" i="5"/>
  <c r="O108" i="5"/>
  <c r="P108" i="5"/>
  <c r="G109" i="5"/>
  <c r="H109" i="5"/>
  <c r="I109" i="5"/>
  <c r="J109" i="5"/>
  <c r="K109" i="5"/>
  <c r="L109" i="5"/>
  <c r="M109" i="5"/>
  <c r="N109" i="5"/>
  <c r="O109" i="5"/>
  <c r="P109" i="5"/>
  <c r="G110" i="5"/>
  <c r="H110" i="5"/>
  <c r="I110" i="5"/>
  <c r="J110" i="5"/>
  <c r="K110" i="5"/>
  <c r="L110" i="5"/>
  <c r="M110" i="5"/>
  <c r="N110" i="5"/>
  <c r="O110" i="5"/>
  <c r="P110" i="5"/>
  <c r="G111" i="5"/>
  <c r="H111" i="5"/>
  <c r="I111" i="5"/>
  <c r="J111" i="5"/>
  <c r="K111" i="5"/>
  <c r="L111" i="5"/>
  <c r="M111" i="5"/>
  <c r="N111" i="5"/>
  <c r="O111" i="5"/>
  <c r="P111" i="5"/>
  <c r="G112" i="5"/>
  <c r="H112" i="5"/>
  <c r="I112" i="5"/>
  <c r="J112" i="5"/>
  <c r="K112" i="5"/>
  <c r="L112" i="5"/>
  <c r="M112" i="5"/>
  <c r="N112" i="5"/>
  <c r="O112" i="5"/>
  <c r="P112" i="5"/>
  <c r="G113" i="5"/>
  <c r="H113" i="5"/>
  <c r="I113" i="5"/>
  <c r="J113" i="5"/>
  <c r="K113" i="5"/>
  <c r="L113" i="5"/>
  <c r="M113" i="5"/>
  <c r="N113" i="5"/>
  <c r="O113" i="5"/>
  <c r="P113" i="5"/>
  <c r="G114" i="5"/>
  <c r="H114" i="5"/>
  <c r="I114" i="5"/>
  <c r="J114" i="5"/>
  <c r="K114" i="5"/>
  <c r="L114" i="5"/>
  <c r="M114" i="5"/>
  <c r="N114" i="5"/>
  <c r="O114" i="5"/>
  <c r="P114" i="5"/>
  <c r="G115" i="5"/>
  <c r="H115" i="5"/>
  <c r="I115" i="5"/>
  <c r="J115" i="5"/>
  <c r="K115" i="5"/>
  <c r="L115" i="5"/>
  <c r="M115" i="5"/>
  <c r="N115" i="5"/>
  <c r="O115" i="5"/>
  <c r="P115" i="5"/>
  <c r="G116" i="5"/>
  <c r="H116" i="5"/>
  <c r="I116" i="5"/>
  <c r="J116" i="5"/>
  <c r="K116" i="5"/>
  <c r="L116" i="5"/>
  <c r="M116" i="5"/>
  <c r="N116" i="5"/>
  <c r="O116" i="5"/>
  <c r="P116" i="5"/>
  <c r="G117" i="5"/>
  <c r="H117" i="5"/>
  <c r="I117" i="5"/>
  <c r="J117" i="5"/>
  <c r="K117" i="5"/>
  <c r="L117" i="5"/>
  <c r="M117" i="5"/>
  <c r="N117" i="5"/>
  <c r="O117" i="5"/>
  <c r="P117" i="5"/>
  <c r="G118" i="5"/>
  <c r="H118" i="5"/>
  <c r="I118" i="5"/>
  <c r="J118" i="5"/>
  <c r="K118" i="5"/>
  <c r="L118" i="5"/>
  <c r="M118" i="5"/>
  <c r="N118" i="5"/>
  <c r="O118" i="5"/>
  <c r="P118" i="5"/>
  <c r="G119" i="5"/>
  <c r="H119" i="5"/>
  <c r="I119" i="5"/>
  <c r="J119" i="5"/>
  <c r="K119" i="5"/>
  <c r="L119" i="5"/>
  <c r="M119" i="5"/>
  <c r="N119" i="5"/>
  <c r="O119" i="5"/>
  <c r="P119" i="5"/>
  <c r="G121" i="5"/>
  <c r="H121" i="5"/>
  <c r="I121" i="5"/>
  <c r="J121" i="5"/>
  <c r="K121" i="5"/>
  <c r="L121" i="5"/>
  <c r="M121" i="5"/>
  <c r="N121" i="5"/>
  <c r="O121" i="5"/>
  <c r="P121" i="5"/>
  <c r="G122" i="5"/>
  <c r="H122" i="5"/>
  <c r="I122" i="5"/>
  <c r="J122" i="5"/>
  <c r="K122" i="5"/>
  <c r="L122" i="5"/>
  <c r="M122" i="5"/>
  <c r="N122" i="5"/>
  <c r="O122" i="5"/>
  <c r="P122" i="5"/>
  <c r="G123" i="5"/>
  <c r="H123" i="5"/>
  <c r="I123" i="5"/>
  <c r="J123" i="5"/>
  <c r="K123" i="5"/>
  <c r="L123" i="5"/>
  <c r="M123" i="5"/>
  <c r="N123" i="5"/>
  <c r="O123" i="5"/>
  <c r="P123" i="5"/>
  <c r="G124" i="5"/>
  <c r="H124" i="5"/>
  <c r="I124" i="5"/>
  <c r="J124" i="5"/>
  <c r="K124" i="5"/>
  <c r="L124" i="5"/>
  <c r="M124" i="5"/>
  <c r="N124" i="5"/>
  <c r="O124" i="5"/>
  <c r="P124" i="5"/>
  <c r="G125" i="5"/>
  <c r="H125" i="5"/>
  <c r="I125" i="5"/>
  <c r="J125" i="5"/>
  <c r="K125" i="5"/>
  <c r="L125" i="5"/>
  <c r="M125" i="5"/>
  <c r="N125" i="5"/>
  <c r="O125" i="5"/>
  <c r="P125" i="5"/>
  <c r="P5" i="5"/>
  <c r="O5" i="5"/>
  <c r="N5" i="5"/>
  <c r="M5" i="5"/>
  <c r="L5" i="5"/>
  <c r="K5" i="5"/>
  <c r="J5" i="5"/>
  <c r="I5" i="5"/>
  <c r="H5" i="5"/>
  <c r="G5" i="5"/>
  <c r="B44" i="5"/>
  <c r="C7" i="5"/>
  <c r="C11" i="5"/>
  <c r="C20" i="5"/>
  <c r="C33" i="5"/>
  <c r="C35" i="5"/>
  <c r="C39" i="5"/>
  <c r="C52" i="5"/>
  <c r="C68" i="5"/>
  <c r="C79" i="5"/>
  <c r="C92" i="5"/>
  <c r="C98" i="5"/>
  <c r="C102" i="5"/>
  <c r="C107" i="5"/>
  <c r="C109" i="5"/>
  <c r="C111" i="5"/>
  <c r="C120" i="5"/>
  <c r="C5" i="5"/>
  <c r="B125" i="5" l="1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M4" i="8"/>
  <c r="N4" i="8"/>
  <c r="O4" i="8"/>
  <c r="P4" i="8"/>
  <c r="Q4" i="8"/>
  <c r="R4" i="8"/>
  <c r="S4" i="8"/>
  <c r="T4" i="8"/>
  <c r="U4" i="8"/>
  <c r="V4" i="8"/>
  <c r="W4" i="8"/>
  <c r="X4" i="8"/>
  <c r="M5" i="8"/>
  <c r="N5" i="8"/>
  <c r="O5" i="8"/>
  <c r="P5" i="8"/>
  <c r="Q5" i="8"/>
  <c r="R5" i="8"/>
  <c r="S5" i="8"/>
  <c r="T5" i="8"/>
  <c r="U5" i="8"/>
  <c r="V5" i="8"/>
  <c r="W5" i="8"/>
  <c r="X5" i="8"/>
  <c r="M6" i="8"/>
  <c r="N6" i="8"/>
  <c r="O6" i="8"/>
  <c r="P6" i="8"/>
  <c r="Q6" i="8"/>
  <c r="R6" i="8"/>
  <c r="S6" i="8"/>
  <c r="T6" i="8"/>
  <c r="U6" i="8"/>
  <c r="V6" i="8"/>
  <c r="W6" i="8"/>
  <c r="X6" i="8"/>
  <c r="M7" i="8"/>
  <c r="N7" i="8"/>
  <c r="O7" i="8"/>
  <c r="P7" i="8"/>
  <c r="Q7" i="8"/>
  <c r="R7" i="8"/>
  <c r="S7" i="8"/>
  <c r="T7" i="8"/>
  <c r="U7" i="8"/>
  <c r="V7" i="8"/>
  <c r="W7" i="8"/>
  <c r="X7" i="8"/>
  <c r="M8" i="8"/>
  <c r="N8" i="8"/>
  <c r="O8" i="8"/>
  <c r="P8" i="8"/>
  <c r="Q8" i="8"/>
  <c r="R8" i="8"/>
  <c r="S8" i="8"/>
  <c r="T8" i="8"/>
  <c r="U8" i="8"/>
  <c r="V8" i="8"/>
  <c r="W8" i="8"/>
  <c r="X8" i="8"/>
  <c r="M9" i="8"/>
  <c r="N9" i="8"/>
  <c r="O9" i="8"/>
  <c r="P9" i="8"/>
  <c r="Q9" i="8"/>
  <c r="R9" i="8"/>
  <c r="S9" i="8"/>
  <c r="T9" i="8"/>
  <c r="U9" i="8"/>
  <c r="V9" i="8"/>
  <c r="W9" i="8"/>
  <c r="X9" i="8"/>
  <c r="M10" i="8"/>
  <c r="N10" i="8"/>
  <c r="O10" i="8"/>
  <c r="P10" i="8"/>
  <c r="Q10" i="8"/>
  <c r="R10" i="8"/>
  <c r="S10" i="8"/>
  <c r="T10" i="8"/>
  <c r="U10" i="8"/>
  <c r="V10" i="8"/>
  <c r="W10" i="8"/>
  <c r="X10" i="8"/>
  <c r="M11" i="8"/>
  <c r="N11" i="8"/>
  <c r="O11" i="8"/>
  <c r="P11" i="8"/>
  <c r="Q11" i="8"/>
  <c r="R11" i="8"/>
  <c r="S11" i="8"/>
  <c r="T11" i="8"/>
  <c r="U11" i="8"/>
  <c r="V11" i="8"/>
  <c r="W11" i="8"/>
  <c r="X11" i="8"/>
  <c r="M12" i="8"/>
  <c r="N12" i="8"/>
  <c r="O12" i="8"/>
  <c r="P12" i="8"/>
  <c r="Q12" i="8"/>
  <c r="R12" i="8"/>
  <c r="S12" i="8"/>
  <c r="T12" i="8"/>
  <c r="U12" i="8"/>
  <c r="V12" i="8"/>
  <c r="W12" i="8"/>
  <c r="X12" i="8"/>
  <c r="M13" i="8"/>
  <c r="N13" i="8"/>
  <c r="O13" i="8"/>
  <c r="P13" i="8"/>
  <c r="Q13" i="8"/>
  <c r="R13" i="8"/>
  <c r="S13" i="8"/>
  <c r="T13" i="8"/>
  <c r="U13" i="8"/>
  <c r="V13" i="8"/>
  <c r="W13" i="8"/>
  <c r="X13" i="8"/>
  <c r="M14" i="8"/>
  <c r="N14" i="8"/>
  <c r="O14" i="8"/>
  <c r="P14" i="8"/>
  <c r="Q14" i="8"/>
  <c r="R14" i="8"/>
  <c r="S14" i="8"/>
  <c r="T14" i="8"/>
  <c r="U14" i="8"/>
  <c r="V14" i="8"/>
  <c r="W14" i="8"/>
  <c r="X14" i="8"/>
  <c r="M15" i="8"/>
  <c r="N15" i="8"/>
  <c r="O15" i="8"/>
  <c r="P15" i="8"/>
  <c r="Q15" i="8"/>
  <c r="R15" i="8"/>
  <c r="S15" i="8"/>
  <c r="T15" i="8"/>
  <c r="U15" i="8"/>
  <c r="V15" i="8"/>
  <c r="W15" i="8"/>
  <c r="X15" i="8"/>
  <c r="M16" i="8"/>
  <c r="N16" i="8"/>
  <c r="O16" i="8"/>
  <c r="P16" i="8"/>
  <c r="Q16" i="8"/>
  <c r="R16" i="8"/>
  <c r="S16" i="8"/>
  <c r="T16" i="8"/>
  <c r="U16" i="8"/>
  <c r="V16" i="8"/>
  <c r="W16" i="8"/>
  <c r="X16" i="8"/>
  <c r="M17" i="8"/>
  <c r="N17" i="8"/>
  <c r="O17" i="8"/>
  <c r="P17" i="8"/>
  <c r="Q17" i="8"/>
  <c r="R17" i="8"/>
  <c r="S17" i="8"/>
  <c r="T17" i="8"/>
  <c r="U17" i="8"/>
  <c r="V17" i="8"/>
  <c r="W17" i="8"/>
  <c r="X17" i="8"/>
  <c r="M18" i="8"/>
  <c r="N18" i="8"/>
  <c r="O18" i="8"/>
  <c r="P18" i="8"/>
  <c r="Q18" i="8"/>
  <c r="R18" i="8"/>
  <c r="S18" i="8"/>
  <c r="T18" i="8"/>
  <c r="U18" i="8"/>
  <c r="V18" i="8"/>
  <c r="W18" i="8"/>
  <c r="X18" i="8"/>
  <c r="M19" i="8"/>
  <c r="N19" i="8"/>
  <c r="O19" i="8"/>
  <c r="P19" i="8"/>
  <c r="Q19" i="8"/>
  <c r="R19" i="8"/>
  <c r="S19" i="8"/>
  <c r="T19" i="8"/>
  <c r="U19" i="8"/>
  <c r="V19" i="8"/>
  <c r="W19" i="8"/>
  <c r="X19" i="8"/>
  <c r="M20" i="8"/>
  <c r="N20" i="8"/>
  <c r="O20" i="8"/>
  <c r="P20" i="8"/>
  <c r="Q20" i="8"/>
  <c r="R20" i="8"/>
  <c r="S20" i="8"/>
  <c r="T20" i="8"/>
  <c r="U20" i="8"/>
  <c r="V20" i="8"/>
  <c r="W20" i="8"/>
  <c r="X20" i="8"/>
  <c r="M21" i="8"/>
  <c r="N21" i="8"/>
  <c r="O21" i="8"/>
  <c r="P21" i="8"/>
  <c r="Q21" i="8"/>
  <c r="R21" i="8"/>
  <c r="S21" i="8"/>
  <c r="T21" i="8"/>
  <c r="U21" i="8"/>
  <c r="V21" i="8"/>
  <c r="W21" i="8"/>
  <c r="X21" i="8"/>
  <c r="M22" i="8"/>
  <c r="N22" i="8"/>
  <c r="O22" i="8"/>
  <c r="P22" i="8"/>
  <c r="Q22" i="8"/>
  <c r="R22" i="8"/>
  <c r="S22" i="8"/>
  <c r="T22" i="8"/>
  <c r="U22" i="8"/>
  <c r="V22" i="8"/>
  <c r="W22" i="8"/>
  <c r="X22" i="8"/>
  <c r="M23" i="8"/>
  <c r="N23" i="8"/>
  <c r="O23" i="8"/>
  <c r="P23" i="8"/>
  <c r="Q23" i="8"/>
  <c r="R23" i="8"/>
  <c r="S23" i="8"/>
  <c r="T23" i="8"/>
  <c r="U23" i="8"/>
  <c r="V23" i="8"/>
  <c r="W23" i="8"/>
  <c r="X23" i="8"/>
  <c r="M24" i="8"/>
  <c r="N24" i="8"/>
  <c r="O24" i="8"/>
  <c r="P24" i="8"/>
  <c r="Q24" i="8"/>
  <c r="R24" i="8"/>
  <c r="S24" i="8"/>
  <c r="T24" i="8"/>
  <c r="U24" i="8"/>
  <c r="V24" i="8"/>
  <c r="W24" i="8"/>
  <c r="X24" i="8"/>
  <c r="M25" i="8"/>
  <c r="N25" i="8"/>
  <c r="O25" i="8"/>
  <c r="P25" i="8"/>
  <c r="Q25" i="8"/>
  <c r="R25" i="8"/>
  <c r="S25" i="8"/>
  <c r="T25" i="8"/>
  <c r="U25" i="8"/>
  <c r="V25" i="8"/>
  <c r="W25" i="8"/>
  <c r="X25" i="8"/>
  <c r="M26" i="8"/>
  <c r="N26" i="8"/>
  <c r="O26" i="8"/>
  <c r="P26" i="8"/>
  <c r="Q26" i="8"/>
  <c r="R26" i="8"/>
  <c r="S26" i="8"/>
  <c r="T26" i="8"/>
  <c r="U26" i="8"/>
  <c r="V26" i="8"/>
  <c r="W26" i="8"/>
  <c r="X26" i="8"/>
  <c r="M27" i="8"/>
  <c r="N27" i="8"/>
  <c r="O27" i="8"/>
  <c r="P27" i="8"/>
  <c r="Q27" i="8"/>
  <c r="R27" i="8"/>
  <c r="S27" i="8"/>
  <c r="T27" i="8"/>
  <c r="U27" i="8"/>
  <c r="V27" i="8"/>
  <c r="W27" i="8"/>
  <c r="X27" i="8"/>
  <c r="M28" i="8"/>
  <c r="N28" i="8"/>
  <c r="O28" i="8"/>
  <c r="P28" i="8"/>
  <c r="Q28" i="8"/>
  <c r="R28" i="8"/>
  <c r="S28" i="8"/>
  <c r="T28" i="8"/>
  <c r="U28" i="8"/>
  <c r="V28" i="8"/>
  <c r="W28" i="8"/>
  <c r="X28" i="8"/>
  <c r="M29" i="8"/>
  <c r="N29" i="8"/>
  <c r="O29" i="8"/>
  <c r="P29" i="8"/>
  <c r="Q29" i="8"/>
  <c r="R29" i="8"/>
  <c r="S29" i="8"/>
  <c r="T29" i="8"/>
  <c r="U29" i="8"/>
  <c r="V29" i="8"/>
  <c r="W29" i="8"/>
  <c r="X29" i="8"/>
  <c r="M30" i="8"/>
  <c r="N30" i="8"/>
  <c r="O30" i="8"/>
  <c r="P30" i="8"/>
  <c r="Q30" i="8"/>
  <c r="R30" i="8"/>
  <c r="S30" i="8"/>
  <c r="T30" i="8"/>
  <c r="U30" i="8"/>
  <c r="V30" i="8"/>
  <c r="W30" i="8"/>
  <c r="X30" i="8"/>
  <c r="M31" i="8"/>
  <c r="N31" i="8"/>
  <c r="O31" i="8"/>
  <c r="P31" i="8"/>
  <c r="Q31" i="8"/>
  <c r="R31" i="8"/>
  <c r="S31" i="8"/>
  <c r="T31" i="8"/>
  <c r="U31" i="8"/>
  <c r="V31" i="8"/>
  <c r="W31" i="8"/>
  <c r="X31" i="8"/>
  <c r="M32" i="8"/>
  <c r="N32" i="8"/>
  <c r="O32" i="8"/>
  <c r="P32" i="8"/>
  <c r="Q32" i="8"/>
  <c r="R32" i="8"/>
  <c r="S32" i="8"/>
  <c r="T32" i="8"/>
  <c r="U32" i="8"/>
  <c r="V32" i="8"/>
  <c r="W32" i="8"/>
  <c r="X32" i="8"/>
  <c r="M33" i="8"/>
  <c r="N33" i="8"/>
  <c r="O33" i="8"/>
  <c r="P33" i="8"/>
  <c r="Q33" i="8"/>
  <c r="R33" i="8"/>
  <c r="S33" i="8"/>
  <c r="T33" i="8"/>
  <c r="U33" i="8"/>
  <c r="V33" i="8"/>
  <c r="W33" i="8"/>
  <c r="X33" i="8"/>
  <c r="M34" i="8"/>
  <c r="N34" i="8"/>
  <c r="O34" i="8"/>
  <c r="P34" i="8"/>
  <c r="Q34" i="8"/>
  <c r="R34" i="8"/>
  <c r="S34" i="8"/>
  <c r="T34" i="8"/>
  <c r="U34" i="8"/>
  <c r="V34" i="8"/>
  <c r="W34" i="8"/>
  <c r="X34" i="8"/>
  <c r="M35" i="8"/>
  <c r="N35" i="8"/>
  <c r="O35" i="8"/>
  <c r="P35" i="8"/>
  <c r="Q35" i="8"/>
  <c r="R35" i="8"/>
  <c r="S35" i="8"/>
  <c r="T35" i="8"/>
  <c r="U35" i="8"/>
  <c r="V35" i="8"/>
  <c r="W35" i="8"/>
  <c r="X35" i="8"/>
  <c r="M36" i="8"/>
  <c r="N36" i="8"/>
  <c r="O36" i="8"/>
  <c r="P36" i="8"/>
  <c r="Q36" i="8"/>
  <c r="R36" i="8"/>
  <c r="S36" i="8"/>
  <c r="T36" i="8"/>
  <c r="U36" i="8"/>
  <c r="V36" i="8"/>
  <c r="W36" i="8"/>
  <c r="X36" i="8"/>
  <c r="M37" i="8"/>
  <c r="N37" i="8"/>
  <c r="O37" i="8"/>
  <c r="P37" i="8"/>
  <c r="Q37" i="8"/>
  <c r="R37" i="8"/>
  <c r="S37" i="8"/>
  <c r="T37" i="8"/>
  <c r="U37" i="8"/>
  <c r="V37" i="8"/>
  <c r="W37" i="8"/>
  <c r="X37" i="8"/>
  <c r="M38" i="8"/>
  <c r="N38" i="8"/>
  <c r="O38" i="8"/>
  <c r="P38" i="8"/>
  <c r="Q38" i="8"/>
  <c r="R38" i="8"/>
  <c r="S38" i="8"/>
  <c r="T38" i="8"/>
  <c r="U38" i="8"/>
  <c r="V38" i="8"/>
  <c r="W38" i="8"/>
  <c r="X38" i="8"/>
  <c r="M39" i="8"/>
  <c r="N39" i="8"/>
  <c r="O39" i="8"/>
  <c r="P39" i="8"/>
  <c r="Q39" i="8"/>
  <c r="R39" i="8"/>
  <c r="S39" i="8"/>
  <c r="T39" i="8"/>
  <c r="U39" i="8"/>
  <c r="V39" i="8"/>
  <c r="W39" i="8"/>
  <c r="X39" i="8"/>
  <c r="M40" i="8"/>
  <c r="N40" i="8"/>
  <c r="O40" i="8"/>
  <c r="P40" i="8"/>
  <c r="Q40" i="8"/>
  <c r="R40" i="8"/>
  <c r="S40" i="8"/>
  <c r="T40" i="8"/>
  <c r="U40" i="8"/>
  <c r="V40" i="8"/>
  <c r="W40" i="8"/>
  <c r="X40" i="8"/>
  <c r="M41" i="8"/>
  <c r="N41" i="8"/>
  <c r="O41" i="8"/>
  <c r="P41" i="8"/>
  <c r="Q41" i="8"/>
  <c r="R41" i="8"/>
  <c r="S41" i="8"/>
  <c r="T41" i="8"/>
  <c r="U41" i="8"/>
  <c r="V41" i="8"/>
  <c r="W41" i="8"/>
  <c r="X41" i="8"/>
  <c r="M42" i="8"/>
  <c r="N42" i="8"/>
  <c r="O42" i="8"/>
  <c r="P42" i="8"/>
  <c r="Q42" i="8"/>
  <c r="R42" i="8"/>
  <c r="S42" i="8"/>
  <c r="T42" i="8"/>
  <c r="U42" i="8"/>
  <c r="V42" i="8"/>
  <c r="W42" i="8"/>
  <c r="X42" i="8"/>
  <c r="M43" i="8"/>
  <c r="N43" i="8"/>
  <c r="O43" i="8"/>
  <c r="P43" i="8"/>
  <c r="Q43" i="8"/>
  <c r="R43" i="8"/>
  <c r="S43" i="8"/>
  <c r="T43" i="8"/>
  <c r="U43" i="8"/>
  <c r="V43" i="8"/>
  <c r="W43" i="8"/>
  <c r="X43" i="8"/>
  <c r="M44" i="8"/>
  <c r="N44" i="8"/>
  <c r="O44" i="8"/>
  <c r="P44" i="8"/>
  <c r="Q44" i="8"/>
  <c r="R44" i="8"/>
  <c r="S44" i="8"/>
  <c r="T44" i="8"/>
  <c r="U44" i="8"/>
  <c r="V44" i="8"/>
  <c r="W44" i="8"/>
  <c r="X44" i="8"/>
  <c r="M45" i="8"/>
  <c r="N45" i="8"/>
  <c r="O45" i="8"/>
  <c r="P45" i="8"/>
  <c r="Q45" i="8"/>
  <c r="R45" i="8"/>
  <c r="S45" i="8"/>
  <c r="T45" i="8"/>
  <c r="U45" i="8"/>
  <c r="V45" i="8"/>
  <c r="W45" i="8"/>
  <c r="X45" i="8"/>
  <c r="N3" i="8"/>
  <c r="O3" i="8"/>
  <c r="P3" i="8"/>
  <c r="Q3" i="8"/>
  <c r="R3" i="8"/>
  <c r="S3" i="8"/>
  <c r="T3" i="8"/>
  <c r="U3" i="8"/>
  <c r="V3" i="8"/>
  <c r="W3" i="8"/>
  <c r="X3" i="8"/>
  <c r="L28" i="8"/>
  <c r="L26" i="8"/>
  <c r="L10" i="8"/>
  <c r="G1264" i="8"/>
  <c r="V46" i="8" l="1"/>
  <c r="T46" i="8"/>
  <c r="E5" i="6" l="1"/>
  <c r="E10" i="6"/>
  <c r="E11" i="6"/>
  <c r="E19" i="6"/>
  <c r="E20" i="6"/>
  <c r="E25" i="6"/>
  <c r="E26" i="6"/>
  <c r="E34" i="6"/>
  <c r="E35" i="6"/>
  <c r="E42" i="6"/>
  <c r="E43" i="6"/>
  <c r="E44" i="6"/>
  <c r="E46" i="6"/>
  <c r="E51" i="6"/>
  <c r="E52" i="6"/>
  <c r="E64" i="6"/>
  <c r="E65" i="6"/>
  <c r="E80" i="6"/>
  <c r="E91" i="6"/>
  <c r="E97" i="6"/>
  <c r="E98" i="6"/>
  <c r="E99" i="6"/>
  <c r="E100" i="6"/>
  <c r="E102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W120" i="6"/>
  <c r="W119" i="6"/>
  <c r="W118" i="6"/>
  <c r="W117" i="6"/>
  <c r="W116" i="6"/>
  <c r="W115" i="6"/>
  <c r="W114" i="6"/>
  <c r="W113" i="6"/>
  <c r="W112" i="6"/>
  <c r="W111" i="6"/>
  <c r="W110" i="6"/>
  <c r="W109" i="6"/>
  <c r="W108" i="6"/>
  <c r="W107" i="6"/>
  <c r="W106" i="6"/>
  <c r="W105" i="6"/>
  <c r="W104" i="6"/>
  <c r="W103" i="6"/>
  <c r="W102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6" i="6"/>
  <c r="AP120" i="6"/>
  <c r="AO120" i="6"/>
  <c r="AN120" i="6"/>
  <c r="AM120" i="6"/>
  <c r="AL120" i="6"/>
  <c r="AK120" i="6"/>
  <c r="AJ120" i="6"/>
  <c r="AI120" i="6"/>
  <c r="AH120" i="6"/>
  <c r="AP119" i="6"/>
  <c r="AO119" i="6"/>
  <c r="AN119" i="6"/>
  <c r="AM119" i="6"/>
  <c r="AL119" i="6"/>
  <c r="AK119" i="6"/>
  <c r="AJ119" i="6"/>
  <c r="AI119" i="6"/>
  <c r="AH119" i="6"/>
  <c r="AP118" i="6"/>
  <c r="AO118" i="6"/>
  <c r="AN118" i="6"/>
  <c r="AM118" i="6"/>
  <c r="AL118" i="6"/>
  <c r="AK118" i="6"/>
  <c r="AJ118" i="6"/>
  <c r="AI118" i="6"/>
  <c r="AH118" i="6"/>
  <c r="AP117" i="6"/>
  <c r="AO117" i="6"/>
  <c r="AN117" i="6"/>
  <c r="AM117" i="6"/>
  <c r="AL117" i="6"/>
  <c r="AK117" i="6"/>
  <c r="AJ117" i="6"/>
  <c r="AI117" i="6"/>
  <c r="AH117" i="6"/>
  <c r="AP116" i="6"/>
  <c r="AO116" i="6"/>
  <c r="AN116" i="6"/>
  <c r="AM116" i="6"/>
  <c r="AL116" i="6"/>
  <c r="AK116" i="6"/>
  <c r="AJ116" i="6"/>
  <c r="AI116" i="6"/>
  <c r="AH116" i="6"/>
  <c r="AP115" i="6"/>
  <c r="AO115" i="6"/>
  <c r="AN115" i="6"/>
  <c r="AM115" i="6"/>
  <c r="AL115" i="6"/>
  <c r="AK115" i="6"/>
  <c r="AJ115" i="6"/>
  <c r="AI115" i="6"/>
  <c r="AH115" i="6"/>
  <c r="AP114" i="6"/>
  <c r="AO114" i="6"/>
  <c r="AN114" i="6"/>
  <c r="AM114" i="6"/>
  <c r="AL114" i="6"/>
  <c r="AK114" i="6"/>
  <c r="AJ114" i="6"/>
  <c r="AI114" i="6"/>
  <c r="AH114" i="6"/>
  <c r="AP113" i="6"/>
  <c r="AO113" i="6"/>
  <c r="AN113" i="6"/>
  <c r="AM113" i="6"/>
  <c r="AL113" i="6"/>
  <c r="AK113" i="6"/>
  <c r="AJ113" i="6"/>
  <c r="AI113" i="6"/>
  <c r="AH113" i="6"/>
  <c r="AP112" i="6"/>
  <c r="AO112" i="6"/>
  <c r="AN112" i="6"/>
  <c r="AM112" i="6"/>
  <c r="AL112" i="6"/>
  <c r="AK112" i="6"/>
  <c r="AJ112" i="6"/>
  <c r="AI112" i="6"/>
  <c r="AH112" i="6"/>
  <c r="AP111" i="6"/>
  <c r="AO111" i="6"/>
  <c r="AN111" i="6"/>
  <c r="AM111" i="6"/>
  <c r="AL111" i="6"/>
  <c r="AK111" i="6"/>
  <c r="AJ111" i="6"/>
  <c r="AI111" i="6"/>
  <c r="AH111" i="6"/>
  <c r="AP110" i="6"/>
  <c r="AO110" i="6"/>
  <c r="AN110" i="6"/>
  <c r="AM110" i="6"/>
  <c r="AL110" i="6"/>
  <c r="AK110" i="6"/>
  <c r="AJ110" i="6"/>
  <c r="AI110" i="6"/>
  <c r="AH110" i="6"/>
  <c r="AP109" i="6"/>
  <c r="AO109" i="6"/>
  <c r="AN109" i="6"/>
  <c r="AM109" i="6"/>
  <c r="AL109" i="6"/>
  <c r="AK109" i="6"/>
  <c r="AJ109" i="6"/>
  <c r="AI109" i="6"/>
  <c r="AH109" i="6"/>
  <c r="AP108" i="6"/>
  <c r="AO108" i="6"/>
  <c r="AN108" i="6"/>
  <c r="AM108" i="6"/>
  <c r="AL108" i="6"/>
  <c r="AK108" i="6"/>
  <c r="AJ108" i="6"/>
  <c r="AI108" i="6"/>
  <c r="AH108" i="6"/>
  <c r="AP107" i="6"/>
  <c r="AO107" i="6"/>
  <c r="AN107" i="6"/>
  <c r="AM107" i="6"/>
  <c r="AL107" i="6"/>
  <c r="AK107" i="6"/>
  <c r="AJ107" i="6"/>
  <c r="AI107" i="6"/>
  <c r="AH107" i="6"/>
  <c r="AP106" i="6"/>
  <c r="AO106" i="6"/>
  <c r="AN106" i="6"/>
  <c r="AM106" i="6"/>
  <c r="AL106" i="6"/>
  <c r="AK106" i="6"/>
  <c r="AJ106" i="6"/>
  <c r="AI106" i="6"/>
  <c r="AH106" i="6"/>
  <c r="AP105" i="6"/>
  <c r="AO105" i="6"/>
  <c r="AN105" i="6"/>
  <c r="AM105" i="6"/>
  <c r="AL105" i="6"/>
  <c r="AK105" i="6"/>
  <c r="AJ105" i="6"/>
  <c r="AI105" i="6"/>
  <c r="AH105" i="6"/>
  <c r="AP104" i="6"/>
  <c r="AO104" i="6"/>
  <c r="AN104" i="6"/>
  <c r="AM104" i="6"/>
  <c r="AL104" i="6"/>
  <c r="AK104" i="6"/>
  <c r="AJ104" i="6"/>
  <c r="AI104" i="6"/>
  <c r="AH104" i="6"/>
  <c r="AP103" i="6"/>
  <c r="AO103" i="6"/>
  <c r="AN103" i="6"/>
  <c r="AM103" i="6"/>
  <c r="AL103" i="6"/>
  <c r="AK103" i="6"/>
  <c r="AJ103" i="6"/>
  <c r="AI103" i="6"/>
  <c r="AH103" i="6"/>
  <c r="AP102" i="6"/>
  <c r="AO102" i="6"/>
  <c r="AN102" i="6"/>
  <c r="AM102" i="6"/>
  <c r="AL102" i="6"/>
  <c r="AK102" i="6"/>
  <c r="AJ102" i="6"/>
  <c r="AI102" i="6"/>
  <c r="AH102" i="6"/>
  <c r="AP100" i="6"/>
  <c r="AO100" i="6"/>
  <c r="AN100" i="6"/>
  <c r="AM100" i="6"/>
  <c r="AL100" i="6"/>
  <c r="AK100" i="6"/>
  <c r="AJ100" i="6"/>
  <c r="AI100" i="6"/>
  <c r="AH100" i="6"/>
  <c r="AP99" i="6"/>
  <c r="AO99" i="6"/>
  <c r="AN99" i="6"/>
  <c r="AM99" i="6"/>
  <c r="AL99" i="6"/>
  <c r="AK99" i="6"/>
  <c r="AJ99" i="6"/>
  <c r="AI99" i="6"/>
  <c r="AH99" i="6"/>
  <c r="AO98" i="6"/>
  <c r="AN98" i="6"/>
  <c r="AM98" i="6"/>
  <c r="AL98" i="6"/>
  <c r="AK98" i="6"/>
  <c r="AJ98" i="6"/>
  <c r="AI98" i="6"/>
  <c r="AH98" i="6"/>
  <c r="AP97" i="6"/>
  <c r="AO97" i="6"/>
  <c r="AN97" i="6"/>
  <c r="AM97" i="6"/>
  <c r="AL97" i="6"/>
  <c r="AK97" i="6"/>
  <c r="AJ97" i="6"/>
  <c r="AI97" i="6"/>
  <c r="AH97" i="6"/>
  <c r="AP96" i="6"/>
  <c r="AO96" i="6"/>
  <c r="AN96" i="6"/>
  <c r="AM96" i="6"/>
  <c r="AL96" i="6"/>
  <c r="AK96" i="6"/>
  <c r="AJ96" i="6"/>
  <c r="AI96" i="6"/>
  <c r="AH96" i="6"/>
  <c r="AP95" i="6"/>
  <c r="AO95" i="6"/>
  <c r="AN95" i="6"/>
  <c r="AM95" i="6"/>
  <c r="AL95" i="6"/>
  <c r="AK95" i="6"/>
  <c r="AJ95" i="6"/>
  <c r="AI95" i="6"/>
  <c r="AH95" i="6"/>
  <c r="AP94" i="6"/>
  <c r="AO94" i="6"/>
  <c r="AN94" i="6"/>
  <c r="AM94" i="6"/>
  <c r="AL94" i="6"/>
  <c r="AK94" i="6"/>
  <c r="AJ94" i="6"/>
  <c r="AI94" i="6"/>
  <c r="AH94" i="6"/>
  <c r="AP93" i="6"/>
  <c r="AO93" i="6"/>
  <c r="AN93" i="6"/>
  <c r="AM93" i="6"/>
  <c r="AL93" i="6"/>
  <c r="AK93" i="6"/>
  <c r="AJ93" i="6"/>
  <c r="AI93" i="6"/>
  <c r="AH93" i="6"/>
  <c r="AP92" i="6"/>
  <c r="AO92" i="6"/>
  <c r="AN92" i="6"/>
  <c r="AM92" i="6"/>
  <c r="AL92" i="6"/>
  <c r="AK92" i="6"/>
  <c r="AJ92" i="6"/>
  <c r="AI92" i="6"/>
  <c r="AH92" i="6"/>
  <c r="AP91" i="6"/>
  <c r="AO91" i="6"/>
  <c r="AN91" i="6"/>
  <c r="AM91" i="6"/>
  <c r="AL91" i="6"/>
  <c r="AK91" i="6"/>
  <c r="AJ91" i="6"/>
  <c r="AI91" i="6"/>
  <c r="AH91" i="6"/>
  <c r="AP90" i="6"/>
  <c r="AO90" i="6"/>
  <c r="AN90" i="6"/>
  <c r="AM90" i="6"/>
  <c r="AL90" i="6"/>
  <c r="AK90" i="6"/>
  <c r="AJ90" i="6"/>
  <c r="AI90" i="6"/>
  <c r="AH90" i="6"/>
  <c r="AP89" i="6"/>
  <c r="AO89" i="6"/>
  <c r="AN89" i="6"/>
  <c r="AM89" i="6"/>
  <c r="AL89" i="6"/>
  <c r="AK89" i="6"/>
  <c r="AJ89" i="6"/>
  <c r="AI89" i="6"/>
  <c r="AH89" i="6"/>
  <c r="AP88" i="6"/>
  <c r="AO88" i="6"/>
  <c r="AN88" i="6"/>
  <c r="AM88" i="6"/>
  <c r="AL88" i="6"/>
  <c r="AK88" i="6"/>
  <c r="AJ88" i="6"/>
  <c r="AI88" i="6"/>
  <c r="AH88" i="6"/>
  <c r="AP87" i="6"/>
  <c r="AO87" i="6"/>
  <c r="AN87" i="6"/>
  <c r="AM87" i="6"/>
  <c r="AL87" i="6"/>
  <c r="AK87" i="6"/>
  <c r="AJ87" i="6"/>
  <c r="AI87" i="6"/>
  <c r="AH87" i="6"/>
  <c r="AP86" i="6"/>
  <c r="AO86" i="6"/>
  <c r="AN86" i="6"/>
  <c r="AM86" i="6"/>
  <c r="AL86" i="6"/>
  <c r="AK86" i="6"/>
  <c r="AJ86" i="6"/>
  <c r="AI86" i="6"/>
  <c r="AH86" i="6"/>
  <c r="AP85" i="6"/>
  <c r="AO85" i="6"/>
  <c r="AN85" i="6"/>
  <c r="AM85" i="6"/>
  <c r="AL85" i="6"/>
  <c r="AK85" i="6"/>
  <c r="AJ85" i="6"/>
  <c r="AI85" i="6"/>
  <c r="AH85" i="6"/>
  <c r="AP84" i="6"/>
  <c r="AO84" i="6"/>
  <c r="AN84" i="6"/>
  <c r="AM84" i="6"/>
  <c r="AL84" i="6"/>
  <c r="AK84" i="6"/>
  <c r="AJ84" i="6"/>
  <c r="AI84" i="6"/>
  <c r="AH84" i="6"/>
  <c r="AP83" i="6"/>
  <c r="AO83" i="6"/>
  <c r="AN83" i="6"/>
  <c r="AM83" i="6"/>
  <c r="AL83" i="6"/>
  <c r="AK83" i="6"/>
  <c r="AJ83" i="6"/>
  <c r="AI83" i="6"/>
  <c r="AH83" i="6"/>
  <c r="AP82" i="6"/>
  <c r="AO82" i="6"/>
  <c r="AN82" i="6"/>
  <c r="AM82" i="6"/>
  <c r="AL82" i="6"/>
  <c r="AK82" i="6"/>
  <c r="AJ82" i="6"/>
  <c r="AI82" i="6"/>
  <c r="AH82" i="6"/>
  <c r="AP81" i="6"/>
  <c r="AO81" i="6"/>
  <c r="AN81" i="6"/>
  <c r="AM81" i="6"/>
  <c r="AL81" i="6"/>
  <c r="AK81" i="6"/>
  <c r="AJ81" i="6"/>
  <c r="AI81" i="6"/>
  <c r="AH81" i="6"/>
  <c r="AP80" i="6"/>
  <c r="AO80" i="6"/>
  <c r="AN80" i="6"/>
  <c r="AM80" i="6"/>
  <c r="AL80" i="6"/>
  <c r="AK80" i="6"/>
  <c r="AJ80" i="6"/>
  <c r="AI80" i="6"/>
  <c r="AH80" i="6"/>
  <c r="AP79" i="6"/>
  <c r="AO79" i="6"/>
  <c r="AN79" i="6"/>
  <c r="AM79" i="6"/>
  <c r="AL79" i="6"/>
  <c r="AK79" i="6"/>
  <c r="AJ79" i="6"/>
  <c r="AI79" i="6"/>
  <c r="AH79" i="6"/>
  <c r="AP78" i="6"/>
  <c r="AO78" i="6"/>
  <c r="AN78" i="6"/>
  <c r="AM78" i="6"/>
  <c r="AL78" i="6"/>
  <c r="AK78" i="6"/>
  <c r="AJ78" i="6"/>
  <c r="AI78" i="6"/>
  <c r="AH78" i="6"/>
  <c r="AP77" i="6"/>
  <c r="AO77" i="6"/>
  <c r="AN77" i="6"/>
  <c r="AM77" i="6"/>
  <c r="AL77" i="6"/>
  <c r="AK77" i="6"/>
  <c r="AJ77" i="6"/>
  <c r="AI77" i="6"/>
  <c r="AH77" i="6"/>
  <c r="AP76" i="6"/>
  <c r="AO76" i="6"/>
  <c r="AN76" i="6"/>
  <c r="AM76" i="6"/>
  <c r="AL76" i="6"/>
  <c r="AK76" i="6"/>
  <c r="AJ76" i="6"/>
  <c r="AI76" i="6"/>
  <c r="AH76" i="6"/>
  <c r="AP75" i="6"/>
  <c r="AO75" i="6"/>
  <c r="AN75" i="6"/>
  <c r="AM75" i="6"/>
  <c r="AL75" i="6"/>
  <c r="AK75" i="6"/>
  <c r="AJ75" i="6"/>
  <c r="AI75" i="6"/>
  <c r="AH75" i="6"/>
  <c r="AP74" i="6"/>
  <c r="AO74" i="6"/>
  <c r="AN74" i="6"/>
  <c r="AM74" i="6"/>
  <c r="AL74" i="6"/>
  <c r="AK74" i="6"/>
  <c r="AJ74" i="6"/>
  <c r="AI74" i="6"/>
  <c r="AH74" i="6"/>
  <c r="AP73" i="6"/>
  <c r="AO73" i="6"/>
  <c r="AN73" i="6"/>
  <c r="AM73" i="6"/>
  <c r="AL73" i="6"/>
  <c r="AK73" i="6"/>
  <c r="AJ73" i="6"/>
  <c r="AI73" i="6"/>
  <c r="AH73" i="6"/>
  <c r="AP72" i="6"/>
  <c r="AO72" i="6"/>
  <c r="AN72" i="6"/>
  <c r="AM72" i="6"/>
  <c r="AL72" i="6"/>
  <c r="AK72" i="6"/>
  <c r="AJ72" i="6"/>
  <c r="AI72" i="6"/>
  <c r="AH72" i="6"/>
  <c r="AP71" i="6"/>
  <c r="AO71" i="6"/>
  <c r="AN71" i="6"/>
  <c r="AM71" i="6"/>
  <c r="AL71" i="6"/>
  <c r="AK71" i="6"/>
  <c r="AJ71" i="6"/>
  <c r="AI71" i="6"/>
  <c r="AH71" i="6"/>
  <c r="AP70" i="6"/>
  <c r="AO70" i="6"/>
  <c r="AN70" i="6"/>
  <c r="AM70" i="6"/>
  <c r="AL70" i="6"/>
  <c r="AK70" i="6"/>
  <c r="AJ70" i="6"/>
  <c r="AI70" i="6"/>
  <c r="AH70" i="6"/>
  <c r="AP69" i="6"/>
  <c r="AO69" i="6"/>
  <c r="AN69" i="6"/>
  <c r="AM69" i="6"/>
  <c r="AL69" i="6"/>
  <c r="AK69" i="6"/>
  <c r="AJ69" i="6"/>
  <c r="AI69" i="6"/>
  <c r="AH69" i="6"/>
  <c r="AP68" i="6"/>
  <c r="AO68" i="6"/>
  <c r="AN68" i="6"/>
  <c r="AM68" i="6"/>
  <c r="AL68" i="6"/>
  <c r="AK68" i="6"/>
  <c r="AJ68" i="6"/>
  <c r="AI68" i="6"/>
  <c r="AH68" i="6"/>
  <c r="AP67" i="6"/>
  <c r="AO67" i="6"/>
  <c r="AN67" i="6"/>
  <c r="AM67" i="6"/>
  <c r="AL67" i="6"/>
  <c r="AK67" i="6"/>
  <c r="AJ67" i="6"/>
  <c r="AI67" i="6"/>
  <c r="AH67" i="6"/>
  <c r="AP66" i="6"/>
  <c r="AO66" i="6"/>
  <c r="AN66" i="6"/>
  <c r="AM66" i="6"/>
  <c r="AL66" i="6"/>
  <c r="AK66" i="6"/>
  <c r="AJ66" i="6"/>
  <c r="AI66" i="6"/>
  <c r="AH66" i="6"/>
  <c r="AP65" i="6"/>
  <c r="AO65" i="6"/>
  <c r="AN65" i="6"/>
  <c r="AM65" i="6"/>
  <c r="AL65" i="6"/>
  <c r="AK65" i="6"/>
  <c r="AJ65" i="6"/>
  <c r="AI65" i="6"/>
  <c r="AH65" i="6"/>
  <c r="AP64" i="6"/>
  <c r="AO64" i="6"/>
  <c r="AN64" i="6"/>
  <c r="AM64" i="6"/>
  <c r="AL64" i="6"/>
  <c r="AK64" i="6"/>
  <c r="AJ64" i="6"/>
  <c r="AI64" i="6"/>
  <c r="AH64" i="6"/>
  <c r="AP63" i="6"/>
  <c r="AO63" i="6"/>
  <c r="AN63" i="6"/>
  <c r="AM63" i="6"/>
  <c r="AL63" i="6"/>
  <c r="AK63" i="6"/>
  <c r="AJ63" i="6"/>
  <c r="AI63" i="6"/>
  <c r="AH63" i="6"/>
  <c r="AP62" i="6"/>
  <c r="AO62" i="6"/>
  <c r="AN62" i="6"/>
  <c r="AM62" i="6"/>
  <c r="AL62" i="6"/>
  <c r="AK62" i="6"/>
  <c r="AJ62" i="6"/>
  <c r="AI62" i="6"/>
  <c r="AH62" i="6"/>
  <c r="AP61" i="6"/>
  <c r="AO61" i="6"/>
  <c r="AN61" i="6"/>
  <c r="AM61" i="6"/>
  <c r="AL61" i="6"/>
  <c r="AK61" i="6"/>
  <c r="AJ61" i="6"/>
  <c r="AI61" i="6"/>
  <c r="AH61" i="6"/>
  <c r="AP60" i="6"/>
  <c r="AO60" i="6"/>
  <c r="AN60" i="6"/>
  <c r="AM60" i="6"/>
  <c r="AL60" i="6"/>
  <c r="AK60" i="6"/>
  <c r="AJ60" i="6"/>
  <c r="AI60" i="6"/>
  <c r="AH60" i="6"/>
  <c r="AP59" i="6"/>
  <c r="AO59" i="6"/>
  <c r="AN59" i="6"/>
  <c r="AM59" i="6"/>
  <c r="AL59" i="6"/>
  <c r="AK59" i="6"/>
  <c r="AJ59" i="6"/>
  <c r="AI59" i="6"/>
  <c r="AH59" i="6"/>
  <c r="AP58" i="6"/>
  <c r="AO58" i="6"/>
  <c r="AN58" i="6"/>
  <c r="AM58" i="6"/>
  <c r="AL58" i="6"/>
  <c r="AK58" i="6"/>
  <c r="AJ58" i="6"/>
  <c r="AI58" i="6"/>
  <c r="AH58" i="6"/>
  <c r="AP57" i="6"/>
  <c r="AO57" i="6"/>
  <c r="AN57" i="6"/>
  <c r="AM57" i="6"/>
  <c r="AL57" i="6"/>
  <c r="AK57" i="6"/>
  <c r="AJ57" i="6"/>
  <c r="AI57" i="6"/>
  <c r="AH57" i="6"/>
  <c r="AP56" i="6"/>
  <c r="AO56" i="6"/>
  <c r="AN56" i="6"/>
  <c r="AM56" i="6"/>
  <c r="AL56" i="6"/>
  <c r="AK56" i="6"/>
  <c r="AJ56" i="6"/>
  <c r="AI56" i="6"/>
  <c r="AH56" i="6"/>
  <c r="AP55" i="6"/>
  <c r="AO55" i="6"/>
  <c r="AN55" i="6"/>
  <c r="AM55" i="6"/>
  <c r="AL55" i="6"/>
  <c r="AK55" i="6"/>
  <c r="AJ55" i="6"/>
  <c r="AI55" i="6"/>
  <c r="AH55" i="6"/>
  <c r="AP54" i="6"/>
  <c r="AO54" i="6"/>
  <c r="AN54" i="6"/>
  <c r="AM54" i="6"/>
  <c r="AL54" i="6"/>
  <c r="AK54" i="6"/>
  <c r="AJ54" i="6"/>
  <c r="AI54" i="6"/>
  <c r="AH54" i="6"/>
  <c r="AP53" i="6"/>
  <c r="AO53" i="6"/>
  <c r="AN53" i="6"/>
  <c r="AM53" i="6"/>
  <c r="AL53" i="6"/>
  <c r="AK53" i="6"/>
  <c r="AJ53" i="6"/>
  <c r="AI53" i="6"/>
  <c r="AH53" i="6"/>
  <c r="AP52" i="6"/>
  <c r="AO52" i="6"/>
  <c r="AN52" i="6"/>
  <c r="AM52" i="6"/>
  <c r="AL52" i="6"/>
  <c r="AK52" i="6"/>
  <c r="AJ52" i="6"/>
  <c r="AI52" i="6"/>
  <c r="AH52" i="6"/>
  <c r="AP51" i="6"/>
  <c r="AO51" i="6"/>
  <c r="AN51" i="6"/>
  <c r="AM51" i="6"/>
  <c r="AL51" i="6"/>
  <c r="AK51" i="6"/>
  <c r="AJ51" i="6"/>
  <c r="AI51" i="6"/>
  <c r="AH51" i="6"/>
  <c r="AP50" i="6"/>
  <c r="AO50" i="6"/>
  <c r="AN50" i="6"/>
  <c r="AM50" i="6"/>
  <c r="AL50" i="6"/>
  <c r="AK50" i="6"/>
  <c r="AJ50" i="6"/>
  <c r="AI50" i="6"/>
  <c r="AH50" i="6"/>
  <c r="AP49" i="6"/>
  <c r="AO49" i="6"/>
  <c r="AN49" i="6"/>
  <c r="AM49" i="6"/>
  <c r="AL49" i="6"/>
  <c r="AK49" i="6"/>
  <c r="AJ49" i="6"/>
  <c r="AI49" i="6"/>
  <c r="AH49" i="6"/>
  <c r="AP48" i="6"/>
  <c r="AO48" i="6"/>
  <c r="AN48" i="6"/>
  <c r="AM48" i="6"/>
  <c r="AL48" i="6"/>
  <c r="AK48" i="6"/>
  <c r="AJ48" i="6"/>
  <c r="AI48" i="6"/>
  <c r="AH48" i="6"/>
  <c r="AP47" i="6"/>
  <c r="AO47" i="6"/>
  <c r="AN47" i="6"/>
  <c r="AM47" i="6"/>
  <c r="AL47" i="6"/>
  <c r="AK47" i="6"/>
  <c r="AJ47" i="6"/>
  <c r="AI47" i="6"/>
  <c r="AH47" i="6"/>
  <c r="AP46" i="6"/>
  <c r="AO46" i="6"/>
  <c r="AN46" i="6"/>
  <c r="AM46" i="6"/>
  <c r="AL46" i="6"/>
  <c r="AK46" i="6"/>
  <c r="AJ46" i="6"/>
  <c r="AI46" i="6"/>
  <c r="AH46" i="6"/>
  <c r="AP45" i="6"/>
  <c r="AO45" i="6"/>
  <c r="AN45" i="6"/>
  <c r="AM45" i="6"/>
  <c r="AL45" i="6"/>
  <c r="AK45" i="6"/>
  <c r="AJ45" i="6"/>
  <c r="AI45" i="6"/>
  <c r="AH45" i="6"/>
  <c r="AP44" i="6"/>
  <c r="AO44" i="6"/>
  <c r="AN44" i="6"/>
  <c r="AM44" i="6"/>
  <c r="AL44" i="6"/>
  <c r="AK44" i="6"/>
  <c r="AJ44" i="6"/>
  <c r="AI44" i="6"/>
  <c r="AH44" i="6"/>
  <c r="AP43" i="6"/>
  <c r="AO43" i="6"/>
  <c r="AN43" i="6"/>
  <c r="AM43" i="6"/>
  <c r="AL43" i="6"/>
  <c r="AK43" i="6"/>
  <c r="AJ43" i="6"/>
  <c r="AI43" i="6"/>
  <c r="AH43" i="6"/>
  <c r="AP42" i="6"/>
  <c r="AO42" i="6"/>
  <c r="AN42" i="6"/>
  <c r="AM42" i="6"/>
  <c r="AL42" i="6"/>
  <c r="AK42" i="6"/>
  <c r="AJ42" i="6"/>
  <c r="AI42" i="6"/>
  <c r="AH42" i="6"/>
  <c r="AP41" i="6"/>
  <c r="AO41" i="6"/>
  <c r="AN41" i="6"/>
  <c r="AM41" i="6"/>
  <c r="AL41" i="6"/>
  <c r="AK41" i="6"/>
  <c r="AJ41" i="6"/>
  <c r="AI41" i="6"/>
  <c r="AH41" i="6"/>
  <c r="AP40" i="6"/>
  <c r="AO40" i="6"/>
  <c r="AN40" i="6"/>
  <c r="AM40" i="6"/>
  <c r="AL40" i="6"/>
  <c r="AK40" i="6"/>
  <c r="AJ40" i="6"/>
  <c r="AI40" i="6"/>
  <c r="AH40" i="6"/>
  <c r="AP39" i="6"/>
  <c r="AO39" i="6"/>
  <c r="AN39" i="6"/>
  <c r="AM39" i="6"/>
  <c r="AL39" i="6"/>
  <c r="AK39" i="6"/>
  <c r="AJ39" i="6"/>
  <c r="AI39" i="6"/>
  <c r="AH39" i="6"/>
  <c r="AP38" i="6"/>
  <c r="AO38" i="6"/>
  <c r="AN38" i="6"/>
  <c r="AM38" i="6"/>
  <c r="AL38" i="6"/>
  <c r="AK38" i="6"/>
  <c r="AJ38" i="6"/>
  <c r="AI38" i="6"/>
  <c r="AH38" i="6"/>
  <c r="AP37" i="6"/>
  <c r="AO37" i="6"/>
  <c r="AN37" i="6"/>
  <c r="AM37" i="6"/>
  <c r="AL37" i="6"/>
  <c r="AK37" i="6"/>
  <c r="AJ37" i="6"/>
  <c r="AI37" i="6"/>
  <c r="AH37" i="6"/>
  <c r="AP36" i="6"/>
  <c r="AO36" i="6"/>
  <c r="AN36" i="6"/>
  <c r="AM36" i="6"/>
  <c r="AL36" i="6"/>
  <c r="AK36" i="6"/>
  <c r="AJ36" i="6"/>
  <c r="AI36" i="6"/>
  <c r="AH36" i="6"/>
  <c r="AP35" i="6"/>
  <c r="AO35" i="6"/>
  <c r="AN35" i="6"/>
  <c r="AM35" i="6"/>
  <c r="AL35" i="6"/>
  <c r="AK35" i="6"/>
  <c r="AJ35" i="6"/>
  <c r="AI35" i="6"/>
  <c r="AH35" i="6"/>
  <c r="AP34" i="6"/>
  <c r="AO34" i="6"/>
  <c r="AN34" i="6"/>
  <c r="AM34" i="6"/>
  <c r="AL34" i="6"/>
  <c r="AK34" i="6"/>
  <c r="AJ34" i="6"/>
  <c r="AI34" i="6"/>
  <c r="AH34" i="6"/>
  <c r="AP33" i="6"/>
  <c r="AO33" i="6"/>
  <c r="AN33" i="6"/>
  <c r="AM33" i="6"/>
  <c r="AL33" i="6"/>
  <c r="AK33" i="6"/>
  <c r="AJ33" i="6"/>
  <c r="AI33" i="6"/>
  <c r="AH33" i="6"/>
  <c r="AP32" i="6"/>
  <c r="AO32" i="6"/>
  <c r="AN32" i="6"/>
  <c r="AM32" i="6"/>
  <c r="AL32" i="6"/>
  <c r="AK32" i="6"/>
  <c r="AJ32" i="6"/>
  <c r="AI32" i="6"/>
  <c r="AH32" i="6"/>
  <c r="AP31" i="6"/>
  <c r="AO31" i="6"/>
  <c r="AN31" i="6"/>
  <c r="AM31" i="6"/>
  <c r="AL31" i="6"/>
  <c r="AK31" i="6"/>
  <c r="AJ31" i="6"/>
  <c r="AI31" i="6"/>
  <c r="AH31" i="6"/>
  <c r="AP30" i="6"/>
  <c r="AO30" i="6"/>
  <c r="AN30" i="6"/>
  <c r="AM30" i="6"/>
  <c r="AL30" i="6"/>
  <c r="AK30" i="6"/>
  <c r="AJ30" i="6"/>
  <c r="AI30" i="6"/>
  <c r="AH30" i="6"/>
  <c r="AP29" i="6"/>
  <c r="AO29" i="6"/>
  <c r="AN29" i="6"/>
  <c r="AM29" i="6"/>
  <c r="AL29" i="6"/>
  <c r="AK29" i="6"/>
  <c r="AJ29" i="6"/>
  <c r="AI29" i="6"/>
  <c r="AH29" i="6"/>
  <c r="AP28" i="6"/>
  <c r="AO28" i="6"/>
  <c r="AN28" i="6"/>
  <c r="AM28" i="6"/>
  <c r="AL28" i="6"/>
  <c r="AK28" i="6"/>
  <c r="AJ28" i="6"/>
  <c r="AI28" i="6"/>
  <c r="AH28" i="6"/>
  <c r="AP27" i="6"/>
  <c r="AO27" i="6"/>
  <c r="AN27" i="6"/>
  <c r="AM27" i="6"/>
  <c r="AL27" i="6"/>
  <c r="AK27" i="6"/>
  <c r="AJ27" i="6"/>
  <c r="AI27" i="6"/>
  <c r="AH27" i="6"/>
  <c r="AP26" i="6"/>
  <c r="AO26" i="6"/>
  <c r="AN26" i="6"/>
  <c r="AM26" i="6"/>
  <c r="AL26" i="6"/>
  <c r="AK26" i="6"/>
  <c r="AJ26" i="6"/>
  <c r="AI26" i="6"/>
  <c r="AH26" i="6"/>
  <c r="AP25" i="6"/>
  <c r="AO25" i="6"/>
  <c r="AN25" i="6"/>
  <c r="AM25" i="6"/>
  <c r="AL25" i="6"/>
  <c r="AK25" i="6"/>
  <c r="AJ25" i="6"/>
  <c r="AI25" i="6"/>
  <c r="AH25" i="6"/>
  <c r="AP24" i="6"/>
  <c r="AO24" i="6"/>
  <c r="AN24" i="6"/>
  <c r="AM24" i="6"/>
  <c r="AL24" i="6"/>
  <c r="AK24" i="6"/>
  <c r="AJ24" i="6"/>
  <c r="AI24" i="6"/>
  <c r="AH24" i="6"/>
  <c r="AP23" i="6"/>
  <c r="AO23" i="6"/>
  <c r="AN23" i="6"/>
  <c r="AM23" i="6"/>
  <c r="AL23" i="6"/>
  <c r="AK23" i="6"/>
  <c r="AJ23" i="6"/>
  <c r="AI23" i="6"/>
  <c r="AH23" i="6"/>
  <c r="AP22" i="6"/>
  <c r="AO22" i="6"/>
  <c r="AN22" i="6"/>
  <c r="AM22" i="6"/>
  <c r="AL22" i="6"/>
  <c r="AK22" i="6"/>
  <c r="AJ22" i="6"/>
  <c r="AI22" i="6"/>
  <c r="AH22" i="6"/>
  <c r="AP21" i="6"/>
  <c r="AO21" i="6"/>
  <c r="AN21" i="6"/>
  <c r="AM21" i="6"/>
  <c r="AL21" i="6"/>
  <c r="AK21" i="6"/>
  <c r="AJ21" i="6"/>
  <c r="AI21" i="6"/>
  <c r="AH21" i="6"/>
  <c r="AP20" i="6"/>
  <c r="AO20" i="6"/>
  <c r="AN20" i="6"/>
  <c r="AM20" i="6"/>
  <c r="AL20" i="6"/>
  <c r="AK20" i="6"/>
  <c r="AJ20" i="6"/>
  <c r="AI20" i="6"/>
  <c r="AH20" i="6"/>
  <c r="AP19" i="6"/>
  <c r="AO19" i="6"/>
  <c r="AN19" i="6"/>
  <c r="AM19" i="6"/>
  <c r="AL19" i="6"/>
  <c r="AK19" i="6"/>
  <c r="AJ19" i="6"/>
  <c r="AI19" i="6"/>
  <c r="AH19" i="6"/>
  <c r="AP18" i="6"/>
  <c r="AO18" i="6"/>
  <c r="AN18" i="6"/>
  <c r="AM18" i="6"/>
  <c r="AL18" i="6"/>
  <c r="AK18" i="6"/>
  <c r="AJ18" i="6"/>
  <c r="AI18" i="6"/>
  <c r="AH18" i="6"/>
  <c r="AP17" i="6"/>
  <c r="AO17" i="6"/>
  <c r="AN17" i="6"/>
  <c r="AM17" i="6"/>
  <c r="AL17" i="6"/>
  <c r="AK17" i="6"/>
  <c r="AJ17" i="6"/>
  <c r="AI17" i="6"/>
  <c r="AH17" i="6"/>
  <c r="AP16" i="6"/>
  <c r="AO16" i="6"/>
  <c r="AN16" i="6"/>
  <c r="AM16" i="6"/>
  <c r="AL16" i="6"/>
  <c r="AK16" i="6"/>
  <c r="AJ16" i="6"/>
  <c r="AI16" i="6"/>
  <c r="AH16" i="6"/>
  <c r="AP15" i="6"/>
  <c r="AO15" i="6"/>
  <c r="AN15" i="6"/>
  <c r="AM15" i="6"/>
  <c r="AL15" i="6"/>
  <c r="AK15" i="6"/>
  <c r="AJ15" i="6"/>
  <c r="AI15" i="6"/>
  <c r="AH15" i="6"/>
  <c r="AP14" i="6"/>
  <c r="AO14" i="6"/>
  <c r="AN14" i="6"/>
  <c r="AM14" i="6"/>
  <c r="AL14" i="6"/>
  <c r="AK14" i="6"/>
  <c r="AJ14" i="6"/>
  <c r="AI14" i="6"/>
  <c r="AH14" i="6"/>
  <c r="AP13" i="6"/>
  <c r="AO13" i="6"/>
  <c r="AN13" i="6"/>
  <c r="AM13" i="6"/>
  <c r="AL13" i="6"/>
  <c r="AK13" i="6"/>
  <c r="AJ13" i="6"/>
  <c r="AI13" i="6"/>
  <c r="AH13" i="6"/>
  <c r="AP12" i="6"/>
  <c r="AO12" i="6"/>
  <c r="AN12" i="6"/>
  <c r="AM12" i="6"/>
  <c r="AL12" i="6"/>
  <c r="AK12" i="6"/>
  <c r="AJ12" i="6"/>
  <c r="AI12" i="6"/>
  <c r="AH12" i="6"/>
  <c r="AP11" i="6"/>
  <c r="AO11" i="6"/>
  <c r="AN11" i="6"/>
  <c r="AM11" i="6"/>
  <c r="AL11" i="6"/>
  <c r="AK11" i="6"/>
  <c r="AJ11" i="6"/>
  <c r="AI11" i="6"/>
  <c r="AH11" i="6"/>
  <c r="AP10" i="6"/>
  <c r="AO10" i="6"/>
  <c r="AN10" i="6"/>
  <c r="AM10" i="6"/>
  <c r="AL10" i="6"/>
  <c r="AK10" i="6"/>
  <c r="AJ10" i="6"/>
  <c r="AI10" i="6"/>
  <c r="AH10" i="6"/>
  <c r="AP9" i="6"/>
  <c r="AO9" i="6"/>
  <c r="AN9" i="6"/>
  <c r="AM9" i="6"/>
  <c r="AL9" i="6"/>
  <c r="AK9" i="6"/>
  <c r="AJ9" i="6"/>
  <c r="AI9" i="6"/>
  <c r="AH9" i="6"/>
  <c r="AP8" i="6"/>
  <c r="AO8" i="6"/>
  <c r="AN8" i="6"/>
  <c r="AM8" i="6"/>
  <c r="AL8" i="6"/>
  <c r="AK8" i="6"/>
  <c r="AJ8" i="6"/>
  <c r="AI8" i="6"/>
  <c r="AH8" i="6"/>
  <c r="AP7" i="6"/>
  <c r="AO7" i="6"/>
  <c r="AN7" i="6"/>
  <c r="AM7" i="6"/>
  <c r="AL7" i="6"/>
  <c r="AK7" i="6"/>
  <c r="AJ7" i="6"/>
  <c r="AI7" i="6"/>
  <c r="AH7" i="6"/>
  <c r="AP6" i="6"/>
  <c r="AO6" i="6"/>
  <c r="AN6" i="6"/>
  <c r="AM6" i="6"/>
  <c r="AL6" i="6"/>
  <c r="AK6" i="6"/>
  <c r="AJ6" i="6"/>
  <c r="AI6" i="6"/>
  <c r="AH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6" i="6"/>
  <c r="M3" i="8"/>
  <c r="L4" i="8"/>
  <c r="L5" i="8"/>
  <c r="L6" i="8"/>
  <c r="L7" i="8"/>
  <c r="L8" i="8"/>
  <c r="L9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7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3" i="8"/>
  <c r="AK122" i="6" l="1"/>
  <c r="AH122" i="6"/>
  <c r="AG122" i="6"/>
  <c r="AI122" i="6"/>
  <c r="AM122" i="6"/>
  <c r="AL122" i="6"/>
  <c r="AJ122" i="6"/>
  <c r="AN122" i="6"/>
  <c r="AO122" i="6"/>
  <c r="AP122" i="6"/>
  <c r="W46" i="8"/>
  <c r="Q46" i="8"/>
  <c r="X46" i="8"/>
  <c r="U46" i="8"/>
  <c r="S46" i="8"/>
  <c r="O46" i="8"/>
  <c r="P46" i="8"/>
  <c r="M46" i="8"/>
  <c r="R46" i="8"/>
  <c r="N46" i="8"/>
  <c r="L46" i="8"/>
  <c r="H966" i="1"/>
  <c r="H963" i="1"/>
  <c r="H960" i="1"/>
  <c r="H957" i="1"/>
  <c r="G952" i="1"/>
  <c r="H951" i="1"/>
  <c r="G946" i="1"/>
  <c r="G943" i="1"/>
  <c r="H941" i="1"/>
  <c r="H940" i="1"/>
  <c r="H933" i="1"/>
  <c r="G927" i="1"/>
  <c r="H925" i="1"/>
  <c r="G921" i="1"/>
  <c r="H920" i="1"/>
  <c r="G914" i="1"/>
  <c r="H913" i="1"/>
  <c r="G906" i="1"/>
  <c r="G900" i="1"/>
  <c r="H899" i="1"/>
  <c r="H895" i="1"/>
  <c r="L895" i="1" s="1"/>
  <c r="C118" i="5" s="1"/>
  <c r="H891" i="1"/>
  <c r="L891" i="1" s="1"/>
  <c r="C117" i="5" s="1"/>
  <c r="H888" i="1"/>
  <c r="G885" i="1"/>
  <c r="G879" i="1"/>
  <c r="H877" i="1"/>
  <c r="G874" i="1"/>
  <c r="G869" i="1"/>
  <c r="H866" i="1"/>
  <c r="H863" i="1"/>
  <c r="H855" i="1"/>
  <c r="H851" i="1"/>
  <c r="H845" i="1"/>
  <c r="G839" i="1"/>
  <c r="G837" i="1"/>
  <c r="H826" i="1"/>
  <c r="G820" i="1"/>
  <c r="H817" i="1"/>
  <c r="G810" i="1"/>
  <c r="G808" i="1"/>
  <c r="H797" i="1"/>
  <c r="G794" i="1"/>
  <c r="G788" i="1"/>
  <c r="H786" i="1"/>
  <c r="G781" i="1"/>
  <c r="H779" i="1"/>
  <c r="G775" i="1"/>
  <c r="H774" i="1"/>
  <c r="G769" i="1"/>
  <c r="H768" i="1"/>
  <c r="H765" i="1"/>
  <c r="H760" i="1"/>
  <c r="G757" i="1"/>
  <c r="G751" i="1"/>
  <c r="H749" i="1"/>
  <c r="G746" i="1"/>
  <c r="G742" i="1"/>
  <c r="H740" i="1"/>
  <c r="H737" i="1"/>
  <c r="H736" i="1"/>
  <c r="H735" i="1"/>
  <c r="H734" i="1"/>
  <c r="H733" i="1"/>
  <c r="H732" i="1"/>
  <c r="H731" i="1"/>
  <c r="H727" i="1"/>
  <c r="H724" i="1"/>
  <c r="H720" i="1"/>
  <c r="H717" i="1"/>
  <c r="H713" i="1"/>
  <c r="G710" i="1"/>
  <c r="H708" i="1"/>
  <c r="H705" i="1"/>
  <c r="H702" i="1"/>
  <c r="H699" i="1"/>
  <c r="L699" i="1" s="1"/>
  <c r="C97" i="5" s="1"/>
  <c r="H696" i="1"/>
  <c r="H693" i="1"/>
  <c r="G689" i="1"/>
  <c r="G682" i="1"/>
  <c r="H679" i="1"/>
  <c r="G673" i="1"/>
  <c r="H670" i="1"/>
  <c r="G664" i="1"/>
  <c r="H659" i="1"/>
  <c r="H651" i="1"/>
  <c r="H643" i="1"/>
  <c r="G640" i="1"/>
  <c r="H638" i="1"/>
  <c r="G635" i="1"/>
  <c r="H633" i="1"/>
  <c r="G630" i="1"/>
  <c r="H628" i="1"/>
  <c r="H625" i="1"/>
  <c r="G620" i="1"/>
  <c r="G617" i="1"/>
  <c r="H615" i="1"/>
  <c r="H614" i="1"/>
  <c r="G608" i="1"/>
  <c r="G605" i="1"/>
  <c r="H603" i="1"/>
  <c r="H602" i="1"/>
  <c r="G596" i="1"/>
  <c r="G593" i="1"/>
  <c r="H591" i="1"/>
  <c r="H590" i="1"/>
  <c r="G584" i="1"/>
  <c r="G581" i="1"/>
  <c r="H579" i="1"/>
  <c r="H578" i="1"/>
  <c r="G572" i="1"/>
  <c r="G569" i="1"/>
  <c r="H567" i="1"/>
  <c r="H566" i="1"/>
  <c r="G559" i="1"/>
  <c r="G556" i="1"/>
  <c r="H554" i="1"/>
  <c r="H553" i="1"/>
  <c r="G547" i="1"/>
  <c r="G544" i="1"/>
  <c r="H542" i="1"/>
  <c r="H541" i="1"/>
  <c r="G535" i="1"/>
  <c r="G532" i="1"/>
  <c r="H530" i="1"/>
  <c r="H529" i="1"/>
  <c r="G523" i="1"/>
  <c r="G520" i="1"/>
  <c r="H518" i="1"/>
  <c r="H517" i="1"/>
  <c r="G511" i="1"/>
  <c r="G508" i="1"/>
  <c r="H506" i="1"/>
  <c r="H505" i="1"/>
  <c r="G499" i="1"/>
  <c r="G496" i="1"/>
  <c r="H494" i="1"/>
  <c r="H493" i="1"/>
  <c r="G487" i="1"/>
  <c r="G484" i="1"/>
  <c r="H482" i="1"/>
  <c r="H481" i="1"/>
  <c r="G475" i="1"/>
  <c r="G472" i="1"/>
  <c r="H470" i="1"/>
  <c r="H469" i="1"/>
  <c r="G463" i="1"/>
  <c r="G460" i="1"/>
  <c r="H458" i="1"/>
  <c r="H457" i="1"/>
  <c r="G451" i="1"/>
  <c r="G448" i="1"/>
  <c r="H446" i="1"/>
  <c r="H445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21" i="1"/>
  <c r="G317" i="1"/>
  <c r="H313" i="1"/>
  <c r="G309" i="1"/>
  <c r="H305" i="1"/>
  <c r="H302" i="1"/>
  <c r="G298" i="1"/>
  <c r="H297" i="1"/>
  <c r="H290" i="1"/>
  <c r="H287" i="1"/>
  <c r="G281" i="1"/>
  <c r="G275" i="1"/>
  <c r="H274" i="1"/>
  <c r="G269" i="1"/>
  <c r="H268" i="1"/>
  <c r="G264" i="1"/>
  <c r="H263" i="1"/>
  <c r="G259" i="1"/>
  <c r="H258" i="1"/>
  <c r="G253" i="1"/>
  <c r="H251" i="1"/>
  <c r="G246" i="1"/>
  <c r="H245" i="1"/>
  <c r="G242" i="1"/>
  <c r="H239" i="1"/>
  <c r="H236" i="1"/>
  <c r="H231" i="1"/>
  <c r="H227" i="1"/>
  <c r="H216" i="1"/>
  <c r="H208" i="1"/>
  <c r="H205" i="1"/>
  <c r="H201" i="1"/>
  <c r="H198" i="1"/>
  <c r="G194" i="1"/>
  <c r="G193" i="1"/>
  <c r="H192" i="1"/>
  <c r="H189" i="1"/>
  <c r="H186" i="1"/>
  <c r="G179" i="1"/>
  <c r="H171" i="1"/>
  <c r="H173" i="1" s="1"/>
  <c r="H167" i="1"/>
  <c r="H164" i="1"/>
  <c r="G154" i="1"/>
  <c r="H141" i="1"/>
  <c r="G137" i="1"/>
  <c r="G130" i="1"/>
  <c r="H127" i="1"/>
  <c r="G121" i="1"/>
  <c r="H118" i="1"/>
  <c r="G111" i="1"/>
  <c r="H109" i="1"/>
  <c r="H106" i="1"/>
  <c r="H102" i="1"/>
  <c r="G97" i="1"/>
  <c r="H92" i="1"/>
  <c r="H84" i="1"/>
  <c r="G82" i="1"/>
  <c r="H79" i="1"/>
  <c r="G72" i="1"/>
  <c r="G66" i="1"/>
  <c r="H65" i="1"/>
  <c r="G60" i="1"/>
  <c r="H59" i="1"/>
  <c r="G55" i="1"/>
  <c r="H54" i="1"/>
  <c r="G48" i="1"/>
  <c r="H46" i="1"/>
  <c r="G43" i="1"/>
  <c r="H41" i="1"/>
  <c r="H40" i="1"/>
  <c r="H36" i="1"/>
  <c r="G33" i="1"/>
  <c r="H31" i="1"/>
  <c r="H27" i="1"/>
  <c r="H15" i="1"/>
  <c r="H7" i="1"/>
  <c r="H4" i="1"/>
  <c r="B204" i="4"/>
  <c r="E204" i="4"/>
  <c r="B64" i="4"/>
  <c r="E64" i="4"/>
  <c r="B65" i="4"/>
  <c r="E65" i="4"/>
  <c r="B27" i="4"/>
  <c r="E2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5" i="4"/>
  <c r="E206" i="4"/>
  <c r="E207" i="4"/>
  <c r="E208" i="4"/>
  <c r="E209" i="4"/>
  <c r="E210" i="4"/>
  <c r="E211" i="4"/>
  <c r="E212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" i="4"/>
  <c r="H918" i="1"/>
  <c r="H917" i="1"/>
  <c r="L917" i="1" s="1"/>
  <c r="I916" i="1"/>
  <c r="H916" i="1"/>
  <c r="L916" i="1" s="1"/>
  <c r="E916" i="1"/>
  <c r="I915" i="1"/>
  <c r="H915" i="1"/>
  <c r="L915" i="1" s="1"/>
  <c r="E915" i="1"/>
  <c r="M915" i="1" s="1"/>
  <c r="I914" i="1"/>
  <c r="H914" i="1"/>
  <c r="L914" i="1" s="1"/>
  <c r="G916" i="1"/>
  <c r="E914" i="1"/>
  <c r="M914" i="1" s="1"/>
  <c r="I918" i="1"/>
  <c r="E918" i="1"/>
  <c r="P918" i="1" s="1"/>
  <c r="I917" i="1"/>
  <c r="E917" i="1"/>
  <c r="O917" i="1" s="1"/>
  <c r="E893" i="1"/>
  <c r="I893" i="1"/>
  <c r="L913" i="1" l="1"/>
  <c r="C121" i="5" s="1"/>
  <c r="J916" i="1"/>
  <c r="M916" i="1" s="1"/>
  <c r="J914" i="1"/>
  <c r="O914" i="1" s="1"/>
  <c r="N915" i="1"/>
  <c r="N916" i="1"/>
  <c r="K914" i="1"/>
  <c r="G915" i="1"/>
  <c r="J915" i="1" s="1"/>
  <c r="O915" i="1" s="1"/>
  <c r="K916" i="1"/>
  <c r="O916" i="1"/>
  <c r="N914" i="1"/>
  <c r="P914" i="1"/>
  <c r="P915" i="1"/>
  <c r="P916" i="1"/>
  <c r="J918" i="1"/>
  <c r="N918" i="1" s="1"/>
  <c r="M918" i="1"/>
  <c r="M917" i="1"/>
  <c r="J917" i="1"/>
  <c r="N917" i="1"/>
  <c r="K918" i="1"/>
  <c r="O918" i="1"/>
  <c r="K917" i="1"/>
  <c r="L918" i="1"/>
  <c r="O893" i="1"/>
  <c r="M893" i="1"/>
  <c r="P893" i="1"/>
  <c r="I954" i="1"/>
  <c r="H954" i="1"/>
  <c r="E954" i="1"/>
  <c r="I953" i="1"/>
  <c r="H953" i="1"/>
  <c r="E953" i="1"/>
  <c r="M953" i="1" s="1"/>
  <c r="I952" i="1"/>
  <c r="H952" i="1"/>
  <c r="G954" i="1"/>
  <c r="E952" i="1"/>
  <c r="M952" i="1" s="1"/>
  <c r="I949" i="1"/>
  <c r="H949" i="1"/>
  <c r="G949" i="1"/>
  <c r="E949" i="1"/>
  <c r="M949" i="1" s="1"/>
  <c r="I948" i="1"/>
  <c r="H948" i="1"/>
  <c r="G948" i="1"/>
  <c r="E948" i="1"/>
  <c r="M948" i="1" s="1"/>
  <c r="I947" i="1"/>
  <c r="H947" i="1"/>
  <c r="G947" i="1"/>
  <c r="E947" i="1"/>
  <c r="I946" i="1"/>
  <c r="H946" i="1"/>
  <c r="E946" i="1"/>
  <c r="M946" i="1" s="1"/>
  <c r="I945" i="1"/>
  <c r="H945" i="1"/>
  <c r="E945" i="1"/>
  <c r="O945" i="1" s="1"/>
  <c r="I944" i="1"/>
  <c r="H944" i="1"/>
  <c r="G944" i="1"/>
  <c r="E944" i="1"/>
  <c r="N944" i="1" s="1"/>
  <c r="I943" i="1"/>
  <c r="H943" i="1"/>
  <c r="E943" i="1"/>
  <c r="P943" i="1" s="1"/>
  <c r="I942" i="1"/>
  <c r="H942" i="1"/>
  <c r="E942" i="1"/>
  <c r="I938" i="1"/>
  <c r="H938" i="1"/>
  <c r="E938" i="1"/>
  <c r="M938" i="1" s="1"/>
  <c r="I937" i="1"/>
  <c r="H937" i="1"/>
  <c r="E937" i="1"/>
  <c r="P937" i="1" s="1"/>
  <c r="I936" i="1"/>
  <c r="H936" i="1"/>
  <c r="E936" i="1"/>
  <c r="O936" i="1" s="1"/>
  <c r="I935" i="1"/>
  <c r="H935" i="1"/>
  <c r="E935" i="1"/>
  <c r="O935" i="1" s="1"/>
  <c r="I934" i="1"/>
  <c r="H934" i="1"/>
  <c r="E934" i="1"/>
  <c r="M934" i="1" s="1"/>
  <c r="I930" i="1"/>
  <c r="H930" i="1"/>
  <c r="E930" i="1"/>
  <c r="M930" i="1" s="1"/>
  <c r="I929" i="1"/>
  <c r="H929" i="1"/>
  <c r="E929" i="1"/>
  <c r="I928" i="1"/>
  <c r="H928" i="1"/>
  <c r="E928" i="1"/>
  <c r="M928" i="1" s="1"/>
  <c r="I927" i="1"/>
  <c r="H927" i="1"/>
  <c r="G930" i="1"/>
  <c r="E927" i="1"/>
  <c r="M927" i="1" s="1"/>
  <c r="I926" i="1"/>
  <c r="H926" i="1"/>
  <c r="E926" i="1"/>
  <c r="P926" i="1" s="1"/>
  <c r="G923" i="1"/>
  <c r="I923" i="1"/>
  <c r="H923" i="1"/>
  <c r="E923" i="1"/>
  <c r="I922" i="1"/>
  <c r="H922" i="1"/>
  <c r="E922" i="1"/>
  <c r="M922" i="1" s="1"/>
  <c r="I921" i="1"/>
  <c r="H921" i="1"/>
  <c r="E921" i="1"/>
  <c r="M921" i="1" s="1"/>
  <c r="I910" i="1"/>
  <c r="G910" i="1"/>
  <c r="E910" i="1"/>
  <c r="I909" i="1"/>
  <c r="G909" i="1"/>
  <c r="E909" i="1"/>
  <c r="M909" i="1" s="1"/>
  <c r="I908" i="1"/>
  <c r="G908" i="1"/>
  <c r="E908" i="1"/>
  <c r="M908" i="1" s="1"/>
  <c r="I907" i="1"/>
  <c r="G907" i="1"/>
  <c r="E907" i="1"/>
  <c r="M907" i="1" s="1"/>
  <c r="I906" i="1"/>
  <c r="E906" i="1"/>
  <c r="P906" i="1" s="1"/>
  <c r="H905" i="1"/>
  <c r="H910" i="1" s="1"/>
  <c r="I903" i="1"/>
  <c r="H903" i="1"/>
  <c r="G903" i="1"/>
  <c r="E903" i="1"/>
  <c r="M903" i="1" s="1"/>
  <c r="I902" i="1"/>
  <c r="H902" i="1"/>
  <c r="G902" i="1"/>
  <c r="E902" i="1"/>
  <c r="I901" i="1"/>
  <c r="H901" i="1"/>
  <c r="G901" i="1"/>
  <c r="E901" i="1"/>
  <c r="M901" i="1" s="1"/>
  <c r="I900" i="1"/>
  <c r="H900" i="1"/>
  <c r="E900" i="1"/>
  <c r="P900" i="1" s="1"/>
  <c r="H897" i="1"/>
  <c r="H896" i="1"/>
  <c r="E896" i="1"/>
  <c r="L896" i="1" s="1"/>
  <c r="I896" i="1"/>
  <c r="I897" i="1"/>
  <c r="E897" i="1"/>
  <c r="M897" i="1" s="1"/>
  <c r="H892" i="1"/>
  <c r="I892" i="1"/>
  <c r="E892" i="1"/>
  <c r="M892" i="1" s="1"/>
  <c r="I873" i="1"/>
  <c r="J873" i="1" s="1"/>
  <c r="E873" i="1"/>
  <c r="M873" i="1" s="1"/>
  <c r="E867" i="1"/>
  <c r="L867" i="1" s="1"/>
  <c r="H867" i="1"/>
  <c r="I867" i="1"/>
  <c r="I889" i="1"/>
  <c r="H889" i="1"/>
  <c r="E889" i="1"/>
  <c r="M889" i="1" s="1"/>
  <c r="I887" i="1"/>
  <c r="G887" i="1"/>
  <c r="E887" i="1"/>
  <c r="P887" i="1" s="1"/>
  <c r="I886" i="1"/>
  <c r="G886" i="1"/>
  <c r="E886" i="1"/>
  <c r="P886" i="1" s="1"/>
  <c r="I885" i="1"/>
  <c r="H885" i="1"/>
  <c r="H887" i="1" s="1"/>
  <c r="E885" i="1"/>
  <c r="M885" i="1" s="1"/>
  <c r="I883" i="1"/>
  <c r="E883" i="1"/>
  <c r="N883" i="1" s="1"/>
  <c r="I882" i="1"/>
  <c r="E882" i="1"/>
  <c r="M882" i="1" s="1"/>
  <c r="I881" i="1"/>
  <c r="E881" i="1"/>
  <c r="P881" i="1" s="1"/>
  <c r="I880" i="1"/>
  <c r="E880" i="1"/>
  <c r="P880" i="1" s="1"/>
  <c r="I879" i="1"/>
  <c r="G883" i="1"/>
  <c r="E879" i="1"/>
  <c r="P879" i="1" s="1"/>
  <c r="H878" i="1"/>
  <c r="H880" i="1" s="1"/>
  <c r="I875" i="1"/>
  <c r="H875" i="1"/>
  <c r="G875" i="1"/>
  <c r="E875" i="1"/>
  <c r="P875" i="1" s="1"/>
  <c r="I874" i="1"/>
  <c r="H874" i="1"/>
  <c r="E874" i="1"/>
  <c r="P874" i="1" s="1"/>
  <c r="I871" i="1"/>
  <c r="H871" i="1"/>
  <c r="G871" i="1"/>
  <c r="E871" i="1"/>
  <c r="P871" i="1" s="1"/>
  <c r="I870" i="1"/>
  <c r="H870" i="1"/>
  <c r="G870" i="1"/>
  <c r="E870" i="1"/>
  <c r="O870" i="1" s="1"/>
  <c r="I869" i="1"/>
  <c r="H869" i="1"/>
  <c r="E869" i="1"/>
  <c r="N869" i="1" s="1"/>
  <c r="I868" i="1"/>
  <c r="H868" i="1"/>
  <c r="E868" i="1"/>
  <c r="E858" i="1"/>
  <c r="N858" i="1" s="1"/>
  <c r="I858" i="1"/>
  <c r="H862" i="1"/>
  <c r="H861" i="1"/>
  <c r="H860" i="1"/>
  <c r="H857" i="1"/>
  <c r="H858" i="1" s="1"/>
  <c r="H856" i="1"/>
  <c r="E859" i="1"/>
  <c r="M859" i="1" s="1"/>
  <c r="I859" i="1"/>
  <c r="J859" i="1" s="1"/>
  <c r="E860" i="1"/>
  <c r="N860" i="1" s="1"/>
  <c r="I860" i="1"/>
  <c r="E861" i="1"/>
  <c r="N861" i="1" s="1"/>
  <c r="I861" i="1"/>
  <c r="E862" i="1"/>
  <c r="I862" i="1"/>
  <c r="E863" i="1"/>
  <c r="N863" i="1" s="1"/>
  <c r="I863" i="1"/>
  <c r="J863" i="1" s="1"/>
  <c r="I857" i="1"/>
  <c r="E857" i="1"/>
  <c r="M857" i="1" s="1"/>
  <c r="I856" i="1"/>
  <c r="E856" i="1"/>
  <c r="P856" i="1" s="1"/>
  <c r="I855" i="1"/>
  <c r="E855" i="1"/>
  <c r="H852" i="1"/>
  <c r="I852" i="1"/>
  <c r="E852" i="1"/>
  <c r="H847" i="1"/>
  <c r="H846" i="1"/>
  <c r="I849" i="1"/>
  <c r="J849" i="1" s="1"/>
  <c r="E849" i="1"/>
  <c r="I848" i="1"/>
  <c r="J848" i="1" s="1"/>
  <c r="E848" i="1"/>
  <c r="I847" i="1"/>
  <c r="E847" i="1"/>
  <c r="M847" i="1" s="1"/>
  <c r="I846" i="1"/>
  <c r="E846" i="1"/>
  <c r="M846" i="1" s="1"/>
  <c r="I844" i="1"/>
  <c r="E844" i="1"/>
  <c r="I843" i="1"/>
  <c r="E843" i="1"/>
  <c r="M843" i="1" s="1"/>
  <c r="I842" i="1"/>
  <c r="E842" i="1"/>
  <c r="M842" i="1" s="1"/>
  <c r="I841" i="1"/>
  <c r="E841" i="1"/>
  <c r="M841" i="1" s="1"/>
  <c r="I840" i="1"/>
  <c r="E840" i="1"/>
  <c r="M840" i="1" s="1"/>
  <c r="I839" i="1"/>
  <c r="G844" i="1"/>
  <c r="E839" i="1"/>
  <c r="M839" i="1" s="1"/>
  <c r="H838" i="1"/>
  <c r="H844" i="1" s="1"/>
  <c r="I837" i="1"/>
  <c r="E837" i="1"/>
  <c r="I835" i="1"/>
  <c r="H835" i="1"/>
  <c r="E835" i="1"/>
  <c r="M835" i="1" s="1"/>
  <c r="I834" i="1"/>
  <c r="H834" i="1"/>
  <c r="E834" i="1"/>
  <c r="N834" i="1" s="1"/>
  <c r="I833" i="1"/>
  <c r="H833" i="1"/>
  <c r="E833" i="1"/>
  <c r="P833" i="1" s="1"/>
  <c r="I832" i="1"/>
  <c r="H832" i="1"/>
  <c r="E832" i="1"/>
  <c r="N832" i="1" s="1"/>
  <c r="I830" i="1"/>
  <c r="H830" i="1"/>
  <c r="E830" i="1"/>
  <c r="N830" i="1" s="1"/>
  <c r="I829" i="1"/>
  <c r="H829" i="1"/>
  <c r="E829" i="1"/>
  <c r="M829" i="1" s="1"/>
  <c r="I828" i="1"/>
  <c r="H828" i="1"/>
  <c r="E828" i="1"/>
  <c r="P828" i="1" s="1"/>
  <c r="G821" i="1"/>
  <c r="H821" i="1"/>
  <c r="G822" i="1"/>
  <c r="I822" i="1"/>
  <c r="E822" i="1"/>
  <c r="H820" i="1"/>
  <c r="H819" i="1"/>
  <c r="H818" i="1"/>
  <c r="I823" i="1"/>
  <c r="E823" i="1"/>
  <c r="I821" i="1"/>
  <c r="E821" i="1"/>
  <c r="I820" i="1"/>
  <c r="E820" i="1"/>
  <c r="M820" i="1" s="1"/>
  <c r="I819" i="1"/>
  <c r="E819" i="1"/>
  <c r="M819" i="1" s="1"/>
  <c r="I818" i="1"/>
  <c r="E818" i="1"/>
  <c r="M818" i="1" s="1"/>
  <c r="H809" i="1"/>
  <c r="H808" i="1" s="1"/>
  <c r="H806" i="1"/>
  <c r="H805" i="1"/>
  <c r="H804" i="1"/>
  <c r="H803" i="1"/>
  <c r="H801" i="1"/>
  <c r="H800" i="1"/>
  <c r="H799" i="1"/>
  <c r="I815" i="1"/>
  <c r="E815" i="1"/>
  <c r="I814" i="1"/>
  <c r="E814" i="1"/>
  <c r="M814" i="1" s="1"/>
  <c r="I813" i="1"/>
  <c r="E813" i="1"/>
  <c r="M813" i="1" s="1"/>
  <c r="I812" i="1"/>
  <c r="E812" i="1"/>
  <c r="M812" i="1" s="1"/>
  <c r="I811" i="1"/>
  <c r="E811" i="1"/>
  <c r="M811" i="1" s="1"/>
  <c r="I810" i="1"/>
  <c r="G815" i="1"/>
  <c r="E810" i="1"/>
  <c r="M810" i="1" s="1"/>
  <c r="I808" i="1"/>
  <c r="E808" i="1"/>
  <c r="I806" i="1"/>
  <c r="E806" i="1"/>
  <c r="P806" i="1" s="1"/>
  <c r="I805" i="1"/>
  <c r="E805" i="1"/>
  <c r="P805" i="1" s="1"/>
  <c r="I804" i="1"/>
  <c r="E804" i="1"/>
  <c r="P804" i="1" s="1"/>
  <c r="I803" i="1"/>
  <c r="E803" i="1"/>
  <c r="N803" i="1" s="1"/>
  <c r="I801" i="1"/>
  <c r="E801" i="1"/>
  <c r="O801" i="1" s="1"/>
  <c r="I800" i="1"/>
  <c r="E800" i="1"/>
  <c r="M800" i="1" s="1"/>
  <c r="I799" i="1"/>
  <c r="E799" i="1"/>
  <c r="P799" i="1" s="1"/>
  <c r="H794" i="1"/>
  <c r="H787" i="1"/>
  <c r="I796" i="1"/>
  <c r="G796" i="1"/>
  <c r="E796" i="1"/>
  <c r="I795" i="1"/>
  <c r="G795" i="1"/>
  <c r="E795" i="1"/>
  <c r="M795" i="1" s="1"/>
  <c r="I794" i="1"/>
  <c r="E794" i="1"/>
  <c r="M794" i="1" s="1"/>
  <c r="I792" i="1"/>
  <c r="G792" i="1"/>
  <c r="E792" i="1"/>
  <c r="O792" i="1" s="1"/>
  <c r="I791" i="1"/>
  <c r="G791" i="1"/>
  <c r="E791" i="1"/>
  <c r="M791" i="1" s="1"/>
  <c r="I790" i="1"/>
  <c r="G790" i="1"/>
  <c r="E790" i="1"/>
  <c r="P790" i="1" s="1"/>
  <c r="I789" i="1"/>
  <c r="G789" i="1"/>
  <c r="E789" i="1"/>
  <c r="P789" i="1" s="1"/>
  <c r="I788" i="1"/>
  <c r="E788" i="1"/>
  <c r="P788" i="1" s="1"/>
  <c r="H780" i="1"/>
  <c r="H785" i="1" s="1"/>
  <c r="I785" i="1"/>
  <c r="G785" i="1"/>
  <c r="E785" i="1"/>
  <c r="I784" i="1"/>
  <c r="G784" i="1"/>
  <c r="E784" i="1"/>
  <c r="M784" i="1" s="1"/>
  <c r="I783" i="1"/>
  <c r="G783" i="1"/>
  <c r="E783" i="1"/>
  <c r="M783" i="1" s="1"/>
  <c r="I782" i="1"/>
  <c r="G782" i="1"/>
  <c r="E782" i="1"/>
  <c r="M782" i="1" s="1"/>
  <c r="I781" i="1"/>
  <c r="E781" i="1"/>
  <c r="P781" i="1" s="1"/>
  <c r="H778" i="1"/>
  <c r="H777" i="1"/>
  <c r="H776" i="1"/>
  <c r="H775" i="1"/>
  <c r="I778" i="1"/>
  <c r="G778" i="1"/>
  <c r="E778" i="1"/>
  <c r="M778" i="1" s="1"/>
  <c r="I777" i="1"/>
  <c r="G777" i="1"/>
  <c r="E777" i="1"/>
  <c r="I776" i="1"/>
  <c r="G776" i="1"/>
  <c r="E776" i="1"/>
  <c r="M776" i="1" s="1"/>
  <c r="I775" i="1"/>
  <c r="E775" i="1"/>
  <c r="P775" i="1" s="1"/>
  <c r="I771" i="1"/>
  <c r="H771" i="1"/>
  <c r="G771" i="1"/>
  <c r="E771" i="1"/>
  <c r="I770" i="1"/>
  <c r="H770" i="1"/>
  <c r="G770" i="1"/>
  <c r="E770" i="1"/>
  <c r="M770" i="1" s="1"/>
  <c r="I769" i="1"/>
  <c r="H769" i="1"/>
  <c r="E769" i="1"/>
  <c r="M769" i="1" s="1"/>
  <c r="I766" i="1"/>
  <c r="H766" i="1"/>
  <c r="E766" i="1"/>
  <c r="M766" i="1" s="1"/>
  <c r="M765" i="1" s="1"/>
  <c r="H762" i="1"/>
  <c r="H763" i="1" s="1"/>
  <c r="I763" i="1"/>
  <c r="E763" i="1"/>
  <c r="M763" i="1" s="1"/>
  <c r="I761" i="1"/>
  <c r="H761" i="1"/>
  <c r="E761" i="1"/>
  <c r="M761" i="1" s="1"/>
  <c r="H757" i="1"/>
  <c r="H759" i="1" s="1"/>
  <c r="H750" i="1"/>
  <c r="H755" i="1" s="1"/>
  <c r="I759" i="1"/>
  <c r="G759" i="1"/>
  <c r="E759" i="1"/>
  <c r="I758" i="1"/>
  <c r="G758" i="1"/>
  <c r="E758" i="1"/>
  <c r="M758" i="1" s="1"/>
  <c r="I757" i="1"/>
  <c r="E757" i="1"/>
  <c r="P757" i="1" s="1"/>
  <c r="I755" i="1"/>
  <c r="E755" i="1"/>
  <c r="O755" i="1" s="1"/>
  <c r="I754" i="1"/>
  <c r="E754" i="1"/>
  <c r="P754" i="1" s="1"/>
  <c r="I753" i="1"/>
  <c r="E753" i="1"/>
  <c r="P753" i="1" s="1"/>
  <c r="I752" i="1"/>
  <c r="E752" i="1"/>
  <c r="P752" i="1" s="1"/>
  <c r="I751" i="1"/>
  <c r="G755" i="1"/>
  <c r="E751" i="1"/>
  <c r="P751" i="1" s="1"/>
  <c r="H747" i="1"/>
  <c r="H746" i="1"/>
  <c r="I747" i="1"/>
  <c r="G747" i="1"/>
  <c r="E747" i="1"/>
  <c r="I746" i="1"/>
  <c r="E746" i="1"/>
  <c r="M746" i="1" s="1"/>
  <c r="H741" i="1"/>
  <c r="I744" i="1"/>
  <c r="H744" i="1"/>
  <c r="G744" i="1"/>
  <c r="E744" i="1"/>
  <c r="I743" i="1"/>
  <c r="H743" i="1"/>
  <c r="G743" i="1"/>
  <c r="E743" i="1"/>
  <c r="O743" i="1" s="1"/>
  <c r="I742" i="1"/>
  <c r="H742" i="1"/>
  <c r="E742" i="1"/>
  <c r="M742" i="1" s="1"/>
  <c r="I741" i="1"/>
  <c r="E741" i="1"/>
  <c r="O741" i="1" s="1"/>
  <c r="I737" i="1"/>
  <c r="E737" i="1"/>
  <c r="I736" i="1"/>
  <c r="E736" i="1"/>
  <c r="I735" i="1"/>
  <c r="E735" i="1"/>
  <c r="I732" i="1"/>
  <c r="E732" i="1"/>
  <c r="I731" i="1"/>
  <c r="E731" i="1"/>
  <c r="I734" i="1"/>
  <c r="E734" i="1"/>
  <c r="I733" i="1"/>
  <c r="E733" i="1"/>
  <c r="L761" i="1" l="1"/>
  <c r="L763" i="1"/>
  <c r="J819" i="1"/>
  <c r="N819" i="1" s="1"/>
  <c r="J913" i="1"/>
  <c r="Q914" i="1"/>
  <c r="J954" i="1"/>
  <c r="M954" i="1" s="1"/>
  <c r="M951" i="1" s="1"/>
  <c r="N913" i="1"/>
  <c r="J948" i="1"/>
  <c r="O948" i="1" s="1"/>
  <c r="J949" i="1"/>
  <c r="O949" i="1" s="1"/>
  <c r="J952" i="1"/>
  <c r="O952" i="1" s="1"/>
  <c r="O913" i="1"/>
  <c r="M913" i="1"/>
  <c r="Q915" i="1"/>
  <c r="P917" i="1"/>
  <c r="P913" i="1" s="1"/>
  <c r="Q916" i="1"/>
  <c r="K915" i="1"/>
  <c r="Q918" i="1"/>
  <c r="M891" i="1"/>
  <c r="H893" i="1"/>
  <c r="K893" i="1" s="1"/>
  <c r="L893" i="1" s="1"/>
  <c r="J947" i="1"/>
  <c r="M947" i="1" s="1"/>
  <c r="P944" i="1"/>
  <c r="J930" i="1"/>
  <c r="O930" i="1" s="1"/>
  <c r="J936" i="1"/>
  <c r="N936" i="1" s="1"/>
  <c r="K944" i="1"/>
  <c r="L944" i="1" s="1"/>
  <c r="J946" i="1"/>
  <c r="O946" i="1" s="1"/>
  <c r="J926" i="1"/>
  <c r="N926" i="1" s="1"/>
  <c r="J927" i="1"/>
  <c r="O927" i="1" s="1"/>
  <c r="J934" i="1"/>
  <c r="N934" i="1" s="1"/>
  <c r="M943" i="1"/>
  <c r="M945" i="1"/>
  <c r="N952" i="1"/>
  <c r="N953" i="1"/>
  <c r="N954" i="1"/>
  <c r="P945" i="1"/>
  <c r="K952" i="1"/>
  <c r="L952" i="1" s="1"/>
  <c r="G953" i="1"/>
  <c r="J953" i="1" s="1"/>
  <c r="O953" i="1" s="1"/>
  <c r="K954" i="1"/>
  <c r="L954" i="1" s="1"/>
  <c r="O954" i="1"/>
  <c r="J943" i="1"/>
  <c r="O943" i="1" s="1"/>
  <c r="O944" i="1"/>
  <c r="N946" i="1"/>
  <c r="P952" i="1"/>
  <c r="P953" i="1"/>
  <c r="P954" i="1"/>
  <c r="J942" i="1"/>
  <c r="N942" i="1" s="1"/>
  <c r="L945" i="1"/>
  <c r="J935" i="1"/>
  <c r="N935" i="1" s="1"/>
  <c r="J945" i="1"/>
  <c r="N945" i="1" s="1"/>
  <c r="M935" i="1"/>
  <c r="K942" i="1"/>
  <c r="O942" i="1"/>
  <c r="N947" i="1"/>
  <c r="N948" i="1"/>
  <c r="N949" i="1"/>
  <c r="P935" i="1"/>
  <c r="L942" i="1"/>
  <c r="P942" i="1"/>
  <c r="K946" i="1"/>
  <c r="L946" i="1" s="1"/>
  <c r="K947" i="1"/>
  <c r="L947" i="1" s="1"/>
  <c r="O947" i="1"/>
  <c r="K948" i="1"/>
  <c r="L948" i="1" s="1"/>
  <c r="K949" i="1"/>
  <c r="L949" i="1" s="1"/>
  <c r="L934" i="1"/>
  <c r="J938" i="1"/>
  <c r="P938" i="1" s="1"/>
  <c r="M942" i="1"/>
  <c r="N943" i="1"/>
  <c r="J944" i="1"/>
  <c r="M944" i="1" s="1"/>
  <c r="K945" i="1"/>
  <c r="P946" i="1"/>
  <c r="P947" i="1"/>
  <c r="P948" i="1"/>
  <c r="P949" i="1"/>
  <c r="P934" i="1"/>
  <c r="L935" i="1"/>
  <c r="J937" i="1"/>
  <c r="N937" i="1" s="1"/>
  <c r="K943" i="1"/>
  <c r="L943" i="1" s="1"/>
  <c r="K935" i="1"/>
  <c r="L936" i="1"/>
  <c r="P936" i="1"/>
  <c r="M937" i="1"/>
  <c r="N938" i="1"/>
  <c r="K934" i="1"/>
  <c r="O934" i="1"/>
  <c r="M936" i="1"/>
  <c r="K938" i="1"/>
  <c r="L938" i="1" s="1"/>
  <c r="O938" i="1"/>
  <c r="K937" i="1"/>
  <c r="O937" i="1"/>
  <c r="K936" i="1"/>
  <c r="L937" i="1"/>
  <c r="G922" i="1"/>
  <c r="K922" i="1" s="1"/>
  <c r="L922" i="1" s="1"/>
  <c r="M926" i="1"/>
  <c r="N927" i="1"/>
  <c r="N928" i="1"/>
  <c r="N929" i="1"/>
  <c r="N930" i="1"/>
  <c r="K926" i="1"/>
  <c r="O926" i="1"/>
  <c r="K927" i="1"/>
  <c r="L927" i="1" s="1"/>
  <c r="G928" i="1"/>
  <c r="J928" i="1" s="1"/>
  <c r="O928" i="1" s="1"/>
  <c r="G929" i="1"/>
  <c r="J929" i="1" s="1"/>
  <c r="M929" i="1" s="1"/>
  <c r="O929" i="1"/>
  <c r="K930" i="1"/>
  <c r="L930" i="1" s="1"/>
  <c r="L926" i="1"/>
  <c r="P927" i="1"/>
  <c r="P928" i="1"/>
  <c r="P929" i="1"/>
  <c r="P930" i="1"/>
  <c r="J921" i="1"/>
  <c r="O921" i="1" s="1"/>
  <c r="N921" i="1"/>
  <c r="J923" i="1"/>
  <c r="M923" i="1" s="1"/>
  <c r="M920" i="1" s="1"/>
  <c r="K921" i="1"/>
  <c r="L921" i="1" s="1"/>
  <c r="K923" i="1"/>
  <c r="L923" i="1" s="1"/>
  <c r="O923" i="1"/>
  <c r="P921" i="1"/>
  <c r="P922" i="1"/>
  <c r="P923" i="1"/>
  <c r="N922" i="1"/>
  <c r="N923" i="1"/>
  <c r="J867" i="1"/>
  <c r="N867" i="1" s="1"/>
  <c r="J900" i="1"/>
  <c r="O900" i="1" s="1"/>
  <c r="M906" i="1"/>
  <c r="J874" i="1"/>
  <c r="O874" i="1" s="1"/>
  <c r="J875" i="1"/>
  <c r="M875" i="1" s="1"/>
  <c r="J889" i="1"/>
  <c r="P889" i="1" s="1"/>
  <c r="J910" i="1"/>
  <c r="M910" i="1" s="1"/>
  <c r="N906" i="1"/>
  <c r="N900" i="1"/>
  <c r="K896" i="1"/>
  <c r="J861" i="1"/>
  <c r="M861" i="1" s="1"/>
  <c r="M900" i="1"/>
  <c r="J901" i="1"/>
  <c r="J902" i="1"/>
  <c r="M902" i="1" s="1"/>
  <c r="J903" i="1"/>
  <c r="O903" i="1" s="1"/>
  <c r="N901" i="1"/>
  <c r="N902" i="1"/>
  <c r="N903" i="1"/>
  <c r="N907" i="1"/>
  <c r="N908" i="1"/>
  <c r="N909" i="1"/>
  <c r="N910" i="1"/>
  <c r="K900" i="1"/>
  <c r="L900" i="1" s="1"/>
  <c r="K901" i="1"/>
  <c r="L901" i="1" s="1"/>
  <c r="K902" i="1"/>
  <c r="L902" i="1" s="1"/>
  <c r="O902" i="1"/>
  <c r="K903" i="1"/>
  <c r="L903" i="1" s="1"/>
  <c r="K910" i="1"/>
  <c r="L910" i="1" s="1"/>
  <c r="O910" i="1"/>
  <c r="P901" i="1"/>
  <c r="P902" i="1"/>
  <c r="P903" i="1"/>
  <c r="H906" i="1"/>
  <c r="J906" i="1" s="1"/>
  <c r="O906" i="1" s="1"/>
  <c r="H907" i="1"/>
  <c r="J907" i="1" s="1"/>
  <c r="O907" i="1" s="1"/>
  <c r="P907" i="1"/>
  <c r="H908" i="1"/>
  <c r="J908" i="1" s="1"/>
  <c r="O908" i="1" s="1"/>
  <c r="P908" i="1"/>
  <c r="H909" i="1"/>
  <c r="J909" i="1" s="1"/>
  <c r="O909" i="1" s="1"/>
  <c r="P909" i="1"/>
  <c r="P910" i="1"/>
  <c r="N897" i="1"/>
  <c r="J897" i="1"/>
  <c r="P897" i="1" s="1"/>
  <c r="J896" i="1"/>
  <c r="O896" i="1"/>
  <c r="M896" i="1"/>
  <c r="M895" i="1" s="1"/>
  <c r="P896" i="1"/>
  <c r="K897" i="1"/>
  <c r="O897" i="1"/>
  <c r="K867" i="1"/>
  <c r="J829" i="1"/>
  <c r="O829" i="1" s="1"/>
  <c r="J862" i="1"/>
  <c r="M862" i="1" s="1"/>
  <c r="J885" i="1"/>
  <c r="O885" i="1" s="1"/>
  <c r="J892" i="1"/>
  <c r="N892" i="1"/>
  <c r="K892" i="1"/>
  <c r="O892" i="1"/>
  <c r="O891" i="1" s="1"/>
  <c r="P892" i="1"/>
  <c r="P891" i="1" s="1"/>
  <c r="M881" i="1"/>
  <c r="H883" i="1"/>
  <c r="J883" i="1" s="1"/>
  <c r="M883" i="1" s="1"/>
  <c r="N873" i="1"/>
  <c r="K873" i="1"/>
  <c r="O873" i="1"/>
  <c r="L873" i="1"/>
  <c r="P873" i="1"/>
  <c r="P860" i="1"/>
  <c r="M869" i="1"/>
  <c r="J871" i="1"/>
  <c r="O871" i="1" s="1"/>
  <c r="H879" i="1"/>
  <c r="J879" i="1" s="1"/>
  <c r="O879" i="1" s="1"/>
  <c r="P869" i="1"/>
  <c r="H881" i="1"/>
  <c r="O883" i="1"/>
  <c r="O861" i="1"/>
  <c r="J869" i="1"/>
  <c r="O869" i="1" s="1"/>
  <c r="O867" i="1"/>
  <c r="M867" i="1"/>
  <c r="P867" i="1"/>
  <c r="M871" i="1"/>
  <c r="M879" i="1"/>
  <c r="P882" i="1"/>
  <c r="J870" i="1"/>
  <c r="M870" i="1" s="1"/>
  <c r="M874" i="1"/>
  <c r="M880" i="1"/>
  <c r="H882" i="1"/>
  <c r="P883" i="1"/>
  <c r="N874" i="1"/>
  <c r="N885" i="1"/>
  <c r="J868" i="1"/>
  <c r="N868" i="1" s="1"/>
  <c r="P870" i="1"/>
  <c r="J887" i="1"/>
  <c r="M887" i="1" s="1"/>
  <c r="P885" i="1"/>
  <c r="M886" i="1"/>
  <c r="N889" i="1"/>
  <c r="K868" i="1"/>
  <c r="O868" i="1"/>
  <c r="L868" i="1"/>
  <c r="P868" i="1"/>
  <c r="N875" i="1"/>
  <c r="N886" i="1"/>
  <c r="N887" i="1"/>
  <c r="K889" i="1"/>
  <c r="L889" i="1" s="1"/>
  <c r="O889" i="1"/>
  <c r="K858" i="1"/>
  <c r="L858" i="1" s="1"/>
  <c r="M868" i="1"/>
  <c r="N870" i="1"/>
  <c r="N871" i="1"/>
  <c r="K874" i="1"/>
  <c r="L874" i="1" s="1"/>
  <c r="K875" i="1"/>
  <c r="L875" i="1" s="1"/>
  <c r="O875" i="1"/>
  <c r="N879" i="1"/>
  <c r="N880" i="1"/>
  <c r="N881" i="1"/>
  <c r="N882" i="1"/>
  <c r="K885" i="1"/>
  <c r="L885" i="1" s="1"/>
  <c r="K887" i="1"/>
  <c r="L887" i="1" s="1"/>
  <c r="O887" i="1"/>
  <c r="P861" i="1"/>
  <c r="K869" i="1"/>
  <c r="L869" i="1" s="1"/>
  <c r="K870" i="1"/>
  <c r="L870" i="1" s="1"/>
  <c r="K871" i="1"/>
  <c r="L871" i="1" s="1"/>
  <c r="G880" i="1"/>
  <c r="J880" i="1" s="1"/>
  <c r="O880" i="1" s="1"/>
  <c r="G881" i="1"/>
  <c r="G882" i="1"/>
  <c r="H886" i="1"/>
  <c r="J886" i="1" s="1"/>
  <c r="O886" i="1" s="1"/>
  <c r="J858" i="1"/>
  <c r="O858" i="1" s="1"/>
  <c r="P858" i="1"/>
  <c r="P862" i="1"/>
  <c r="N862" i="1"/>
  <c r="J860" i="1"/>
  <c r="O860" i="1" s="1"/>
  <c r="K860" i="1"/>
  <c r="L860" i="1" s="1"/>
  <c r="J857" i="1"/>
  <c r="O857" i="1" s="1"/>
  <c r="O863" i="1"/>
  <c r="O862" i="1"/>
  <c r="O859" i="1"/>
  <c r="P863" i="1"/>
  <c r="K863" i="1"/>
  <c r="L863" i="1" s="1"/>
  <c r="M863" i="1"/>
  <c r="K862" i="1"/>
  <c r="L862" i="1" s="1"/>
  <c r="K861" i="1"/>
  <c r="L861" i="1" s="1"/>
  <c r="P859" i="1"/>
  <c r="K859" i="1"/>
  <c r="L859" i="1" s="1"/>
  <c r="N859" i="1"/>
  <c r="M833" i="1"/>
  <c r="P834" i="1"/>
  <c r="J855" i="1"/>
  <c r="N857" i="1"/>
  <c r="K857" i="1"/>
  <c r="L857" i="1" s="1"/>
  <c r="M856" i="1"/>
  <c r="J856" i="1"/>
  <c r="O856" i="1" s="1"/>
  <c r="P855" i="1"/>
  <c r="M855" i="1"/>
  <c r="N856" i="1"/>
  <c r="P857" i="1"/>
  <c r="N855" i="1"/>
  <c r="K856" i="1"/>
  <c r="L856" i="1" s="1"/>
  <c r="K855" i="1"/>
  <c r="L855" i="1" s="1"/>
  <c r="J852" i="1"/>
  <c r="M852" i="1"/>
  <c r="M851" i="1" s="1"/>
  <c r="J808" i="1"/>
  <c r="N808" i="1" s="1"/>
  <c r="J820" i="1"/>
  <c r="O820" i="1" s="1"/>
  <c r="K822" i="1"/>
  <c r="L822" i="1" s="1"/>
  <c r="H815" i="1"/>
  <c r="K815" i="1" s="1"/>
  <c r="L815" i="1" s="1"/>
  <c r="J822" i="1"/>
  <c r="M822" i="1" s="1"/>
  <c r="N852" i="1"/>
  <c r="N851" i="1" s="1"/>
  <c r="K852" i="1"/>
  <c r="L852" i="1" s="1"/>
  <c r="L851" i="1" s="1"/>
  <c r="C114" i="5" s="1"/>
  <c r="O852" i="1"/>
  <c r="O851" i="1" s="1"/>
  <c r="J828" i="1"/>
  <c r="O828" i="1" s="1"/>
  <c r="J835" i="1"/>
  <c r="O835" i="1" s="1"/>
  <c r="J847" i="1"/>
  <c r="N847" i="1" s="1"/>
  <c r="J846" i="1"/>
  <c r="M848" i="1"/>
  <c r="M849" i="1"/>
  <c r="N829" i="1"/>
  <c r="N846" i="1"/>
  <c r="N848" i="1"/>
  <c r="N849" i="1"/>
  <c r="P829" i="1"/>
  <c r="M834" i="1"/>
  <c r="K846" i="1"/>
  <c r="O846" i="1"/>
  <c r="K847" i="1"/>
  <c r="O847" i="1"/>
  <c r="K848" i="1"/>
  <c r="L848" i="1" s="1"/>
  <c r="O848" i="1"/>
  <c r="K849" i="1"/>
  <c r="L849" i="1" s="1"/>
  <c r="O849" i="1"/>
  <c r="M828" i="1"/>
  <c r="J833" i="1"/>
  <c r="O833" i="1" s="1"/>
  <c r="L846" i="1"/>
  <c r="P846" i="1"/>
  <c r="L847" i="1"/>
  <c r="P847" i="1"/>
  <c r="P848" i="1"/>
  <c r="P849" i="1"/>
  <c r="J830" i="1"/>
  <c r="M830" i="1" s="1"/>
  <c r="J832" i="1"/>
  <c r="O832" i="1" s="1"/>
  <c r="N835" i="1"/>
  <c r="H837" i="1"/>
  <c r="J837" i="1" s="1"/>
  <c r="N837" i="1" s="1"/>
  <c r="J834" i="1"/>
  <c r="O834" i="1" s="1"/>
  <c r="J844" i="1"/>
  <c r="M844" i="1" s="1"/>
  <c r="N840" i="1"/>
  <c r="N842" i="1"/>
  <c r="P822" i="1"/>
  <c r="K830" i="1"/>
  <c r="L830" i="1" s="1"/>
  <c r="O830" i="1"/>
  <c r="P832" i="1"/>
  <c r="K835" i="1"/>
  <c r="L835" i="1" s="1"/>
  <c r="L837" i="1"/>
  <c r="P837" i="1"/>
  <c r="G840" i="1"/>
  <c r="G841" i="1"/>
  <c r="G842" i="1"/>
  <c r="G843" i="1"/>
  <c r="K844" i="1"/>
  <c r="L844" i="1" s="1"/>
  <c r="O844" i="1"/>
  <c r="O837" i="1"/>
  <c r="N843" i="1"/>
  <c r="N844" i="1"/>
  <c r="O822" i="1"/>
  <c r="N828" i="1"/>
  <c r="K829" i="1"/>
  <c r="L829" i="1" s="1"/>
  <c r="P830" i="1"/>
  <c r="M832" i="1"/>
  <c r="N833" i="1"/>
  <c r="K834" i="1"/>
  <c r="L834" i="1" s="1"/>
  <c r="P835" i="1"/>
  <c r="M837" i="1"/>
  <c r="H839" i="1"/>
  <c r="J839" i="1" s="1"/>
  <c r="O839" i="1" s="1"/>
  <c r="P839" i="1"/>
  <c r="H840" i="1"/>
  <c r="J840" i="1" s="1"/>
  <c r="O840" i="1" s="1"/>
  <c r="P840" i="1"/>
  <c r="H841" i="1"/>
  <c r="P841" i="1"/>
  <c r="H842" i="1"/>
  <c r="P842" i="1"/>
  <c r="H843" i="1"/>
  <c r="P843" i="1"/>
  <c r="P844" i="1"/>
  <c r="K832" i="1"/>
  <c r="L832" i="1" s="1"/>
  <c r="N839" i="1"/>
  <c r="N841" i="1"/>
  <c r="K828" i="1"/>
  <c r="L828" i="1" s="1"/>
  <c r="K833" i="1"/>
  <c r="L833" i="1" s="1"/>
  <c r="N822" i="1"/>
  <c r="J823" i="1"/>
  <c r="M823" i="1" s="1"/>
  <c r="J821" i="1"/>
  <c r="M821" i="1" s="1"/>
  <c r="J818" i="1"/>
  <c r="N820" i="1"/>
  <c r="N821" i="1"/>
  <c r="N823" i="1"/>
  <c r="K818" i="1"/>
  <c r="L818" i="1" s="1"/>
  <c r="O818" i="1"/>
  <c r="K819" i="1"/>
  <c r="O819" i="1"/>
  <c r="K820" i="1"/>
  <c r="L820" i="1" s="1"/>
  <c r="L817" i="1" s="1"/>
  <c r="C112" i="5" s="1"/>
  <c r="K821" i="1"/>
  <c r="L821" i="1" s="1"/>
  <c r="O821" i="1"/>
  <c r="K823" i="1"/>
  <c r="L823" i="1" s="1"/>
  <c r="O823" i="1"/>
  <c r="P818" i="1"/>
  <c r="L819" i="1"/>
  <c r="P819" i="1"/>
  <c r="P820" i="1"/>
  <c r="P821" i="1"/>
  <c r="P823" i="1"/>
  <c r="M805" i="1"/>
  <c r="P801" i="1"/>
  <c r="J803" i="1"/>
  <c r="O803" i="1" s="1"/>
  <c r="J806" i="1"/>
  <c r="O806" i="1" s="1"/>
  <c r="J801" i="1"/>
  <c r="M801" i="1" s="1"/>
  <c r="P800" i="1"/>
  <c r="J804" i="1"/>
  <c r="J805" i="1"/>
  <c r="M806" i="1"/>
  <c r="P792" i="1"/>
  <c r="J799" i="1"/>
  <c r="O799" i="1" s="1"/>
  <c r="J800" i="1"/>
  <c r="O800" i="1" s="1"/>
  <c r="N801" i="1"/>
  <c r="N806" i="1"/>
  <c r="O804" i="1"/>
  <c r="O805" i="1"/>
  <c r="K803" i="1"/>
  <c r="L803" i="1" s="1"/>
  <c r="O808" i="1"/>
  <c r="N810" i="1"/>
  <c r="N811" i="1"/>
  <c r="N812" i="1"/>
  <c r="N813" i="1"/>
  <c r="N814" i="1"/>
  <c r="N815" i="1"/>
  <c r="M799" i="1"/>
  <c r="N800" i="1"/>
  <c r="K801" i="1"/>
  <c r="L801" i="1" s="1"/>
  <c r="P803" i="1"/>
  <c r="M804" i="1"/>
  <c r="N805" i="1"/>
  <c r="K806" i="1"/>
  <c r="L806" i="1" s="1"/>
  <c r="L808" i="1"/>
  <c r="P808" i="1"/>
  <c r="G811" i="1"/>
  <c r="G812" i="1"/>
  <c r="G813" i="1"/>
  <c r="G814" i="1"/>
  <c r="O815" i="1"/>
  <c r="M788" i="1"/>
  <c r="N799" i="1"/>
  <c r="K800" i="1"/>
  <c r="L800" i="1" s="1"/>
  <c r="M803" i="1"/>
  <c r="N804" i="1"/>
  <c r="K805" i="1"/>
  <c r="L805" i="1" s="1"/>
  <c r="M808" i="1"/>
  <c r="H810" i="1"/>
  <c r="J810" i="1" s="1"/>
  <c r="O810" i="1" s="1"/>
  <c r="P810" i="1"/>
  <c r="H811" i="1"/>
  <c r="P811" i="1"/>
  <c r="H812" i="1"/>
  <c r="P812" i="1"/>
  <c r="H813" i="1"/>
  <c r="P813" i="1"/>
  <c r="H814" i="1"/>
  <c r="P814" i="1"/>
  <c r="P815" i="1"/>
  <c r="N788" i="1"/>
  <c r="K799" i="1"/>
  <c r="L799" i="1" s="1"/>
  <c r="K804" i="1"/>
  <c r="L804" i="1" s="1"/>
  <c r="J766" i="1"/>
  <c r="P791" i="1"/>
  <c r="J775" i="1"/>
  <c r="O775" i="1" s="1"/>
  <c r="J785" i="1"/>
  <c r="M785" i="1" s="1"/>
  <c r="M789" i="1"/>
  <c r="M790" i="1"/>
  <c r="N794" i="1"/>
  <c r="N795" i="1"/>
  <c r="N796" i="1"/>
  <c r="N789" i="1"/>
  <c r="N790" i="1"/>
  <c r="N791" i="1"/>
  <c r="N792" i="1"/>
  <c r="O796" i="1"/>
  <c r="M781" i="1"/>
  <c r="P794" i="1"/>
  <c r="P795" i="1"/>
  <c r="P796" i="1"/>
  <c r="N781" i="1"/>
  <c r="N782" i="1"/>
  <c r="N783" i="1"/>
  <c r="N784" i="1"/>
  <c r="N785" i="1"/>
  <c r="K785" i="1"/>
  <c r="L785" i="1" s="1"/>
  <c r="O785" i="1"/>
  <c r="H781" i="1"/>
  <c r="J781" i="1" s="1"/>
  <c r="O781" i="1" s="1"/>
  <c r="H782" i="1"/>
  <c r="J782" i="1" s="1"/>
  <c r="O782" i="1" s="1"/>
  <c r="P782" i="1"/>
  <c r="H783" i="1"/>
  <c r="J783" i="1" s="1"/>
  <c r="O783" i="1" s="1"/>
  <c r="P783" i="1"/>
  <c r="H784" i="1"/>
  <c r="J784" i="1" s="1"/>
  <c r="O784" i="1" s="1"/>
  <c r="P784" i="1"/>
  <c r="P785" i="1"/>
  <c r="M775" i="1"/>
  <c r="J777" i="1"/>
  <c r="M777" i="1" s="1"/>
  <c r="J776" i="1"/>
  <c r="O776" i="1" s="1"/>
  <c r="N775" i="1"/>
  <c r="J778" i="1"/>
  <c r="O778" i="1" s="1"/>
  <c r="N776" i="1"/>
  <c r="N777" i="1"/>
  <c r="N778" i="1"/>
  <c r="K775" i="1"/>
  <c r="L775" i="1" s="1"/>
  <c r="K776" i="1"/>
  <c r="L776" i="1" s="1"/>
  <c r="K777" i="1"/>
  <c r="L777" i="1" s="1"/>
  <c r="O777" i="1"/>
  <c r="K778" i="1"/>
  <c r="L778" i="1" s="1"/>
  <c r="P776" i="1"/>
  <c r="P777" i="1"/>
  <c r="P778" i="1"/>
  <c r="J769" i="1"/>
  <c r="J770" i="1"/>
  <c r="O770" i="1" s="1"/>
  <c r="J771" i="1"/>
  <c r="M771" i="1" s="1"/>
  <c r="M768" i="1" s="1"/>
  <c r="N769" i="1"/>
  <c r="K769" i="1"/>
  <c r="L769" i="1" s="1"/>
  <c r="K770" i="1"/>
  <c r="L770" i="1" s="1"/>
  <c r="K771" i="1"/>
  <c r="L771" i="1" s="1"/>
  <c r="O771" i="1"/>
  <c r="N770" i="1"/>
  <c r="N771" i="1"/>
  <c r="P769" i="1"/>
  <c r="P770" i="1"/>
  <c r="P771" i="1"/>
  <c r="N766" i="1"/>
  <c r="N765" i="1" s="1"/>
  <c r="K766" i="1"/>
  <c r="O766" i="1"/>
  <c r="O765" i="1" s="1"/>
  <c r="J759" i="1"/>
  <c r="M759" i="1" s="1"/>
  <c r="J763" i="1"/>
  <c r="P763" i="1" s="1"/>
  <c r="J761" i="1"/>
  <c r="P761" i="1" s="1"/>
  <c r="M757" i="1"/>
  <c r="N761" i="1"/>
  <c r="N763" i="1"/>
  <c r="K763" i="1"/>
  <c r="O763" i="1"/>
  <c r="K761" i="1"/>
  <c r="O761" i="1"/>
  <c r="M752" i="1"/>
  <c r="M751" i="1"/>
  <c r="M754" i="1"/>
  <c r="P755" i="1"/>
  <c r="M753" i="1"/>
  <c r="N757" i="1"/>
  <c r="J757" i="1"/>
  <c r="O757" i="1" s="1"/>
  <c r="J755" i="1"/>
  <c r="M755" i="1" s="1"/>
  <c r="N758" i="1"/>
  <c r="N759" i="1"/>
  <c r="N751" i="1"/>
  <c r="N752" i="1"/>
  <c r="N753" i="1"/>
  <c r="N754" i="1"/>
  <c r="N755" i="1"/>
  <c r="K757" i="1"/>
  <c r="L757" i="1" s="1"/>
  <c r="K759" i="1"/>
  <c r="L759" i="1" s="1"/>
  <c r="O759" i="1"/>
  <c r="G752" i="1"/>
  <c r="G753" i="1"/>
  <c r="G754" i="1"/>
  <c r="K755" i="1"/>
  <c r="L755" i="1" s="1"/>
  <c r="H758" i="1"/>
  <c r="J758" i="1" s="1"/>
  <c r="O758" i="1" s="1"/>
  <c r="P758" i="1"/>
  <c r="P759" i="1"/>
  <c r="H751" i="1"/>
  <c r="J751" i="1" s="1"/>
  <c r="H752" i="1"/>
  <c r="J752" i="1" s="1"/>
  <c r="O752" i="1" s="1"/>
  <c r="H753" i="1"/>
  <c r="H754" i="1"/>
  <c r="J746" i="1"/>
  <c r="O746" i="1" s="1"/>
  <c r="J747" i="1"/>
  <c r="M747" i="1" s="1"/>
  <c r="N746" i="1"/>
  <c r="N747" i="1"/>
  <c r="K746" i="1"/>
  <c r="L746" i="1" s="1"/>
  <c r="K747" i="1"/>
  <c r="L747" i="1" s="1"/>
  <c r="O747" i="1"/>
  <c r="P746" i="1"/>
  <c r="P747" i="1"/>
  <c r="L741" i="1"/>
  <c r="P741" i="1"/>
  <c r="M744" i="1"/>
  <c r="N742" i="1"/>
  <c r="J743" i="1"/>
  <c r="M743" i="1" s="1"/>
  <c r="P744" i="1"/>
  <c r="P743" i="1"/>
  <c r="J742" i="1"/>
  <c r="O742" i="1" s="1"/>
  <c r="P742" i="1"/>
  <c r="J744" i="1"/>
  <c r="O744" i="1" s="1"/>
  <c r="J741" i="1"/>
  <c r="N741" i="1" s="1"/>
  <c r="M741" i="1"/>
  <c r="N743" i="1"/>
  <c r="N744" i="1"/>
  <c r="K742" i="1"/>
  <c r="L742" i="1" s="1"/>
  <c r="K743" i="1"/>
  <c r="L743" i="1" s="1"/>
  <c r="K744" i="1"/>
  <c r="L744" i="1" s="1"/>
  <c r="K741" i="1"/>
  <c r="J736" i="1"/>
  <c r="N736" i="1" s="1"/>
  <c r="J737" i="1"/>
  <c r="N737" i="1" s="1"/>
  <c r="J735" i="1"/>
  <c r="N735" i="1" s="1"/>
  <c r="K737" i="1"/>
  <c r="O737" i="1"/>
  <c r="L737" i="1"/>
  <c r="P737" i="1"/>
  <c r="M737" i="1"/>
  <c r="K736" i="1"/>
  <c r="L736" i="1"/>
  <c r="P736" i="1"/>
  <c r="M736" i="1"/>
  <c r="O736" i="1"/>
  <c r="K735" i="1"/>
  <c r="O735" i="1"/>
  <c r="L735" i="1"/>
  <c r="P735" i="1"/>
  <c r="M735" i="1"/>
  <c r="J732" i="1"/>
  <c r="N732" i="1" s="1"/>
  <c r="J731" i="1"/>
  <c r="K732" i="1"/>
  <c r="O732" i="1"/>
  <c r="L732" i="1"/>
  <c r="P732" i="1"/>
  <c r="M732" i="1"/>
  <c r="J734" i="1"/>
  <c r="N734" i="1" s="1"/>
  <c r="K731" i="1"/>
  <c r="O731" i="1"/>
  <c r="L731" i="1"/>
  <c r="P731" i="1"/>
  <c r="M731" i="1"/>
  <c r="J733" i="1"/>
  <c r="N733" i="1" s="1"/>
  <c r="K734" i="1"/>
  <c r="O734" i="1"/>
  <c r="L734" i="1"/>
  <c r="P734" i="1"/>
  <c r="M734" i="1"/>
  <c r="K733" i="1"/>
  <c r="O733" i="1"/>
  <c r="L733" i="1"/>
  <c r="P733" i="1"/>
  <c r="M733" i="1"/>
  <c r="H967" i="1"/>
  <c r="H964" i="1"/>
  <c r="H961" i="1"/>
  <c r="H958" i="1"/>
  <c r="G691" i="1"/>
  <c r="G690" i="1"/>
  <c r="H689" i="1"/>
  <c r="H691" i="1" s="1"/>
  <c r="G675" i="1"/>
  <c r="G667" i="1"/>
  <c r="G666" i="1"/>
  <c r="G665" i="1"/>
  <c r="H667" i="1"/>
  <c r="H666" i="1"/>
  <c r="H665" i="1"/>
  <c r="H664" i="1"/>
  <c r="H663" i="1"/>
  <c r="H662" i="1"/>
  <c r="H661" i="1"/>
  <c r="H656" i="1"/>
  <c r="H654" i="1"/>
  <c r="H655" i="1" s="1"/>
  <c r="H653" i="1"/>
  <c r="H648" i="1"/>
  <c r="H646" i="1"/>
  <c r="H647" i="1" s="1"/>
  <c r="H645" i="1"/>
  <c r="G641" i="1"/>
  <c r="H641" i="1"/>
  <c r="H640" i="1"/>
  <c r="H639" i="1"/>
  <c r="G636" i="1"/>
  <c r="H636" i="1"/>
  <c r="H635" i="1"/>
  <c r="H634" i="1"/>
  <c r="G631" i="1"/>
  <c r="H631" i="1"/>
  <c r="H630" i="1"/>
  <c r="H629" i="1"/>
  <c r="H626" i="1"/>
  <c r="H623" i="1"/>
  <c r="G623" i="1"/>
  <c r="H622" i="1"/>
  <c r="G622" i="1"/>
  <c r="H621" i="1"/>
  <c r="G621" i="1"/>
  <c r="H620" i="1"/>
  <c r="H619" i="1"/>
  <c r="H618" i="1"/>
  <c r="G618" i="1"/>
  <c r="H617" i="1"/>
  <c r="H616" i="1"/>
  <c r="H611" i="1"/>
  <c r="G611" i="1"/>
  <c r="H610" i="1"/>
  <c r="G610" i="1"/>
  <c r="H609" i="1"/>
  <c r="G609" i="1"/>
  <c r="H608" i="1"/>
  <c r="H607" i="1"/>
  <c r="H606" i="1"/>
  <c r="G606" i="1"/>
  <c r="H605" i="1"/>
  <c r="H604" i="1"/>
  <c r="H599" i="1"/>
  <c r="G599" i="1"/>
  <c r="H598" i="1"/>
  <c r="G598" i="1"/>
  <c r="H597" i="1"/>
  <c r="G597" i="1"/>
  <c r="H596" i="1"/>
  <c r="H595" i="1"/>
  <c r="H594" i="1"/>
  <c r="G594" i="1"/>
  <c r="H593" i="1"/>
  <c r="H592" i="1"/>
  <c r="H587" i="1"/>
  <c r="G587" i="1"/>
  <c r="H586" i="1"/>
  <c r="G586" i="1"/>
  <c r="H585" i="1"/>
  <c r="G585" i="1"/>
  <c r="H584" i="1"/>
  <c r="H583" i="1"/>
  <c r="H582" i="1"/>
  <c r="G582" i="1"/>
  <c r="H581" i="1"/>
  <c r="H580" i="1"/>
  <c r="G575" i="1"/>
  <c r="G574" i="1"/>
  <c r="G573" i="1"/>
  <c r="G570" i="1"/>
  <c r="H575" i="1"/>
  <c r="H574" i="1"/>
  <c r="H573" i="1"/>
  <c r="H572" i="1"/>
  <c r="H571" i="1"/>
  <c r="H570" i="1"/>
  <c r="H569" i="1"/>
  <c r="H568" i="1"/>
  <c r="H562" i="1"/>
  <c r="G562" i="1"/>
  <c r="H561" i="1"/>
  <c r="G561" i="1"/>
  <c r="H560" i="1"/>
  <c r="G560" i="1"/>
  <c r="H559" i="1"/>
  <c r="H558" i="1"/>
  <c r="H557" i="1"/>
  <c r="G557" i="1"/>
  <c r="H556" i="1"/>
  <c r="H555" i="1"/>
  <c r="H550" i="1"/>
  <c r="G550" i="1"/>
  <c r="H549" i="1"/>
  <c r="G549" i="1"/>
  <c r="H548" i="1"/>
  <c r="G548" i="1"/>
  <c r="H547" i="1"/>
  <c r="H546" i="1"/>
  <c r="H545" i="1"/>
  <c r="G545" i="1"/>
  <c r="H544" i="1"/>
  <c r="H543" i="1"/>
  <c r="H538" i="1"/>
  <c r="G538" i="1"/>
  <c r="H537" i="1"/>
  <c r="G537" i="1"/>
  <c r="H536" i="1"/>
  <c r="G536" i="1"/>
  <c r="H535" i="1"/>
  <c r="H534" i="1"/>
  <c r="H533" i="1"/>
  <c r="G533" i="1"/>
  <c r="H532" i="1"/>
  <c r="H531" i="1"/>
  <c r="H526" i="1"/>
  <c r="G526" i="1"/>
  <c r="H525" i="1"/>
  <c r="G525" i="1"/>
  <c r="H524" i="1"/>
  <c r="G524" i="1"/>
  <c r="H523" i="1"/>
  <c r="H522" i="1"/>
  <c r="H521" i="1"/>
  <c r="G521" i="1"/>
  <c r="H520" i="1"/>
  <c r="H519" i="1"/>
  <c r="H514" i="1"/>
  <c r="G514" i="1"/>
  <c r="H513" i="1"/>
  <c r="G513" i="1"/>
  <c r="H512" i="1"/>
  <c r="G512" i="1"/>
  <c r="H511" i="1"/>
  <c r="H510" i="1"/>
  <c r="H509" i="1"/>
  <c r="G509" i="1"/>
  <c r="H508" i="1"/>
  <c r="H507" i="1"/>
  <c r="H502" i="1"/>
  <c r="G502" i="1"/>
  <c r="H501" i="1"/>
  <c r="G501" i="1"/>
  <c r="H500" i="1"/>
  <c r="G500" i="1"/>
  <c r="H499" i="1"/>
  <c r="H498" i="1"/>
  <c r="H497" i="1"/>
  <c r="G497" i="1"/>
  <c r="H496" i="1"/>
  <c r="H495" i="1"/>
  <c r="H490" i="1"/>
  <c r="G490" i="1"/>
  <c r="H489" i="1"/>
  <c r="G489" i="1"/>
  <c r="H488" i="1"/>
  <c r="G488" i="1"/>
  <c r="H487" i="1"/>
  <c r="H486" i="1"/>
  <c r="H485" i="1"/>
  <c r="G485" i="1"/>
  <c r="H484" i="1"/>
  <c r="H483" i="1"/>
  <c r="H478" i="1"/>
  <c r="G478" i="1"/>
  <c r="H477" i="1"/>
  <c r="G477" i="1"/>
  <c r="H476" i="1"/>
  <c r="G476" i="1"/>
  <c r="H475" i="1"/>
  <c r="H474" i="1"/>
  <c r="H473" i="1"/>
  <c r="G473" i="1"/>
  <c r="H472" i="1"/>
  <c r="H471" i="1"/>
  <c r="H466" i="1"/>
  <c r="G466" i="1"/>
  <c r="H465" i="1"/>
  <c r="G465" i="1"/>
  <c r="H464" i="1"/>
  <c r="G464" i="1"/>
  <c r="H463" i="1"/>
  <c r="H462" i="1"/>
  <c r="H461" i="1"/>
  <c r="G461" i="1"/>
  <c r="H460" i="1"/>
  <c r="H459" i="1"/>
  <c r="G454" i="1"/>
  <c r="G453" i="1"/>
  <c r="G452" i="1"/>
  <c r="G449" i="1"/>
  <c r="H454" i="1"/>
  <c r="H453" i="1"/>
  <c r="H452" i="1"/>
  <c r="H451" i="1"/>
  <c r="H450" i="1"/>
  <c r="H449" i="1"/>
  <c r="H448" i="1"/>
  <c r="H447" i="1"/>
  <c r="H441" i="1"/>
  <c r="H440" i="1"/>
  <c r="H439" i="1"/>
  <c r="H438" i="1"/>
  <c r="H437" i="1"/>
  <c r="H433" i="1"/>
  <c r="H432" i="1"/>
  <c r="H431" i="1"/>
  <c r="H430" i="1"/>
  <c r="H429" i="1"/>
  <c r="H425" i="1"/>
  <c r="H424" i="1"/>
  <c r="H423" i="1"/>
  <c r="H422" i="1"/>
  <c r="H421" i="1"/>
  <c r="H417" i="1"/>
  <c r="H416" i="1"/>
  <c r="H415" i="1"/>
  <c r="H414" i="1"/>
  <c r="H413" i="1"/>
  <c r="H409" i="1"/>
  <c r="H408" i="1"/>
  <c r="H407" i="1"/>
  <c r="H406" i="1"/>
  <c r="H405" i="1"/>
  <c r="H401" i="1"/>
  <c r="H400" i="1"/>
  <c r="H399" i="1"/>
  <c r="H398" i="1"/>
  <c r="H397" i="1"/>
  <c r="H393" i="1"/>
  <c r="H392" i="1"/>
  <c r="H391" i="1"/>
  <c r="H390" i="1"/>
  <c r="H389" i="1"/>
  <c r="H385" i="1"/>
  <c r="H384" i="1"/>
  <c r="H383" i="1"/>
  <c r="H382" i="1"/>
  <c r="H381" i="1"/>
  <c r="H377" i="1"/>
  <c r="H376" i="1"/>
  <c r="H375" i="1"/>
  <c r="H374" i="1"/>
  <c r="H373" i="1"/>
  <c r="H369" i="1"/>
  <c r="H368" i="1"/>
  <c r="H367" i="1"/>
  <c r="H366" i="1"/>
  <c r="H365" i="1"/>
  <c r="H361" i="1"/>
  <c r="H360" i="1"/>
  <c r="H359" i="1"/>
  <c r="H358" i="1"/>
  <c r="H357" i="1"/>
  <c r="H353" i="1"/>
  <c r="H352" i="1"/>
  <c r="H351" i="1"/>
  <c r="H350" i="1"/>
  <c r="H349" i="1"/>
  <c r="H345" i="1"/>
  <c r="H344" i="1"/>
  <c r="H343" i="1"/>
  <c r="H342" i="1"/>
  <c r="H341" i="1"/>
  <c r="H337" i="1"/>
  <c r="H336" i="1"/>
  <c r="H335" i="1"/>
  <c r="H334" i="1"/>
  <c r="H333" i="1"/>
  <c r="H329" i="1"/>
  <c r="H328" i="1"/>
  <c r="H327" i="1"/>
  <c r="H326" i="1"/>
  <c r="H325" i="1"/>
  <c r="G319" i="1"/>
  <c r="G318" i="1"/>
  <c r="H319" i="1"/>
  <c r="H318" i="1"/>
  <c r="H317" i="1"/>
  <c r="H315" i="1"/>
  <c r="H314" i="1"/>
  <c r="G311" i="1"/>
  <c r="G310" i="1"/>
  <c r="H311" i="1"/>
  <c r="H310" i="1"/>
  <c r="H309" i="1"/>
  <c r="H307" i="1"/>
  <c r="H306" i="1"/>
  <c r="H303" i="1"/>
  <c r="G300" i="1"/>
  <c r="G299" i="1"/>
  <c r="H298" i="1"/>
  <c r="H299" i="1" s="1"/>
  <c r="H294" i="1"/>
  <c r="H293" i="1"/>
  <c r="H292" i="1"/>
  <c r="H291" i="1"/>
  <c r="H288" i="1"/>
  <c r="G285" i="1"/>
  <c r="G284" i="1"/>
  <c r="G283" i="1"/>
  <c r="G282" i="1"/>
  <c r="G243" i="1"/>
  <c r="G195" i="1"/>
  <c r="H214" i="1"/>
  <c r="H213" i="1"/>
  <c r="H212" i="1"/>
  <c r="H211" i="1"/>
  <c r="H210" i="1"/>
  <c r="H228" i="1"/>
  <c r="H206" i="1"/>
  <c r="L206" i="1" s="1"/>
  <c r="L205" i="1" s="1"/>
  <c r="C34" i="5" s="1"/>
  <c r="H202" i="1"/>
  <c r="H199" i="1"/>
  <c r="H196" i="1"/>
  <c r="H195" i="1"/>
  <c r="H194" i="1"/>
  <c r="H193" i="1"/>
  <c r="H190" i="1"/>
  <c r="H187" i="1"/>
  <c r="L186" i="1" s="1"/>
  <c r="C28" i="5" s="1"/>
  <c r="G181" i="1"/>
  <c r="G180" i="1"/>
  <c r="H184" i="1"/>
  <c r="H183" i="1"/>
  <c r="H179" i="1"/>
  <c r="H181" i="1" s="1"/>
  <c r="H177" i="1"/>
  <c r="H176" i="1"/>
  <c r="H175" i="1"/>
  <c r="H174" i="1"/>
  <c r="H168" i="1"/>
  <c r="H165" i="1"/>
  <c r="H153" i="1"/>
  <c r="H152" i="1" s="1"/>
  <c r="H150" i="1"/>
  <c r="H149" i="1"/>
  <c r="H148" i="1"/>
  <c r="H147" i="1"/>
  <c r="H145" i="1"/>
  <c r="H144" i="1"/>
  <c r="H143" i="1"/>
  <c r="G139" i="1"/>
  <c r="G138" i="1"/>
  <c r="H137" i="1"/>
  <c r="H139" i="1" s="1"/>
  <c r="G134" i="1"/>
  <c r="G133" i="1"/>
  <c r="G132" i="1"/>
  <c r="G131" i="1"/>
  <c r="G100" i="1"/>
  <c r="G99" i="1"/>
  <c r="G98" i="1"/>
  <c r="G125" i="1"/>
  <c r="G124" i="1"/>
  <c r="G123" i="1"/>
  <c r="G122" i="1"/>
  <c r="H116" i="1"/>
  <c r="H115" i="1"/>
  <c r="H114" i="1"/>
  <c r="H113" i="1"/>
  <c r="H112" i="1"/>
  <c r="H111" i="1"/>
  <c r="H110" i="1"/>
  <c r="H107" i="1"/>
  <c r="H103" i="1"/>
  <c r="H100" i="1"/>
  <c r="H99" i="1"/>
  <c r="H98" i="1"/>
  <c r="H97" i="1"/>
  <c r="H96" i="1"/>
  <c r="H95" i="1"/>
  <c r="H94" i="1"/>
  <c r="H89" i="1"/>
  <c r="H87" i="1"/>
  <c r="H88" i="1" s="1"/>
  <c r="H86" i="1"/>
  <c r="H81" i="1"/>
  <c r="H82" i="1" s="1"/>
  <c r="L932" i="1" l="1"/>
  <c r="C124" i="5" s="1"/>
  <c r="L854" i="1"/>
  <c r="C115" i="5" s="1"/>
  <c r="L768" i="1"/>
  <c r="C110" i="5" s="1"/>
  <c r="L920" i="1"/>
  <c r="C122" i="5" s="1"/>
  <c r="J753" i="1"/>
  <c r="O753" i="1" s="1"/>
  <c r="J893" i="1"/>
  <c r="N893" i="1" s="1"/>
  <c r="Q893" i="1" s="1"/>
  <c r="Q943" i="1"/>
  <c r="Q917" i="1"/>
  <c r="Q944" i="1"/>
  <c r="Q945" i="1"/>
  <c r="J951" i="1"/>
  <c r="P951" i="1"/>
  <c r="O951" i="1"/>
  <c r="Q952" i="1"/>
  <c r="N951" i="1"/>
  <c r="J922" i="1"/>
  <c r="O922" i="1" s="1"/>
  <c r="Q922" i="1" s="1"/>
  <c r="Q948" i="1"/>
  <c r="Q935" i="1"/>
  <c r="Q954" i="1"/>
  <c r="Q953" i="1"/>
  <c r="Q942" i="1"/>
  <c r="Q947" i="1"/>
  <c r="Q946" i="1"/>
  <c r="M932" i="1"/>
  <c r="N932" i="1"/>
  <c r="P932" i="1"/>
  <c r="K953" i="1"/>
  <c r="L953" i="1" s="1"/>
  <c r="L951" i="1" s="1"/>
  <c r="C125" i="5" s="1"/>
  <c r="Q934" i="1"/>
  <c r="O932" i="1"/>
  <c r="Q949" i="1"/>
  <c r="J932" i="1"/>
  <c r="Q938" i="1"/>
  <c r="Q936" i="1"/>
  <c r="Q937" i="1"/>
  <c r="P925" i="1"/>
  <c r="Q929" i="1"/>
  <c r="Q926" i="1"/>
  <c r="O925" i="1"/>
  <c r="J925" i="1"/>
  <c r="N925" i="1"/>
  <c r="M925" i="1"/>
  <c r="Q928" i="1"/>
  <c r="Q927" i="1"/>
  <c r="Q930" i="1"/>
  <c r="K929" i="1"/>
  <c r="L929" i="1" s="1"/>
  <c r="Q923" i="1"/>
  <c r="K928" i="1"/>
  <c r="L928" i="1" s="1"/>
  <c r="L925" i="1" s="1"/>
  <c r="C123" i="5" s="1"/>
  <c r="N920" i="1"/>
  <c r="Q921" i="1"/>
  <c r="P920" i="1"/>
  <c r="J812" i="1"/>
  <c r="O812" i="1" s="1"/>
  <c r="Q812" i="1" s="1"/>
  <c r="J815" i="1"/>
  <c r="M815" i="1" s="1"/>
  <c r="Q815" i="1" s="1"/>
  <c r="J843" i="1"/>
  <c r="O843" i="1" s="1"/>
  <c r="Q843" i="1" s="1"/>
  <c r="K883" i="1"/>
  <c r="L883" i="1" s="1"/>
  <c r="P899" i="1"/>
  <c r="J881" i="1"/>
  <c r="O881" i="1" s="1"/>
  <c r="Q881" i="1" s="1"/>
  <c r="J899" i="1"/>
  <c r="Q871" i="1"/>
  <c r="Q869" i="1"/>
  <c r="N899" i="1"/>
  <c r="Q861" i="1"/>
  <c r="O901" i="1"/>
  <c r="Q901" i="1" s="1"/>
  <c r="M899" i="1"/>
  <c r="Q906" i="1"/>
  <c r="J895" i="1"/>
  <c r="Q900" i="1"/>
  <c r="Q908" i="1"/>
  <c r="K907" i="1"/>
  <c r="L907" i="1" s="1"/>
  <c r="K906" i="1"/>
  <c r="L906" i="1" s="1"/>
  <c r="Q903" i="1"/>
  <c r="Q902" i="1"/>
  <c r="Q909" i="1"/>
  <c r="Q907" i="1"/>
  <c r="P895" i="1"/>
  <c r="Q910" i="1"/>
  <c r="K909" i="1"/>
  <c r="L909" i="1" s="1"/>
  <c r="O895" i="1"/>
  <c r="K908" i="1"/>
  <c r="L908" i="1" s="1"/>
  <c r="K879" i="1"/>
  <c r="L879" i="1" s="1"/>
  <c r="N896" i="1"/>
  <c r="N895" i="1" s="1"/>
  <c r="Q897" i="1"/>
  <c r="K837" i="1"/>
  <c r="Q883" i="1"/>
  <c r="Q879" i="1"/>
  <c r="K880" i="1"/>
  <c r="L880" i="1" s="1"/>
  <c r="K882" i="1"/>
  <c r="L882" i="1" s="1"/>
  <c r="Q873" i="1"/>
  <c r="Q892" i="1"/>
  <c r="P854" i="1"/>
  <c r="N865" i="1"/>
  <c r="P865" i="1"/>
  <c r="M865" i="1"/>
  <c r="N854" i="1"/>
  <c r="Q875" i="1"/>
  <c r="Q870" i="1"/>
  <c r="Q874" i="1"/>
  <c r="Q885" i="1"/>
  <c r="Q867" i="1"/>
  <c r="Q868" i="1"/>
  <c r="Q887" i="1"/>
  <c r="J882" i="1"/>
  <c r="O882" i="1" s="1"/>
  <c r="Q889" i="1"/>
  <c r="Q880" i="1"/>
  <c r="Q886" i="1"/>
  <c r="O855" i="1"/>
  <c r="O854" i="1" s="1"/>
  <c r="J854" i="1"/>
  <c r="Q862" i="1"/>
  <c r="M858" i="1"/>
  <c r="Q858" i="1" s="1"/>
  <c r="K881" i="1"/>
  <c r="L881" i="1" s="1"/>
  <c r="K886" i="1"/>
  <c r="L886" i="1" s="1"/>
  <c r="Q863" i="1"/>
  <c r="M860" i="1"/>
  <c r="Q860" i="1" s="1"/>
  <c r="Q859" i="1"/>
  <c r="Q834" i="1"/>
  <c r="Q856" i="1"/>
  <c r="Q781" i="1"/>
  <c r="Q857" i="1"/>
  <c r="P852" i="1"/>
  <c r="P851" i="1" s="1"/>
  <c r="J851" i="1"/>
  <c r="Q801" i="1"/>
  <c r="J842" i="1"/>
  <c r="O842" i="1" s="1"/>
  <c r="Q842" i="1" s="1"/>
  <c r="Q840" i="1"/>
  <c r="J841" i="1"/>
  <c r="O841" i="1" s="1"/>
  <c r="P825" i="1"/>
  <c r="Q833" i="1"/>
  <c r="Q828" i="1"/>
  <c r="N825" i="1"/>
  <c r="M825" i="1"/>
  <c r="Q829" i="1"/>
  <c r="Q830" i="1"/>
  <c r="Q848" i="1"/>
  <c r="Q846" i="1"/>
  <c r="Q849" i="1"/>
  <c r="Q847" i="1"/>
  <c r="O817" i="1"/>
  <c r="Q837" i="1"/>
  <c r="K843" i="1"/>
  <c r="L843" i="1" s="1"/>
  <c r="Q835" i="1"/>
  <c r="K839" i="1"/>
  <c r="L839" i="1" s="1"/>
  <c r="L825" i="1" s="1"/>
  <c r="C113" i="5" s="1"/>
  <c r="Q839" i="1"/>
  <c r="Q822" i="1"/>
  <c r="K840" i="1"/>
  <c r="L840" i="1" s="1"/>
  <c r="N818" i="1"/>
  <c r="N817" i="1" s="1"/>
  <c r="J817" i="1"/>
  <c r="K841" i="1"/>
  <c r="L841" i="1" s="1"/>
  <c r="Q844" i="1"/>
  <c r="P817" i="1"/>
  <c r="M817" i="1"/>
  <c r="Q832" i="1"/>
  <c r="K842" i="1"/>
  <c r="L842" i="1" s="1"/>
  <c r="Q823" i="1"/>
  <c r="Q821" i="1"/>
  <c r="Q819" i="1"/>
  <c r="Q820" i="1"/>
  <c r="O769" i="1"/>
  <c r="O768" i="1" s="1"/>
  <c r="J768" i="1"/>
  <c r="P768" i="1"/>
  <c r="N768" i="1"/>
  <c r="P766" i="1"/>
  <c r="P765" i="1" s="1"/>
  <c r="J765" i="1"/>
  <c r="Q805" i="1"/>
  <c r="P773" i="1"/>
  <c r="N773" i="1"/>
  <c r="J814" i="1"/>
  <c r="O814" i="1" s="1"/>
  <c r="Q814" i="1" s="1"/>
  <c r="K808" i="1"/>
  <c r="Q800" i="1"/>
  <c r="Q799" i="1"/>
  <c r="Q806" i="1"/>
  <c r="Q810" i="1"/>
  <c r="J811" i="1"/>
  <c r="O811" i="1" s="1"/>
  <c r="Q811" i="1" s="1"/>
  <c r="Q808" i="1"/>
  <c r="Q803" i="1"/>
  <c r="K811" i="1"/>
  <c r="L811" i="1" s="1"/>
  <c r="K812" i="1"/>
  <c r="L812" i="1" s="1"/>
  <c r="K814" i="1"/>
  <c r="L814" i="1" s="1"/>
  <c r="K810" i="1"/>
  <c r="L810" i="1" s="1"/>
  <c r="J813" i="1"/>
  <c r="O813" i="1" s="1"/>
  <c r="Q813" i="1" s="1"/>
  <c r="K813" i="1"/>
  <c r="L813" i="1" s="1"/>
  <c r="Q804" i="1"/>
  <c r="H796" i="1"/>
  <c r="H795" i="1"/>
  <c r="J794" i="1"/>
  <c r="O794" i="1" s="1"/>
  <c r="Q794" i="1" s="1"/>
  <c r="H792" i="1"/>
  <c r="H791" i="1"/>
  <c r="H790" i="1"/>
  <c r="H789" i="1"/>
  <c r="H788" i="1"/>
  <c r="K794" i="1"/>
  <c r="L794" i="1" s="1"/>
  <c r="Q784" i="1"/>
  <c r="Q783" i="1"/>
  <c r="Q782" i="1"/>
  <c r="K784" i="1"/>
  <c r="L784" i="1" s="1"/>
  <c r="K782" i="1"/>
  <c r="L782" i="1" s="1"/>
  <c r="K783" i="1"/>
  <c r="L783" i="1" s="1"/>
  <c r="K781" i="1"/>
  <c r="L781" i="1" s="1"/>
  <c r="Q785" i="1"/>
  <c r="Q775" i="1"/>
  <c r="Q778" i="1"/>
  <c r="Q777" i="1"/>
  <c r="Q776" i="1"/>
  <c r="Q770" i="1"/>
  <c r="Q771" i="1"/>
  <c r="Q761" i="1"/>
  <c r="M739" i="1"/>
  <c r="P739" i="1"/>
  <c r="N739" i="1"/>
  <c r="O751" i="1"/>
  <c r="Q751" i="1" s="1"/>
  <c r="Q757" i="1"/>
  <c r="Q763" i="1"/>
  <c r="Q758" i="1"/>
  <c r="J754" i="1"/>
  <c r="O754" i="1" s="1"/>
  <c r="Q754" i="1" s="1"/>
  <c r="K754" i="1"/>
  <c r="L754" i="1" s="1"/>
  <c r="Q759" i="1"/>
  <c r="Q753" i="1"/>
  <c r="Q752" i="1"/>
  <c r="K751" i="1"/>
  <c r="L751" i="1" s="1"/>
  <c r="K758" i="1"/>
  <c r="L758" i="1" s="1"/>
  <c r="K752" i="1"/>
  <c r="L752" i="1" s="1"/>
  <c r="Q755" i="1"/>
  <c r="K753" i="1"/>
  <c r="L753" i="1" s="1"/>
  <c r="Q747" i="1"/>
  <c r="Q746" i="1"/>
  <c r="Q742" i="1"/>
  <c r="Q743" i="1"/>
  <c r="Q744" i="1"/>
  <c r="M730" i="1"/>
  <c r="Q741" i="1"/>
  <c r="P730" i="1"/>
  <c r="O730" i="1"/>
  <c r="N731" i="1"/>
  <c r="N730" i="1" s="1"/>
  <c r="J730" i="1"/>
  <c r="Q736" i="1"/>
  <c r="Q737" i="1"/>
  <c r="Q735" i="1"/>
  <c r="G685" i="1"/>
  <c r="Q732" i="1"/>
  <c r="Q734" i="1"/>
  <c r="Q733" i="1"/>
  <c r="H300" i="1"/>
  <c r="G677" i="1"/>
  <c r="G686" i="1"/>
  <c r="G683" i="1"/>
  <c r="H138" i="1"/>
  <c r="H180" i="1"/>
  <c r="G674" i="1"/>
  <c r="G684" i="1"/>
  <c r="H690" i="1"/>
  <c r="G676" i="1"/>
  <c r="D306" i="2"/>
  <c r="G278" i="1"/>
  <c r="G277" i="1"/>
  <c r="G276" i="1"/>
  <c r="H278" i="1"/>
  <c r="H277" i="1"/>
  <c r="H276" i="1"/>
  <c r="H275" i="1"/>
  <c r="G272" i="1"/>
  <c r="G271" i="1"/>
  <c r="G270" i="1"/>
  <c r="H272" i="1"/>
  <c r="H271" i="1"/>
  <c r="H270" i="1"/>
  <c r="H269" i="1"/>
  <c r="G266" i="1"/>
  <c r="G265" i="1"/>
  <c r="H266" i="1"/>
  <c r="H265" i="1"/>
  <c r="H264" i="1"/>
  <c r="G261" i="1"/>
  <c r="G260" i="1"/>
  <c r="H261" i="1"/>
  <c r="H260" i="1"/>
  <c r="H259" i="1"/>
  <c r="H256" i="1"/>
  <c r="H255" i="1"/>
  <c r="H254" i="1"/>
  <c r="H253" i="1"/>
  <c r="H249" i="1"/>
  <c r="H248" i="1"/>
  <c r="H247" i="1"/>
  <c r="H246" i="1"/>
  <c r="H694" i="1"/>
  <c r="H697" i="1"/>
  <c r="H700" i="1"/>
  <c r="H703" i="1"/>
  <c r="H706" i="1"/>
  <c r="H711" i="1"/>
  <c r="H710" i="1"/>
  <c r="H709" i="1"/>
  <c r="H714" i="1"/>
  <c r="L713" i="1" s="1"/>
  <c r="C101" i="5" s="1"/>
  <c r="H721" i="1"/>
  <c r="H718" i="1"/>
  <c r="L718" i="1" s="1"/>
  <c r="L717" i="1" s="1"/>
  <c r="C103" i="5" s="1"/>
  <c r="H240" i="1"/>
  <c r="H241" i="1" s="1"/>
  <c r="H232" i="1"/>
  <c r="L232" i="1" s="1"/>
  <c r="L228" i="1"/>
  <c r="L227" i="1" s="1"/>
  <c r="C37" i="5" s="1"/>
  <c r="H225" i="1"/>
  <c r="H224" i="1"/>
  <c r="H223" i="1"/>
  <c r="L223" i="1" s="1"/>
  <c r="H222" i="1"/>
  <c r="H221" i="1"/>
  <c r="H220" i="1"/>
  <c r="H219" i="1"/>
  <c r="H218" i="1"/>
  <c r="H217" i="1"/>
  <c r="L224" i="1"/>
  <c r="G76" i="1"/>
  <c r="G75" i="1"/>
  <c r="G74" i="1"/>
  <c r="G73" i="1"/>
  <c r="G69" i="1"/>
  <c r="G68" i="1"/>
  <c r="G67" i="1"/>
  <c r="H69" i="1"/>
  <c r="H68" i="1"/>
  <c r="H67" i="1"/>
  <c r="H66" i="1"/>
  <c r="G63" i="1"/>
  <c r="G62" i="1"/>
  <c r="G61" i="1"/>
  <c r="H63" i="1"/>
  <c r="H62" i="1"/>
  <c r="H61" i="1"/>
  <c r="H60" i="1"/>
  <c r="G57" i="1"/>
  <c r="G56" i="1"/>
  <c r="H57" i="1"/>
  <c r="H56" i="1"/>
  <c r="H55" i="1"/>
  <c r="H52" i="1"/>
  <c r="H51" i="1"/>
  <c r="H50" i="1"/>
  <c r="H49" i="1"/>
  <c r="H48" i="1"/>
  <c r="H33" i="1"/>
  <c r="H34" i="1"/>
  <c r="G25" i="1"/>
  <c r="H43" i="1"/>
  <c r="H38" i="1"/>
  <c r="H37" i="1"/>
  <c r="H28" i="1"/>
  <c r="H25" i="1"/>
  <c r="H24" i="1"/>
  <c r="H23" i="1"/>
  <c r="H22" i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13" i="1"/>
  <c r="H12" i="1"/>
  <c r="H11" i="1"/>
  <c r="H10" i="1"/>
  <c r="H8" i="1"/>
  <c r="H9" i="1" s="1"/>
  <c r="H5" i="1"/>
  <c r="L369" i="1"/>
  <c r="I967" i="1"/>
  <c r="J967" i="1" s="1"/>
  <c r="J966" i="1" s="1"/>
  <c r="I964" i="1"/>
  <c r="J964" i="1" s="1"/>
  <c r="J963" i="1" s="1"/>
  <c r="I961" i="1"/>
  <c r="J961" i="1" s="1"/>
  <c r="J960" i="1" s="1"/>
  <c r="I958" i="1"/>
  <c r="J958" i="1" s="1"/>
  <c r="J957" i="1" s="1"/>
  <c r="I727" i="1"/>
  <c r="I724" i="1"/>
  <c r="I721" i="1"/>
  <c r="I718" i="1"/>
  <c r="I714" i="1"/>
  <c r="I711" i="1"/>
  <c r="I710" i="1"/>
  <c r="I709" i="1"/>
  <c r="I706" i="1"/>
  <c r="I703" i="1"/>
  <c r="I700" i="1"/>
  <c r="I697" i="1"/>
  <c r="I694" i="1"/>
  <c r="I691" i="1"/>
  <c r="J691" i="1" s="1"/>
  <c r="I690" i="1"/>
  <c r="I689" i="1"/>
  <c r="J689" i="1" s="1"/>
  <c r="I686" i="1"/>
  <c r="I685" i="1"/>
  <c r="I684" i="1"/>
  <c r="I683" i="1"/>
  <c r="I682" i="1"/>
  <c r="I677" i="1"/>
  <c r="I676" i="1"/>
  <c r="I675" i="1"/>
  <c r="I674" i="1"/>
  <c r="I673" i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57" i="1"/>
  <c r="J657" i="1" s="1"/>
  <c r="I656" i="1"/>
  <c r="J656" i="1" s="1"/>
  <c r="I655" i="1"/>
  <c r="J655" i="1" s="1"/>
  <c r="I654" i="1"/>
  <c r="J654" i="1" s="1"/>
  <c r="I653" i="1"/>
  <c r="J653" i="1" s="1"/>
  <c r="I649" i="1"/>
  <c r="J649" i="1" s="1"/>
  <c r="I648" i="1"/>
  <c r="J648" i="1" s="1"/>
  <c r="I647" i="1"/>
  <c r="J647" i="1" s="1"/>
  <c r="I646" i="1"/>
  <c r="J646" i="1" s="1"/>
  <c r="I645" i="1"/>
  <c r="J645" i="1" s="1"/>
  <c r="I641" i="1"/>
  <c r="J641" i="1" s="1"/>
  <c r="I640" i="1"/>
  <c r="J640" i="1" s="1"/>
  <c r="I639" i="1"/>
  <c r="J639" i="1" s="1"/>
  <c r="I636" i="1"/>
  <c r="J636" i="1" s="1"/>
  <c r="I635" i="1"/>
  <c r="J635" i="1" s="1"/>
  <c r="I634" i="1"/>
  <c r="J634" i="1" s="1"/>
  <c r="I631" i="1"/>
  <c r="J631" i="1" s="1"/>
  <c r="I630" i="1"/>
  <c r="J630" i="1" s="1"/>
  <c r="I629" i="1"/>
  <c r="J629" i="1" s="1"/>
  <c r="I626" i="1"/>
  <c r="J626" i="1" s="1"/>
  <c r="J625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1" i="1"/>
  <c r="J441" i="1" s="1"/>
  <c r="I440" i="1"/>
  <c r="J440" i="1" s="1"/>
  <c r="I439" i="1"/>
  <c r="J439" i="1" s="1"/>
  <c r="I438" i="1"/>
  <c r="J438" i="1" s="1"/>
  <c r="I437" i="1"/>
  <c r="J437" i="1" s="1"/>
  <c r="I433" i="1"/>
  <c r="J433" i="1" s="1"/>
  <c r="I432" i="1"/>
  <c r="J432" i="1" s="1"/>
  <c r="I431" i="1"/>
  <c r="J431" i="1" s="1"/>
  <c r="I430" i="1"/>
  <c r="J430" i="1" s="1"/>
  <c r="I429" i="1"/>
  <c r="J429" i="1" s="1"/>
  <c r="I425" i="1"/>
  <c r="J425" i="1" s="1"/>
  <c r="I424" i="1"/>
  <c r="J424" i="1" s="1"/>
  <c r="I423" i="1"/>
  <c r="J423" i="1" s="1"/>
  <c r="I422" i="1"/>
  <c r="J422" i="1" s="1"/>
  <c r="I421" i="1"/>
  <c r="J421" i="1" s="1"/>
  <c r="I417" i="1"/>
  <c r="J417" i="1" s="1"/>
  <c r="I416" i="1"/>
  <c r="J416" i="1" s="1"/>
  <c r="I415" i="1"/>
  <c r="J415" i="1" s="1"/>
  <c r="I414" i="1"/>
  <c r="J414" i="1" s="1"/>
  <c r="I413" i="1"/>
  <c r="J413" i="1" s="1"/>
  <c r="I409" i="1"/>
  <c r="J409" i="1" s="1"/>
  <c r="I408" i="1"/>
  <c r="I407" i="1"/>
  <c r="J407" i="1" s="1"/>
  <c r="I406" i="1"/>
  <c r="J406" i="1" s="1"/>
  <c r="I405" i="1"/>
  <c r="J405" i="1" s="1"/>
  <c r="I401" i="1"/>
  <c r="I400" i="1"/>
  <c r="J400" i="1" s="1"/>
  <c r="I399" i="1"/>
  <c r="J399" i="1" s="1"/>
  <c r="I398" i="1"/>
  <c r="J398" i="1" s="1"/>
  <c r="I397" i="1"/>
  <c r="I393" i="1"/>
  <c r="J393" i="1" s="1"/>
  <c r="I392" i="1"/>
  <c r="J392" i="1" s="1"/>
  <c r="I391" i="1"/>
  <c r="J391" i="1" s="1"/>
  <c r="I390" i="1"/>
  <c r="I389" i="1"/>
  <c r="J389" i="1" s="1"/>
  <c r="I385" i="1"/>
  <c r="J385" i="1" s="1"/>
  <c r="I384" i="1"/>
  <c r="J384" i="1" s="1"/>
  <c r="I383" i="1"/>
  <c r="I382" i="1"/>
  <c r="J382" i="1" s="1"/>
  <c r="I381" i="1"/>
  <c r="J381" i="1" s="1"/>
  <c r="I377" i="1"/>
  <c r="J377" i="1" s="1"/>
  <c r="I376" i="1"/>
  <c r="I375" i="1"/>
  <c r="J375" i="1" s="1"/>
  <c r="I374" i="1"/>
  <c r="J374" i="1" s="1"/>
  <c r="I373" i="1"/>
  <c r="J373" i="1" s="1"/>
  <c r="I369" i="1"/>
  <c r="I368" i="1"/>
  <c r="J368" i="1" s="1"/>
  <c r="I367" i="1"/>
  <c r="J367" i="1" s="1"/>
  <c r="I366" i="1"/>
  <c r="J366" i="1" s="1"/>
  <c r="I365" i="1"/>
  <c r="I361" i="1"/>
  <c r="J361" i="1" s="1"/>
  <c r="I360" i="1"/>
  <c r="J360" i="1" s="1"/>
  <c r="I359" i="1"/>
  <c r="J359" i="1" s="1"/>
  <c r="I358" i="1"/>
  <c r="I357" i="1"/>
  <c r="J357" i="1" s="1"/>
  <c r="I353" i="1"/>
  <c r="J353" i="1" s="1"/>
  <c r="I352" i="1"/>
  <c r="J352" i="1" s="1"/>
  <c r="I351" i="1"/>
  <c r="I350" i="1"/>
  <c r="J350" i="1" s="1"/>
  <c r="I349" i="1"/>
  <c r="J349" i="1" s="1"/>
  <c r="I345" i="1"/>
  <c r="J345" i="1" s="1"/>
  <c r="I344" i="1"/>
  <c r="I343" i="1"/>
  <c r="J343" i="1" s="1"/>
  <c r="I342" i="1"/>
  <c r="J342" i="1" s="1"/>
  <c r="I341" i="1"/>
  <c r="J341" i="1" s="1"/>
  <c r="I337" i="1"/>
  <c r="I336" i="1"/>
  <c r="J336" i="1" s="1"/>
  <c r="I335" i="1"/>
  <c r="J335" i="1" s="1"/>
  <c r="I334" i="1"/>
  <c r="J334" i="1" s="1"/>
  <c r="I333" i="1"/>
  <c r="I329" i="1"/>
  <c r="J329" i="1" s="1"/>
  <c r="I328" i="1"/>
  <c r="J328" i="1" s="1"/>
  <c r="I327" i="1"/>
  <c r="J327" i="1" s="1"/>
  <c r="I326" i="1"/>
  <c r="I325" i="1"/>
  <c r="J325" i="1" s="1"/>
  <c r="I319" i="1"/>
  <c r="J319" i="1" s="1"/>
  <c r="I318" i="1"/>
  <c r="J318" i="1" s="1"/>
  <c r="I317" i="1"/>
  <c r="I315" i="1"/>
  <c r="J315" i="1" s="1"/>
  <c r="I314" i="1"/>
  <c r="J314" i="1" s="1"/>
  <c r="I311" i="1"/>
  <c r="J311" i="1" s="1"/>
  <c r="I310" i="1"/>
  <c r="I309" i="1"/>
  <c r="J309" i="1" s="1"/>
  <c r="I307" i="1"/>
  <c r="J307" i="1" s="1"/>
  <c r="I306" i="1"/>
  <c r="J306" i="1" s="1"/>
  <c r="I303" i="1"/>
  <c r="I300" i="1"/>
  <c r="I299" i="1"/>
  <c r="J299" i="1" s="1"/>
  <c r="I298" i="1"/>
  <c r="J298" i="1" s="1"/>
  <c r="I294" i="1"/>
  <c r="I293" i="1"/>
  <c r="J293" i="1" s="1"/>
  <c r="I292" i="1"/>
  <c r="J292" i="1" s="1"/>
  <c r="I291" i="1"/>
  <c r="J291" i="1" s="1"/>
  <c r="I288" i="1"/>
  <c r="I285" i="1"/>
  <c r="I284" i="1"/>
  <c r="I283" i="1"/>
  <c r="I282" i="1"/>
  <c r="I281" i="1"/>
  <c r="I278" i="1"/>
  <c r="I277" i="1"/>
  <c r="I276" i="1"/>
  <c r="I275" i="1"/>
  <c r="I272" i="1"/>
  <c r="I271" i="1"/>
  <c r="I270" i="1"/>
  <c r="I269" i="1"/>
  <c r="I266" i="1"/>
  <c r="I265" i="1"/>
  <c r="I264" i="1"/>
  <c r="I261" i="1"/>
  <c r="I260" i="1"/>
  <c r="I259" i="1"/>
  <c r="I256" i="1"/>
  <c r="I255" i="1"/>
  <c r="I254" i="1"/>
  <c r="I253" i="1"/>
  <c r="I249" i="1"/>
  <c r="I248" i="1"/>
  <c r="I247" i="1"/>
  <c r="I246" i="1"/>
  <c r="I243" i="1"/>
  <c r="I242" i="1"/>
  <c r="I241" i="1"/>
  <c r="I240" i="1"/>
  <c r="I237" i="1"/>
  <c r="I234" i="1"/>
  <c r="I233" i="1"/>
  <c r="I232" i="1"/>
  <c r="I228" i="1"/>
  <c r="I225" i="1"/>
  <c r="I224" i="1"/>
  <c r="I223" i="1"/>
  <c r="I222" i="1"/>
  <c r="L222" i="1" s="1"/>
  <c r="I221" i="1"/>
  <c r="L221" i="1" s="1"/>
  <c r="I220" i="1"/>
  <c r="I219" i="1"/>
  <c r="I218" i="1"/>
  <c r="L218" i="1" s="1"/>
  <c r="I217" i="1"/>
  <c r="I214" i="1"/>
  <c r="J214" i="1" s="1"/>
  <c r="I213" i="1"/>
  <c r="J213" i="1" s="1"/>
  <c r="I212" i="1"/>
  <c r="J212" i="1" s="1"/>
  <c r="I211" i="1"/>
  <c r="J211" i="1" s="1"/>
  <c r="I210" i="1"/>
  <c r="J210" i="1" s="1"/>
  <c r="I206" i="1"/>
  <c r="J206" i="1" s="1"/>
  <c r="J205" i="1" s="1"/>
  <c r="I202" i="1"/>
  <c r="J202" i="1" s="1"/>
  <c r="J201" i="1" s="1"/>
  <c r="I199" i="1"/>
  <c r="J199" i="1" s="1"/>
  <c r="J198" i="1" s="1"/>
  <c r="I196" i="1"/>
  <c r="J196" i="1" s="1"/>
  <c r="I195" i="1"/>
  <c r="J195" i="1" s="1"/>
  <c r="I194" i="1"/>
  <c r="J194" i="1" s="1"/>
  <c r="I193" i="1"/>
  <c r="J193" i="1" s="1"/>
  <c r="I190" i="1"/>
  <c r="J190" i="1" s="1"/>
  <c r="J189" i="1" s="1"/>
  <c r="I187" i="1"/>
  <c r="J187" i="1" s="1"/>
  <c r="J186" i="1" s="1"/>
  <c r="I184" i="1"/>
  <c r="J184" i="1" s="1"/>
  <c r="I183" i="1"/>
  <c r="J183" i="1" s="1"/>
  <c r="I181" i="1"/>
  <c r="J181" i="1" s="1"/>
  <c r="I180" i="1"/>
  <c r="I179" i="1"/>
  <c r="I177" i="1"/>
  <c r="J177" i="1" s="1"/>
  <c r="I176" i="1"/>
  <c r="J176" i="1" s="1"/>
  <c r="I175" i="1"/>
  <c r="J175" i="1" s="1"/>
  <c r="I174" i="1"/>
  <c r="I168" i="1"/>
  <c r="J168" i="1" s="1"/>
  <c r="J167" i="1" s="1"/>
  <c r="I165" i="1"/>
  <c r="J165" i="1" s="1"/>
  <c r="J164" i="1" s="1"/>
  <c r="I159" i="1"/>
  <c r="I158" i="1"/>
  <c r="I157" i="1"/>
  <c r="I156" i="1"/>
  <c r="I155" i="1"/>
  <c r="I154" i="1"/>
  <c r="I152" i="1"/>
  <c r="J152" i="1" s="1"/>
  <c r="I150" i="1"/>
  <c r="J150" i="1" s="1"/>
  <c r="I149" i="1"/>
  <c r="J149" i="1" s="1"/>
  <c r="I148" i="1"/>
  <c r="J148" i="1" s="1"/>
  <c r="I147" i="1"/>
  <c r="J147" i="1" s="1"/>
  <c r="I145" i="1"/>
  <c r="J145" i="1" s="1"/>
  <c r="I144" i="1"/>
  <c r="J144" i="1" s="1"/>
  <c r="I143" i="1"/>
  <c r="J143" i="1" s="1"/>
  <c r="I139" i="1"/>
  <c r="J139" i="1" s="1"/>
  <c r="I138" i="1"/>
  <c r="I137" i="1"/>
  <c r="J137" i="1" s="1"/>
  <c r="I134" i="1"/>
  <c r="I133" i="1"/>
  <c r="I132" i="1"/>
  <c r="I131" i="1"/>
  <c r="I130" i="1"/>
  <c r="I125" i="1"/>
  <c r="I124" i="1"/>
  <c r="I123" i="1"/>
  <c r="I122" i="1"/>
  <c r="I121" i="1"/>
  <c r="I116" i="1"/>
  <c r="I115" i="1"/>
  <c r="I114" i="1"/>
  <c r="I113" i="1"/>
  <c r="I112" i="1"/>
  <c r="I111" i="1"/>
  <c r="I103" i="1"/>
  <c r="I107" i="1"/>
  <c r="J107" i="1" s="1"/>
  <c r="J106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0" i="1"/>
  <c r="J90" i="1" s="1"/>
  <c r="I89" i="1"/>
  <c r="J89" i="1" s="1"/>
  <c r="I88" i="1"/>
  <c r="J88" i="1" s="1"/>
  <c r="I87" i="1"/>
  <c r="J87" i="1" s="1"/>
  <c r="I86" i="1"/>
  <c r="J86" i="1" s="1"/>
  <c r="I82" i="1"/>
  <c r="J82" i="1" s="1"/>
  <c r="I81" i="1"/>
  <c r="J81" i="1" s="1"/>
  <c r="I76" i="1"/>
  <c r="I75" i="1"/>
  <c r="I74" i="1"/>
  <c r="I73" i="1"/>
  <c r="I72" i="1"/>
  <c r="I69" i="1"/>
  <c r="I68" i="1"/>
  <c r="I67" i="1"/>
  <c r="I66" i="1"/>
  <c r="J66" i="1" s="1"/>
  <c r="I63" i="1"/>
  <c r="I62" i="1"/>
  <c r="I61" i="1"/>
  <c r="I60" i="1"/>
  <c r="I57" i="1"/>
  <c r="I56" i="1"/>
  <c r="I55" i="1"/>
  <c r="I52" i="1"/>
  <c r="I51" i="1"/>
  <c r="I50" i="1"/>
  <c r="I49" i="1"/>
  <c r="I48" i="1"/>
  <c r="I44" i="1"/>
  <c r="I43" i="1"/>
  <c r="I42" i="1"/>
  <c r="I41" i="1"/>
  <c r="I38" i="1"/>
  <c r="I37" i="1"/>
  <c r="I34" i="1"/>
  <c r="I33" i="1"/>
  <c r="I28" i="1"/>
  <c r="I25" i="1"/>
  <c r="I24" i="1"/>
  <c r="I23" i="1"/>
  <c r="I22" i="1"/>
  <c r="I21" i="1"/>
  <c r="I20" i="1"/>
  <c r="I19" i="1"/>
  <c r="I18" i="1"/>
  <c r="I17" i="1"/>
  <c r="I16" i="1"/>
  <c r="I13" i="1"/>
  <c r="I12" i="1"/>
  <c r="I11" i="1"/>
  <c r="I10" i="1"/>
  <c r="I9" i="1"/>
  <c r="G9" i="1"/>
  <c r="E116" i="1"/>
  <c r="N116" i="1" s="1"/>
  <c r="E115" i="1"/>
  <c r="E114" i="1"/>
  <c r="P114" i="1" s="1"/>
  <c r="E113" i="1"/>
  <c r="M113" i="1" s="1"/>
  <c r="E112" i="1"/>
  <c r="N112" i="1" s="1"/>
  <c r="E111" i="1"/>
  <c r="H159" i="1"/>
  <c r="H158" i="1"/>
  <c r="H157" i="1"/>
  <c r="H156" i="1"/>
  <c r="H155" i="1"/>
  <c r="H154" i="1"/>
  <c r="E155" i="1"/>
  <c r="E156" i="1"/>
  <c r="E157" i="1"/>
  <c r="E158" i="1"/>
  <c r="E159" i="1"/>
  <c r="E154" i="1"/>
  <c r="I5" i="1"/>
  <c r="E967" i="1"/>
  <c r="E964" i="1"/>
  <c r="K964" i="1" s="1"/>
  <c r="E961" i="1"/>
  <c r="K961" i="1" s="1"/>
  <c r="E958" i="1"/>
  <c r="K958" i="1" s="1"/>
  <c r="E727" i="1"/>
  <c r="E724" i="1"/>
  <c r="E721" i="1"/>
  <c r="E718" i="1"/>
  <c r="E714" i="1"/>
  <c r="E711" i="1"/>
  <c r="E710" i="1"/>
  <c r="E709" i="1"/>
  <c r="E706" i="1"/>
  <c r="E703" i="1"/>
  <c r="E700" i="1"/>
  <c r="E697" i="1"/>
  <c r="E694" i="1"/>
  <c r="E691" i="1"/>
  <c r="E690" i="1"/>
  <c r="E689" i="1"/>
  <c r="E686" i="1"/>
  <c r="E685" i="1"/>
  <c r="E684" i="1"/>
  <c r="E683" i="1"/>
  <c r="E682" i="1"/>
  <c r="E677" i="1"/>
  <c r="E676" i="1"/>
  <c r="E675" i="1"/>
  <c r="E674" i="1"/>
  <c r="E673" i="1"/>
  <c r="E667" i="1"/>
  <c r="E666" i="1"/>
  <c r="E665" i="1"/>
  <c r="E664" i="1"/>
  <c r="E663" i="1"/>
  <c r="E662" i="1"/>
  <c r="E661" i="1"/>
  <c r="E657" i="1"/>
  <c r="E656" i="1"/>
  <c r="E655" i="1"/>
  <c r="E654" i="1"/>
  <c r="E653" i="1"/>
  <c r="E649" i="1"/>
  <c r="E648" i="1"/>
  <c r="E647" i="1"/>
  <c r="E646" i="1"/>
  <c r="E645" i="1"/>
  <c r="E641" i="1"/>
  <c r="E640" i="1"/>
  <c r="E639" i="1"/>
  <c r="E636" i="1"/>
  <c r="E635" i="1"/>
  <c r="E634" i="1"/>
  <c r="E631" i="1"/>
  <c r="E630" i="1"/>
  <c r="E629" i="1"/>
  <c r="E626" i="1"/>
  <c r="E623" i="1"/>
  <c r="E622" i="1"/>
  <c r="E621" i="1"/>
  <c r="E620" i="1"/>
  <c r="E619" i="1"/>
  <c r="E618" i="1"/>
  <c r="E617" i="1"/>
  <c r="E616" i="1"/>
  <c r="E611" i="1"/>
  <c r="E610" i="1"/>
  <c r="E609" i="1"/>
  <c r="E608" i="1"/>
  <c r="E607" i="1"/>
  <c r="E606" i="1"/>
  <c r="E605" i="1"/>
  <c r="E604" i="1"/>
  <c r="E599" i="1"/>
  <c r="E598" i="1"/>
  <c r="E597" i="1"/>
  <c r="E596" i="1"/>
  <c r="E595" i="1"/>
  <c r="E594" i="1"/>
  <c r="E593" i="1"/>
  <c r="E592" i="1"/>
  <c r="E587" i="1"/>
  <c r="E586" i="1"/>
  <c r="E585" i="1"/>
  <c r="E584" i="1"/>
  <c r="E583" i="1"/>
  <c r="E582" i="1"/>
  <c r="E581" i="1"/>
  <c r="E580" i="1"/>
  <c r="E575" i="1"/>
  <c r="E574" i="1"/>
  <c r="E573" i="1"/>
  <c r="E572" i="1"/>
  <c r="E571" i="1"/>
  <c r="E570" i="1"/>
  <c r="E569" i="1"/>
  <c r="E568" i="1"/>
  <c r="E562" i="1"/>
  <c r="E561" i="1"/>
  <c r="E560" i="1"/>
  <c r="E559" i="1"/>
  <c r="E558" i="1"/>
  <c r="E557" i="1"/>
  <c r="E556" i="1"/>
  <c r="E555" i="1"/>
  <c r="E550" i="1"/>
  <c r="E549" i="1"/>
  <c r="E548" i="1"/>
  <c r="E547" i="1"/>
  <c r="E546" i="1"/>
  <c r="E545" i="1"/>
  <c r="E544" i="1"/>
  <c r="E543" i="1"/>
  <c r="E538" i="1"/>
  <c r="E537" i="1"/>
  <c r="E536" i="1"/>
  <c r="E535" i="1"/>
  <c r="E534" i="1"/>
  <c r="E533" i="1"/>
  <c r="E532" i="1"/>
  <c r="E531" i="1"/>
  <c r="E526" i="1"/>
  <c r="E525" i="1"/>
  <c r="E524" i="1"/>
  <c r="E523" i="1"/>
  <c r="E522" i="1"/>
  <c r="E521" i="1"/>
  <c r="E520" i="1"/>
  <c r="E519" i="1"/>
  <c r="E514" i="1"/>
  <c r="E513" i="1"/>
  <c r="E512" i="1"/>
  <c r="E511" i="1"/>
  <c r="E510" i="1"/>
  <c r="E509" i="1"/>
  <c r="E508" i="1"/>
  <c r="E507" i="1"/>
  <c r="E502" i="1"/>
  <c r="E501" i="1"/>
  <c r="E500" i="1"/>
  <c r="E499" i="1"/>
  <c r="E498" i="1"/>
  <c r="E497" i="1"/>
  <c r="E496" i="1"/>
  <c r="E495" i="1"/>
  <c r="E490" i="1"/>
  <c r="E489" i="1"/>
  <c r="E488" i="1"/>
  <c r="E487" i="1"/>
  <c r="E486" i="1"/>
  <c r="E485" i="1"/>
  <c r="E484" i="1"/>
  <c r="E483" i="1"/>
  <c r="E478" i="1"/>
  <c r="E477" i="1"/>
  <c r="E476" i="1"/>
  <c r="E475" i="1"/>
  <c r="E474" i="1"/>
  <c r="E473" i="1"/>
  <c r="E472" i="1"/>
  <c r="E471" i="1"/>
  <c r="E466" i="1"/>
  <c r="E465" i="1"/>
  <c r="E464" i="1"/>
  <c r="E463" i="1"/>
  <c r="E462" i="1"/>
  <c r="E461" i="1"/>
  <c r="E460" i="1"/>
  <c r="E459" i="1"/>
  <c r="E454" i="1"/>
  <c r="E453" i="1"/>
  <c r="E452" i="1"/>
  <c r="E451" i="1"/>
  <c r="E450" i="1"/>
  <c r="E449" i="1"/>
  <c r="E448" i="1"/>
  <c r="E447" i="1"/>
  <c r="E441" i="1"/>
  <c r="E440" i="1"/>
  <c r="E439" i="1"/>
  <c r="E438" i="1"/>
  <c r="E437" i="1"/>
  <c r="E433" i="1"/>
  <c r="E432" i="1"/>
  <c r="E431" i="1"/>
  <c r="E430" i="1"/>
  <c r="E429" i="1"/>
  <c r="E425" i="1"/>
  <c r="E424" i="1"/>
  <c r="E423" i="1"/>
  <c r="E422" i="1"/>
  <c r="E421" i="1"/>
  <c r="E417" i="1"/>
  <c r="E416" i="1"/>
  <c r="E415" i="1"/>
  <c r="E414" i="1"/>
  <c r="E413" i="1"/>
  <c r="E409" i="1"/>
  <c r="E408" i="1"/>
  <c r="E407" i="1"/>
  <c r="E406" i="1"/>
  <c r="E405" i="1"/>
  <c r="E401" i="1"/>
  <c r="E400" i="1"/>
  <c r="E399" i="1"/>
  <c r="E398" i="1"/>
  <c r="E397" i="1"/>
  <c r="E393" i="1"/>
  <c r="E392" i="1"/>
  <c r="E391" i="1"/>
  <c r="E390" i="1"/>
  <c r="E389" i="1"/>
  <c r="E385" i="1"/>
  <c r="E384" i="1"/>
  <c r="E383" i="1"/>
  <c r="E382" i="1"/>
  <c r="E381" i="1"/>
  <c r="E377" i="1"/>
  <c r="E376" i="1"/>
  <c r="E375" i="1"/>
  <c r="E374" i="1"/>
  <c r="E373" i="1"/>
  <c r="E369" i="1"/>
  <c r="K369" i="1" s="1"/>
  <c r="E368" i="1"/>
  <c r="K368" i="1" s="1"/>
  <c r="E367" i="1"/>
  <c r="K367" i="1" s="1"/>
  <c r="E366" i="1"/>
  <c r="K366" i="1" s="1"/>
  <c r="E365" i="1"/>
  <c r="K365" i="1" s="1"/>
  <c r="E361" i="1"/>
  <c r="E360" i="1"/>
  <c r="E359" i="1"/>
  <c r="E358" i="1"/>
  <c r="E357" i="1"/>
  <c r="E353" i="1"/>
  <c r="E352" i="1"/>
  <c r="E351" i="1"/>
  <c r="E350" i="1"/>
  <c r="E349" i="1"/>
  <c r="E345" i="1"/>
  <c r="E344" i="1"/>
  <c r="E343" i="1"/>
  <c r="E342" i="1"/>
  <c r="E341" i="1"/>
  <c r="E337" i="1"/>
  <c r="E336" i="1"/>
  <c r="L336" i="1" s="1"/>
  <c r="E335" i="1"/>
  <c r="E334" i="1"/>
  <c r="L334" i="1" s="1"/>
  <c r="E333" i="1"/>
  <c r="L333" i="1" s="1"/>
  <c r="E329" i="1"/>
  <c r="E328" i="1"/>
  <c r="L328" i="1" s="1"/>
  <c r="E327" i="1"/>
  <c r="L327" i="1" s="1"/>
  <c r="E326" i="1"/>
  <c r="L326" i="1" s="1"/>
  <c r="E325" i="1"/>
  <c r="L325" i="1" s="1"/>
  <c r="E319" i="1"/>
  <c r="E318" i="1"/>
  <c r="E317" i="1"/>
  <c r="E315" i="1"/>
  <c r="L315" i="1" s="1"/>
  <c r="E314" i="1"/>
  <c r="L314" i="1" s="1"/>
  <c r="E311" i="1"/>
  <c r="E310" i="1"/>
  <c r="E309" i="1"/>
  <c r="E307" i="1"/>
  <c r="L307" i="1" s="1"/>
  <c r="E306" i="1"/>
  <c r="L306" i="1" s="1"/>
  <c r="E303" i="1"/>
  <c r="E300" i="1"/>
  <c r="E299" i="1"/>
  <c r="E298" i="1"/>
  <c r="E294" i="1"/>
  <c r="E293" i="1"/>
  <c r="E292" i="1"/>
  <c r="E291" i="1"/>
  <c r="E288" i="1"/>
  <c r="E285" i="1"/>
  <c r="E284" i="1"/>
  <c r="E283" i="1"/>
  <c r="E282" i="1"/>
  <c r="E281" i="1"/>
  <c r="E278" i="1"/>
  <c r="E277" i="1"/>
  <c r="E276" i="1"/>
  <c r="E275" i="1"/>
  <c r="E272" i="1"/>
  <c r="E271" i="1"/>
  <c r="E270" i="1"/>
  <c r="E269" i="1"/>
  <c r="E266" i="1"/>
  <c r="E265" i="1"/>
  <c r="E264" i="1"/>
  <c r="E261" i="1"/>
  <c r="E260" i="1"/>
  <c r="E259" i="1"/>
  <c r="E256" i="1"/>
  <c r="E255" i="1"/>
  <c r="E254" i="1"/>
  <c r="E253" i="1"/>
  <c r="E249" i="1"/>
  <c r="E248" i="1"/>
  <c r="P248" i="1" s="1"/>
  <c r="E247" i="1"/>
  <c r="E246" i="1"/>
  <c r="E243" i="1"/>
  <c r="E242" i="1"/>
  <c r="E241" i="1"/>
  <c r="L241" i="1" s="1"/>
  <c r="E240" i="1"/>
  <c r="E237" i="1"/>
  <c r="E234" i="1"/>
  <c r="P234" i="1" s="1"/>
  <c r="E233" i="1"/>
  <c r="E232" i="1"/>
  <c r="P232" i="1" s="1"/>
  <c r="E228" i="1"/>
  <c r="E225" i="1"/>
  <c r="E224" i="1"/>
  <c r="E223" i="1"/>
  <c r="P223" i="1" s="1"/>
  <c r="E222" i="1"/>
  <c r="E221" i="1"/>
  <c r="P221" i="1" s="1"/>
  <c r="E220" i="1"/>
  <c r="E219" i="1"/>
  <c r="P219" i="1" s="1"/>
  <c r="E218" i="1"/>
  <c r="E217" i="1"/>
  <c r="P217" i="1" s="1"/>
  <c r="E214" i="1"/>
  <c r="E213" i="1"/>
  <c r="P213" i="1" s="1"/>
  <c r="E212" i="1"/>
  <c r="E211" i="1"/>
  <c r="E210" i="1"/>
  <c r="E206" i="1"/>
  <c r="P206" i="1" s="1"/>
  <c r="P205" i="1" s="1"/>
  <c r="E202" i="1"/>
  <c r="E199" i="1"/>
  <c r="E196" i="1"/>
  <c r="E195" i="1"/>
  <c r="P195" i="1" s="1"/>
  <c r="E194" i="1"/>
  <c r="E193" i="1"/>
  <c r="E190" i="1"/>
  <c r="E187" i="1"/>
  <c r="E184" i="1"/>
  <c r="E183" i="1"/>
  <c r="P183" i="1" s="1"/>
  <c r="E181" i="1"/>
  <c r="E180" i="1"/>
  <c r="P180" i="1" s="1"/>
  <c r="E179" i="1"/>
  <c r="E177" i="1"/>
  <c r="P177" i="1" s="1"/>
  <c r="E176" i="1"/>
  <c r="E175" i="1"/>
  <c r="P175" i="1" s="1"/>
  <c r="E174" i="1"/>
  <c r="E168" i="1"/>
  <c r="P168" i="1" s="1"/>
  <c r="P167" i="1" s="1"/>
  <c r="E165" i="1"/>
  <c r="E152" i="1"/>
  <c r="P152" i="1" s="1"/>
  <c r="E150" i="1"/>
  <c r="E149" i="1"/>
  <c r="P149" i="1" s="1"/>
  <c r="E148" i="1"/>
  <c r="E147" i="1"/>
  <c r="E145" i="1"/>
  <c r="E144" i="1"/>
  <c r="E143" i="1"/>
  <c r="E139" i="1"/>
  <c r="E138" i="1"/>
  <c r="E137" i="1"/>
  <c r="E134" i="1"/>
  <c r="E133" i="1"/>
  <c r="E132" i="1"/>
  <c r="E131" i="1"/>
  <c r="E130" i="1"/>
  <c r="E125" i="1"/>
  <c r="E124" i="1"/>
  <c r="E123" i="1"/>
  <c r="E122" i="1"/>
  <c r="E121" i="1"/>
  <c r="E107" i="1"/>
  <c r="L107" i="1" s="1"/>
  <c r="E103" i="1"/>
  <c r="K103" i="1" s="1"/>
  <c r="E100" i="1"/>
  <c r="E99" i="1"/>
  <c r="E98" i="1"/>
  <c r="E97" i="1"/>
  <c r="E96" i="1"/>
  <c r="L96" i="1" s="1"/>
  <c r="E95" i="1"/>
  <c r="L95" i="1" s="1"/>
  <c r="E94" i="1"/>
  <c r="L94" i="1" s="1"/>
  <c r="E90" i="1"/>
  <c r="E89" i="1"/>
  <c r="E88" i="1"/>
  <c r="L88" i="1" s="1"/>
  <c r="E87" i="1"/>
  <c r="L87" i="1" s="1"/>
  <c r="E86" i="1"/>
  <c r="L86" i="1" s="1"/>
  <c r="E82" i="1"/>
  <c r="E81" i="1"/>
  <c r="E76" i="1"/>
  <c r="E75" i="1"/>
  <c r="P75" i="1" s="1"/>
  <c r="E74" i="1"/>
  <c r="E73" i="1"/>
  <c r="P73" i="1" s="1"/>
  <c r="E72" i="1"/>
  <c r="E69" i="1"/>
  <c r="E68" i="1"/>
  <c r="P68" i="1" s="1"/>
  <c r="E67" i="1"/>
  <c r="E66" i="1"/>
  <c r="E63" i="1"/>
  <c r="E62" i="1"/>
  <c r="P62" i="1" s="1"/>
  <c r="E61" i="1"/>
  <c r="E60" i="1"/>
  <c r="E57" i="1"/>
  <c r="E56" i="1"/>
  <c r="P56" i="1" s="1"/>
  <c r="E55" i="1"/>
  <c r="E52" i="1"/>
  <c r="E51" i="1"/>
  <c r="E50" i="1"/>
  <c r="P50" i="1" s="1"/>
  <c r="E49" i="1"/>
  <c r="E48" i="1"/>
  <c r="E44" i="1"/>
  <c r="E43" i="1"/>
  <c r="E42" i="1"/>
  <c r="L42" i="1" s="1"/>
  <c r="E41" i="1"/>
  <c r="E38" i="1"/>
  <c r="E37" i="1"/>
  <c r="P37" i="1" s="1"/>
  <c r="E34" i="1"/>
  <c r="E33" i="1"/>
  <c r="E28" i="1"/>
  <c r="P28" i="1" s="1"/>
  <c r="P27" i="1" s="1"/>
  <c r="E25" i="1"/>
  <c r="P25" i="1" s="1"/>
  <c r="E24" i="1"/>
  <c r="P24" i="1" s="1"/>
  <c r="E23" i="1"/>
  <c r="P23" i="1" s="1"/>
  <c r="E22" i="1"/>
  <c r="P22" i="1" s="1"/>
  <c r="E21" i="1"/>
  <c r="P21" i="1" s="1"/>
  <c r="E20" i="1"/>
  <c r="P20" i="1" s="1"/>
  <c r="E19" i="1"/>
  <c r="P19" i="1" s="1"/>
  <c r="E18" i="1"/>
  <c r="P18" i="1" s="1"/>
  <c r="E17" i="1"/>
  <c r="P17" i="1" s="1"/>
  <c r="E16" i="1"/>
  <c r="P16" i="1" s="1"/>
  <c r="E13" i="1"/>
  <c r="E12" i="1"/>
  <c r="E11" i="1"/>
  <c r="E10" i="1"/>
  <c r="E9" i="1"/>
  <c r="E5" i="1"/>
  <c r="P5" i="1" s="1"/>
  <c r="P4" i="1" s="1"/>
  <c r="L739" i="1" l="1"/>
  <c r="C108" i="5" s="1"/>
  <c r="L899" i="1"/>
  <c r="C119" i="5" s="1"/>
  <c r="L865" i="1"/>
  <c r="C116" i="5" s="1"/>
  <c r="Q891" i="1"/>
  <c r="F117" i="5" s="1"/>
  <c r="Q913" i="1"/>
  <c r="F121" i="5" s="1"/>
  <c r="J694" i="1"/>
  <c r="J693" i="1" s="1"/>
  <c r="J891" i="1"/>
  <c r="J706" i="1"/>
  <c r="J705" i="1" s="1"/>
  <c r="O920" i="1"/>
  <c r="J259" i="1"/>
  <c r="L11" i="1"/>
  <c r="J269" i="1"/>
  <c r="O269" i="1" s="1"/>
  <c r="J300" i="1"/>
  <c r="J297" i="1" s="1"/>
  <c r="N891" i="1"/>
  <c r="J920" i="1"/>
  <c r="Q951" i="1"/>
  <c r="F125" i="5" s="1"/>
  <c r="Q932" i="1"/>
  <c r="F124" i="5" s="1"/>
  <c r="Q925" i="1"/>
  <c r="F123" i="5" s="1"/>
  <c r="J714" i="1"/>
  <c r="J713" i="1" s="1"/>
  <c r="Q766" i="1"/>
  <c r="Q920" i="1"/>
  <c r="F122" i="5" s="1"/>
  <c r="O865" i="1"/>
  <c r="O899" i="1"/>
  <c r="L34" i="1"/>
  <c r="L31" i="1" s="1"/>
  <c r="C10" i="5" s="1"/>
  <c r="K703" i="1"/>
  <c r="Q899" i="1"/>
  <c r="F119" i="5" s="1"/>
  <c r="Q896" i="1"/>
  <c r="K718" i="1"/>
  <c r="Q731" i="1"/>
  <c r="L12" i="1"/>
  <c r="Q882" i="1"/>
  <c r="Q855" i="1"/>
  <c r="J865" i="1"/>
  <c r="Q852" i="1"/>
  <c r="M854" i="1"/>
  <c r="O825" i="1"/>
  <c r="J825" i="1"/>
  <c r="Q841" i="1"/>
  <c r="Q818" i="1"/>
  <c r="Q769" i="1"/>
  <c r="J69" i="1"/>
  <c r="O69" i="1" s="1"/>
  <c r="K706" i="1"/>
  <c r="L706" i="1" s="1"/>
  <c r="L705" i="1" s="1"/>
  <c r="C99" i="5" s="1"/>
  <c r="J217" i="1"/>
  <c r="O217" i="1" s="1"/>
  <c r="J225" i="1"/>
  <c r="M225" i="1" s="1"/>
  <c r="J275" i="1"/>
  <c r="O275" i="1" s="1"/>
  <c r="J180" i="1"/>
  <c r="O180" i="1" s="1"/>
  <c r="J791" i="1"/>
  <c r="O791" i="1" s="1"/>
  <c r="Q791" i="1" s="1"/>
  <c r="K791" i="1"/>
  <c r="L791" i="1" s="1"/>
  <c r="J796" i="1"/>
  <c r="M796" i="1" s="1"/>
  <c r="Q796" i="1" s="1"/>
  <c r="K796" i="1"/>
  <c r="L796" i="1" s="1"/>
  <c r="J788" i="1"/>
  <c r="K788" i="1"/>
  <c r="L788" i="1" s="1"/>
  <c r="J792" i="1"/>
  <c r="M792" i="1" s="1"/>
  <c r="K792" i="1"/>
  <c r="L792" i="1" s="1"/>
  <c r="J789" i="1"/>
  <c r="O789" i="1" s="1"/>
  <c r="Q789" i="1" s="1"/>
  <c r="K789" i="1"/>
  <c r="L789" i="1" s="1"/>
  <c r="J790" i="1"/>
  <c r="O790" i="1" s="1"/>
  <c r="Q790" i="1" s="1"/>
  <c r="K790" i="1"/>
  <c r="L790" i="1" s="1"/>
  <c r="J795" i="1"/>
  <c r="O795" i="1" s="1"/>
  <c r="Q795" i="1" s="1"/>
  <c r="K795" i="1"/>
  <c r="L795" i="1" s="1"/>
  <c r="J709" i="1"/>
  <c r="N709" i="1" s="1"/>
  <c r="J703" i="1"/>
  <c r="J702" i="1" s="1"/>
  <c r="J739" i="1"/>
  <c r="Q739" i="1"/>
  <c r="F108" i="5" s="1"/>
  <c r="O739" i="1"/>
  <c r="L13" i="1"/>
  <c r="J62" i="1"/>
  <c r="M62" i="1" s="1"/>
  <c r="J138" i="1"/>
  <c r="O138" i="1" s="1"/>
  <c r="J690" i="1"/>
  <c r="O690" i="1" s="1"/>
  <c r="J34" i="1"/>
  <c r="O34" i="1" s="1"/>
  <c r="J246" i="1"/>
  <c r="O246" i="1" s="1"/>
  <c r="J265" i="1"/>
  <c r="O265" i="1" s="1"/>
  <c r="J697" i="1"/>
  <c r="J696" i="1" s="1"/>
  <c r="K697" i="1"/>
  <c r="L697" i="1" s="1"/>
  <c r="L696" i="1" s="1"/>
  <c r="C96" i="5" s="1"/>
  <c r="J721" i="1"/>
  <c r="J720" i="1" s="1"/>
  <c r="G159" i="1"/>
  <c r="J159" i="1" s="1"/>
  <c r="M159" i="1" s="1"/>
  <c r="G51" i="1"/>
  <c r="J51" i="1" s="1"/>
  <c r="O51" i="1" s="1"/>
  <c r="G249" i="1"/>
  <c r="K249" i="1" s="1"/>
  <c r="L249" i="1" s="1"/>
  <c r="G256" i="1"/>
  <c r="J256" i="1" s="1"/>
  <c r="M256" i="1" s="1"/>
  <c r="J221" i="1"/>
  <c r="O221" i="1" s="1"/>
  <c r="K727" i="1"/>
  <c r="L727" i="1" s="1"/>
  <c r="L726" i="1" s="1"/>
  <c r="C106" i="5" s="1"/>
  <c r="P97" i="1"/>
  <c r="P193" i="1"/>
  <c r="P43" i="1"/>
  <c r="L41" i="1"/>
  <c r="P246" i="1"/>
  <c r="J38" i="1"/>
  <c r="M38" i="1" s="1"/>
  <c r="J724" i="1"/>
  <c r="J723" i="1" s="1"/>
  <c r="J260" i="1"/>
  <c r="J266" i="1"/>
  <c r="M266" i="1" s="1"/>
  <c r="J277" i="1"/>
  <c r="M277" i="1" s="1"/>
  <c r="J711" i="1"/>
  <c r="N711" i="1" s="1"/>
  <c r="J11" i="1"/>
  <c r="M11" i="1" s="1"/>
  <c r="J17" i="1"/>
  <c r="O17" i="1" s="1"/>
  <c r="J21" i="1"/>
  <c r="O21" i="1" s="1"/>
  <c r="J272" i="1"/>
  <c r="M272" i="1" s="1"/>
  <c r="J261" i="1"/>
  <c r="M261" i="1" s="1"/>
  <c r="J727" i="1"/>
  <c r="J726" i="1" s="1"/>
  <c r="L10" i="1"/>
  <c r="J55" i="1"/>
  <c r="O55" i="1" s="1"/>
  <c r="J219" i="1"/>
  <c r="O219" i="1" s="1"/>
  <c r="J223" i="1"/>
  <c r="M223" i="1" s="1"/>
  <c r="J232" i="1"/>
  <c r="M232" i="1" s="1"/>
  <c r="J700" i="1"/>
  <c r="J699" i="1" s="1"/>
  <c r="L38" i="1"/>
  <c r="J48" i="1"/>
  <c r="O48" i="1" s="1"/>
  <c r="J710" i="1"/>
  <c r="M710" i="1" s="1"/>
  <c r="J57" i="1"/>
  <c r="M57" i="1" s="1"/>
  <c r="J63" i="1"/>
  <c r="O63" i="1" s="1"/>
  <c r="J12" i="1"/>
  <c r="M12" i="1" s="1"/>
  <c r="J22" i="1"/>
  <c r="O22" i="1" s="1"/>
  <c r="J28" i="1"/>
  <c r="J27" i="1" s="1"/>
  <c r="H242" i="1"/>
  <c r="J242" i="1" s="1"/>
  <c r="O242" i="1" s="1"/>
  <c r="G50" i="1"/>
  <c r="J50" i="1" s="1"/>
  <c r="M50" i="1" s="1"/>
  <c r="K710" i="1"/>
  <c r="L710" i="1" s="1"/>
  <c r="L708" i="1" s="1"/>
  <c r="C100" i="5" s="1"/>
  <c r="J61" i="1"/>
  <c r="O61" i="1" s="1"/>
  <c r="J67" i="1"/>
  <c r="O67" i="1" s="1"/>
  <c r="J240" i="1"/>
  <c r="N240" i="1" s="1"/>
  <c r="J253" i="1"/>
  <c r="O253" i="1" s="1"/>
  <c r="J271" i="1"/>
  <c r="O271" i="1" s="1"/>
  <c r="J19" i="1"/>
  <c r="O19" i="1" s="1"/>
  <c r="J23" i="1"/>
  <c r="M23" i="1" s="1"/>
  <c r="J52" i="1"/>
  <c r="P52" i="1" s="1"/>
  <c r="J60" i="1"/>
  <c r="O60" i="1" s="1"/>
  <c r="H233" i="1"/>
  <c r="K233" i="1" s="1"/>
  <c r="H243" i="1"/>
  <c r="J243" i="1" s="1"/>
  <c r="K9" i="1"/>
  <c r="K724" i="1"/>
  <c r="L724" i="1" s="1"/>
  <c r="L723" i="1" s="1"/>
  <c r="C105" i="5" s="1"/>
  <c r="J25" i="1"/>
  <c r="M25" i="1" s="1"/>
  <c r="J37" i="1"/>
  <c r="M37" i="1" s="1"/>
  <c r="J56" i="1"/>
  <c r="O56" i="1" s="1"/>
  <c r="J68" i="1"/>
  <c r="M68" i="1" s="1"/>
  <c r="J224" i="1"/>
  <c r="M224" i="1" s="1"/>
  <c r="J241" i="1"/>
  <c r="N241" i="1" s="1"/>
  <c r="J278" i="1"/>
  <c r="O278" i="1" s="1"/>
  <c r="G49" i="1"/>
  <c r="J49" i="1" s="1"/>
  <c r="H234" i="1"/>
  <c r="K234" i="1" s="1"/>
  <c r="G247" i="1"/>
  <c r="J247" i="1" s="1"/>
  <c r="O247" i="1" s="1"/>
  <c r="G254" i="1"/>
  <c r="J254" i="1" s="1"/>
  <c r="O254" i="1" s="1"/>
  <c r="H129" i="1"/>
  <c r="H120" i="1"/>
  <c r="H681" i="1"/>
  <c r="H672" i="1"/>
  <c r="G116" i="1"/>
  <c r="K116" i="1" s="1"/>
  <c r="L116" i="1" s="1"/>
  <c r="G112" i="1"/>
  <c r="K112" i="1" s="1"/>
  <c r="L112" i="1" s="1"/>
  <c r="G115" i="1"/>
  <c r="K115" i="1" s="1"/>
  <c r="L115" i="1" s="1"/>
  <c r="G114" i="1"/>
  <c r="K114" i="1" s="1"/>
  <c r="L114" i="1" s="1"/>
  <c r="G113" i="1"/>
  <c r="K113" i="1" s="1"/>
  <c r="L113" i="1" s="1"/>
  <c r="G248" i="1"/>
  <c r="J248" i="1" s="1"/>
  <c r="O248" i="1" s="1"/>
  <c r="G255" i="1"/>
  <c r="J255" i="1" s="1"/>
  <c r="O255" i="1" s="1"/>
  <c r="H280" i="1"/>
  <c r="H284" i="1" s="1"/>
  <c r="J284" i="1" s="1"/>
  <c r="O284" i="1" s="1"/>
  <c r="H71" i="1"/>
  <c r="H74" i="1" s="1"/>
  <c r="J74" i="1" s="1"/>
  <c r="O74" i="1" s="1"/>
  <c r="P211" i="1"/>
  <c r="P199" i="1"/>
  <c r="P198" i="1" s="1"/>
  <c r="P148" i="1"/>
  <c r="P176" i="1"/>
  <c r="L176" i="1"/>
  <c r="P181" i="1"/>
  <c r="K190" i="1"/>
  <c r="L190" i="1" s="1"/>
  <c r="L189" i="1" s="1"/>
  <c r="C29" i="5" s="1"/>
  <c r="K335" i="1"/>
  <c r="L335" i="1"/>
  <c r="K342" i="1"/>
  <c r="L342" i="1"/>
  <c r="K349" i="1"/>
  <c r="L349" i="1"/>
  <c r="K360" i="1"/>
  <c r="L360" i="1"/>
  <c r="K374" i="1"/>
  <c r="L374" i="1"/>
  <c r="K381" i="1"/>
  <c r="L381" i="1"/>
  <c r="K392" i="1"/>
  <c r="L392" i="1"/>
  <c r="K399" i="1"/>
  <c r="L399" i="1"/>
  <c r="K406" i="1"/>
  <c r="L406" i="1"/>
  <c r="K413" i="1"/>
  <c r="L413" i="1"/>
  <c r="K424" i="1"/>
  <c r="L424" i="1"/>
  <c r="K431" i="1"/>
  <c r="L431" i="1"/>
  <c r="K438" i="1"/>
  <c r="M438" i="1"/>
  <c r="L438" i="1"/>
  <c r="K447" i="1"/>
  <c r="L447" i="1"/>
  <c r="K451" i="1"/>
  <c r="L451" i="1" s="1"/>
  <c r="K459" i="1"/>
  <c r="L459" i="1"/>
  <c r="K463" i="1"/>
  <c r="L463" i="1" s="1"/>
  <c r="K471" i="1"/>
  <c r="L471" i="1"/>
  <c r="K475" i="1"/>
  <c r="L475" i="1" s="1"/>
  <c r="K483" i="1"/>
  <c r="L483" i="1"/>
  <c r="K487" i="1"/>
  <c r="L487" i="1" s="1"/>
  <c r="K495" i="1"/>
  <c r="L495" i="1"/>
  <c r="K499" i="1"/>
  <c r="L499" i="1" s="1"/>
  <c r="K507" i="1"/>
  <c r="L507" i="1"/>
  <c r="K511" i="1"/>
  <c r="L511" i="1" s="1"/>
  <c r="K519" i="1"/>
  <c r="L519" i="1"/>
  <c r="K523" i="1"/>
  <c r="L523" i="1" s="1"/>
  <c r="K531" i="1"/>
  <c r="L531" i="1"/>
  <c r="K535" i="1"/>
  <c r="L535" i="1" s="1"/>
  <c r="K543" i="1"/>
  <c r="L543" i="1"/>
  <c r="K547" i="1"/>
  <c r="L547" i="1" s="1"/>
  <c r="K555" i="1"/>
  <c r="L555" i="1"/>
  <c r="K559" i="1"/>
  <c r="L559" i="1" s="1"/>
  <c r="K568" i="1"/>
  <c r="L568" i="1"/>
  <c r="K572" i="1"/>
  <c r="L572" i="1" s="1"/>
  <c r="K580" i="1"/>
  <c r="L580" i="1"/>
  <c r="K584" i="1"/>
  <c r="L584" i="1" s="1"/>
  <c r="K592" i="1"/>
  <c r="L592" i="1"/>
  <c r="K596" i="1"/>
  <c r="L596" i="1" s="1"/>
  <c r="K604" i="1"/>
  <c r="L604" i="1"/>
  <c r="K608" i="1"/>
  <c r="L608" i="1" s="1"/>
  <c r="K616" i="1"/>
  <c r="L616" i="1"/>
  <c r="K620" i="1"/>
  <c r="L620" i="1" s="1"/>
  <c r="K634" i="1"/>
  <c r="L634" i="1"/>
  <c r="K640" i="1"/>
  <c r="L640" i="1" s="1"/>
  <c r="K647" i="1"/>
  <c r="L647" i="1"/>
  <c r="K654" i="1"/>
  <c r="L654" i="1"/>
  <c r="K661" i="1"/>
  <c r="L661" i="1"/>
  <c r="K665" i="1"/>
  <c r="L665" i="1" s="1"/>
  <c r="K714" i="1"/>
  <c r="L714" i="1"/>
  <c r="J220" i="1"/>
  <c r="O220" i="1" s="1"/>
  <c r="L220" i="1"/>
  <c r="L152" i="1"/>
  <c r="L168" i="1"/>
  <c r="L183" i="1"/>
  <c r="P81" i="1"/>
  <c r="P225" i="1"/>
  <c r="P242" i="1"/>
  <c r="P255" i="1"/>
  <c r="P261" i="1"/>
  <c r="P269" i="1"/>
  <c r="P275" i="1"/>
  <c r="P281" i="1"/>
  <c r="K329" i="1"/>
  <c r="L329" i="1" s="1"/>
  <c r="L323" i="1" s="1"/>
  <c r="C53" i="5" s="1"/>
  <c r="K343" i="1"/>
  <c r="L343" i="1"/>
  <c r="K350" i="1"/>
  <c r="L350" i="1"/>
  <c r="K357" i="1"/>
  <c r="L357" i="1"/>
  <c r="K361" i="1"/>
  <c r="L361" i="1" s="1"/>
  <c r="K375" i="1"/>
  <c r="L375" i="1"/>
  <c r="K382" i="1"/>
  <c r="L382" i="1"/>
  <c r="K389" i="1"/>
  <c r="L389" i="1"/>
  <c r="K393" i="1"/>
  <c r="L393" i="1" s="1"/>
  <c r="K400" i="1"/>
  <c r="L400" i="1"/>
  <c r="K407" i="1"/>
  <c r="L407" i="1"/>
  <c r="K414" i="1"/>
  <c r="L414" i="1"/>
  <c r="K421" i="1"/>
  <c r="L421" i="1"/>
  <c r="K432" i="1"/>
  <c r="L432" i="1"/>
  <c r="K439" i="1"/>
  <c r="M439" i="1"/>
  <c r="L439" i="1"/>
  <c r="K448" i="1"/>
  <c r="L448" i="1" s="1"/>
  <c r="K452" i="1"/>
  <c r="L452" i="1" s="1"/>
  <c r="K460" i="1"/>
  <c r="L460" i="1" s="1"/>
  <c r="K464" i="1"/>
  <c r="L464" i="1" s="1"/>
  <c r="K472" i="1"/>
  <c r="L472" i="1" s="1"/>
  <c r="K476" i="1"/>
  <c r="L476" i="1" s="1"/>
  <c r="K484" i="1"/>
  <c r="L484" i="1" s="1"/>
  <c r="K488" i="1"/>
  <c r="L488" i="1" s="1"/>
  <c r="K496" i="1"/>
  <c r="L496" i="1" s="1"/>
  <c r="K500" i="1"/>
  <c r="L500" i="1" s="1"/>
  <c r="K508" i="1"/>
  <c r="L508" i="1" s="1"/>
  <c r="K512" i="1"/>
  <c r="L512" i="1" s="1"/>
  <c r="K520" i="1"/>
  <c r="L520" i="1" s="1"/>
  <c r="K524" i="1"/>
  <c r="L524" i="1" s="1"/>
  <c r="K532" i="1"/>
  <c r="L532" i="1" s="1"/>
  <c r="K536" i="1"/>
  <c r="L536" i="1" s="1"/>
  <c r="K544" i="1"/>
  <c r="L544" i="1" s="1"/>
  <c r="K548" i="1"/>
  <c r="L548" i="1" s="1"/>
  <c r="K556" i="1"/>
  <c r="L556" i="1" s="1"/>
  <c r="K560" i="1"/>
  <c r="L560" i="1" s="1"/>
  <c r="K569" i="1"/>
  <c r="L569" i="1" s="1"/>
  <c r="K573" i="1"/>
  <c r="L573" i="1" s="1"/>
  <c r="K581" i="1"/>
  <c r="L581" i="1" s="1"/>
  <c r="K585" i="1"/>
  <c r="L585" i="1" s="1"/>
  <c r="K593" i="1"/>
  <c r="L593" i="1" s="1"/>
  <c r="K597" i="1"/>
  <c r="L597" i="1" s="1"/>
  <c r="K605" i="1"/>
  <c r="L605" i="1" s="1"/>
  <c r="K609" i="1"/>
  <c r="L609" i="1" s="1"/>
  <c r="K617" i="1"/>
  <c r="L617" i="1" s="1"/>
  <c r="K621" i="1"/>
  <c r="L621" i="1" s="1"/>
  <c r="K629" i="1"/>
  <c r="L629" i="1"/>
  <c r="K635" i="1"/>
  <c r="L635" i="1" s="1"/>
  <c r="K641" i="1"/>
  <c r="L641" i="1" s="1"/>
  <c r="K648" i="1"/>
  <c r="L648" i="1" s="1"/>
  <c r="L643" i="1" s="1"/>
  <c r="C89" i="5" s="1"/>
  <c r="K655" i="1"/>
  <c r="L655" i="1"/>
  <c r="K662" i="1"/>
  <c r="L662" i="1"/>
  <c r="K666" i="1"/>
  <c r="L666" i="1" s="1"/>
  <c r="K689" i="1"/>
  <c r="L689" i="1" s="1"/>
  <c r="K709" i="1"/>
  <c r="L709" i="1"/>
  <c r="L175" i="1"/>
  <c r="L219" i="1"/>
  <c r="P150" i="1"/>
  <c r="P174" i="1"/>
  <c r="L174" i="1"/>
  <c r="P179" i="1"/>
  <c r="K337" i="1"/>
  <c r="L337" i="1" s="1"/>
  <c r="K344" i="1"/>
  <c r="L344" i="1"/>
  <c r="K351" i="1"/>
  <c r="L351" i="1"/>
  <c r="K358" i="1"/>
  <c r="L358" i="1"/>
  <c r="K376" i="1"/>
  <c r="L376" i="1"/>
  <c r="K383" i="1"/>
  <c r="L383" i="1"/>
  <c r="K390" i="1"/>
  <c r="L390" i="1"/>
  <c r="K397" i="1"/>
  <c r="L397" i="1"/>
  <c r="K401" i="1"/>
  <c r="L401" i="1" s="1"/>
  <c r="K408" i="1"/>
  <c r="L408" i="1"/>
  <c r="K415" i="1"/>
  <c r="L415" i="1"/>
  <c r="K422" i="1"/>
  <c r="L422" i="1"/>
  <c r="K429" i="1"/>
  <c r="L429" i="1"/>
  <c r="K433" i="1"/>
  <c r="L433" i="1" s="1"/>
  <c r="K440" i="1"/>
  <c r="M440" i="1"/>
  <c r="L440" i="1"/>
  <c r="K449" i="1"/>
  <c r="L449" i="1" s="1"/>
  <c r="K453" i="1"/>
  <c r="L453" i="1" s="1"/>
  <c r="K461" i="1"/>
  <c r="L461" i="1" s="1"/>
  <c r="K465" i="1"/>
  <c r="L465" i="1" s="1"/>
  <c r="K473" i="1"/>
  <c r="L473" i="1" s="1"/>
  <c r="K477" i="1"/>
  <c r="L477" i="1" s="1"/>
  <c r="K485" i="1"/>
  <c r="L485" i="1" s="1"/>
  <c r="K489" i="1"/>
  <c r="L489" i="1" s="1"/>
  <c r="K497" i="1"/>
  <c r="L497" i="1" s="1"/>
  <c r="K501" i="1"/>
  <c r="L501" i="1" s="1"/>
  <c r="K509" i="1"/>
  <c r="L509" i="1" s="1"/>
  <c r="K513" i="1"/>
  <c r="L513" i="1" s="1"/>
  <c r="K521" i="1"/>
  <c r="L521" i="1" s="1"/>
  <c r="K525" i="1"/>
  <c r="L525" i="1" s="1"/>
  <c r="K533" i="1"/>
  <c r="L533" i="1" s="1"/>
  <c r="K537" i="1"/>
  <c r="L537" i="1" s="1"/>
  <c r="K545" i="1"/>
  <c r="L545" i="1" s="1"/>
  <c r="K549" i="1"/>
  <c r="L549" i="1" s="1"/>
  <c r="K557" i="1"/>
  <c r="L557" i="1" s="1"/>
  <c r="K561" i="1"/>
  <c r="L561" i="1" s="1"/>
  <c r="K570" i="1"/>
  <c r="L570" i="1" s="1"/>
  <c r="K574" i="1"/>
  <c r="L574" i="1" s="1"/>
  <c r="K582" i="1"/>
  <c r="L582" i="1" s="1"/>
  <c r="K586" i="1"/>
  <c r="L586" i="1" s="1"/>
  <c r="K594" i="1"/>
  <c r="L594" i="1" s="1"/>
  <c r="K598" i="1"/>
  <c r="L598" i="1" s="1"/>
  <c r="K606" i="1"/>
  <c r="L606" i="1" s="1"/>
  <c r="K610" i="1"/>
  <c r="L610" i="1" s="1"/>
  <c r="K618" i="1"/>
  <c r="L618" i="1" s="1"/>
  <c r="K622" i="1"/>
  <c r="L622" i="1" s="1"/>
  <c r="K630" i="1"/>
  <c r="L630" i="1" s="1"/>
  <c r="K636" i="1"/>
  <c r="L636" i="1" s="1"/>
  <c r="K645" i="1"/>
  <c r="L645" i="1"/>
  <c r="K649" i="1"/>
  <c r="L649" i="1" s="1"/>
  <c r="K663" i="1"/>
  <c r="L663" i="1"/>
  <c r="K667" i="1"/>
  <c r="L667" i="1" s="1"/>
  <c r="K690" i="1"/>
  <c r="L690" i="1" s="1"/>
  <c r="L177" i="1"/>
  <c r="P240" i="1"/>
  <c r="L240" i="1"/>
  <c r="P253" i="1"/>
  <c r="P259" i="1"/>
  <c r="P265" i="1"/>
  <c r="P271" i="1"/>
  <c r="P277" i="1"/>
  <c r="K341" i="1"/>
  <c r="L341" i="1"/>
  <c r="K345" i="1"/>
  <c r="L345" i="1" s="1"/>
  <c r="K352" i="1"/>
  <c r="L352" i="1"/>
  <c r="K359" i="1"/>
  <c r="L359" i="1"/>
  <c r="K373" i="1"/>
  <c r="L373" i="1"/>
  <c r="K377" i="1"/>
  <c r="L377" i="1" s="1"/>
  <c r="K384" i="1"/>
  <c r="L384" i="1"/>
  <c r="K391" i="1"/>
  <c r="L391" i="1"/>
  <c r="K398" i="1"/>
  <c r="L398" i="1"/>
  <c r="K405" i="1"/>
  <c r="L405" i="1"/>
  <c r="K409" i="1"/>
  <c r="L409" i="1" s="1"/>
  <c r="K416" i="1"/>
  <c r="L416" i="1"/>
  <c r="K423" i="1"/>
  <c r="L423" i="1"/>
  <c r="K430" i="1"/>
  <c r="L430" i="1"/>
  <c r="K437" i="1"/>
  <c r="L437" i="1"/>
  <c r="M437" i="1"/>
  <c r="K441" i="1"/>
  <c r="L441" i="1" s="1"/>
  <c r="M441" i="1"/>
  <c r="K450" i="1"/>
  <c r="L450" i="1"/>
  <c r="K454" i="1"/>
  <c r="L454" i="1" s="1"/>
  <c r="K462" i="1"/>
  <c r="L462" i="1"/>
  <c r="K466" i="1"/>
  <c r="L466" i="1" s="1"/>
  <c r="K474" i="1"/>
  <c r="L474" i="1"/>
  <c r="K478" i="1"/>
  <c r="L478" i="1" s="1"/>
  <c r="K486" i="1"/>
  <c r="L486" i="1"/>
  <c r="K490" i="1"/>
  <c r="L490" i="1" s="1"/>
  <c r="K498" i="1"/>
  <c r="L498" i="1"/>
  <c r="K502" i="1"/>
  <c r="L502" i="1" s="1"/>
  <c r="K510" i="1"/>
  <c r="L510" i="1"/>
  <c r="K514" i="1"/>
  <c r="L514" i="1" s="1"/>
  <c r="K522" i="1"/>
  <c r="L522" i="1"/>
  <c r="K526" i="1"/>
  <c r="L526" i="1" s="1"/>
  <c r="K534" i="1"/>
  <c r="L534" i="1"/>
  <c r="K538" i="1"/>
  <c r="L538" i="1" s="1"/>
  <c r="K546" i="1"/>
  <c r="L546" i="1"/>
  <c r="K550" i="1"/>
  <c r="L550" i="1" s="1"/>
  <c r="K558" i="1"/>
  <c r="L558" i="1"/>
  <c r="K562" i="1"/>
  <c r="L562" i="1" s="1"/>
  <c r="K571" i="1"/>
  <c r="L571" i="1"/>
  <c r="K575" i="1"/>
  <c r="L575" i="1" s="1"/>
  <c r="K583" i="1"/>
  <c r="L583" i="1"/>
  <c r="K587" i="1"/>
  <c r="L587" i="1" s="1"/>
  <c r="K595" i="1"/>
  <c r="L595" i="1"/>
  <c r="K599" i="1"/>
  <c r="L599" i="1" s="1"/>
  <c r="K607" i="1"/>
  <c r="L607" i="1"/>
  <c r="K611" i="1"/>
  <c r="L611" i="1" s="1"/>
  <c r="K619" i="1"/>
  <c r="L619" i="1"/>
  <c r="K623" i="1"/>
  <c r="L623" i="1" s="1"/>
  <c r="K631" i="1"/>
  <c r="L631" i="1" s="1"/>
  <c r="K639" i="1"/>
  <c r="L639" i="1"/>
  <c r="K646" i="1"/>
  <c r="L646" i="1"/>
  <c r="K653" i="1"/>
  <c r="L653" i="1"/>
  <c r="K657" i="1"/>
  <c r="L657" i="1" s="1"/>
  <c r="K664" i="1"/>
  <c r="L664" i="1" s="1"/>
  <c r="L659" i="1" s="1"/>
  <c r="C91" i="5" s="1"/>
  <c r="K691" i="1"/>
  <c r="L691" i="1" s="1"/>
  <c r="K711" i="1"/>
  <c r="L711" i="1"/>
  <c r="L103" i="1"/>
  <c r="L102" i="1" s="1"/>
  <c r="L217" i="1"/>
  <c r="J718" i="1"/>
  <c r="P187" i="1"/>
  <c r="P186" i="1" s="1"/>
  <c r="J643" i="1"/>
  <c r="K111" i="1"/>
  <c r="L111" i="1" s="1"/>
  <c r="K154" i="1"/>
  <c r="L154" i="1" s="1"/>
  <c r="H42" i="1"/>
  <c r="J42" i="1" s="1"/>
  <c r="H44" i="1"/>
  <c r="J44" i="1" s="1"/>
  <c r="O44" i="1" s="1"/>
  <c r="J638" i="1"/>
  <c r="J651" i="1"/>
  <c r="J577" i="1"/>
  <c r="J589" i="1"/>
  <c r="J601" i="1"/>
  <c r="J613" i="1"/>
  <c r="J633" i="1"/>
  <c r="J659" i="1"/>
  <c r="J628" i="1"/>
  <c r="P196" i="1"/>
  <c r="K196" i="1"/>
  <c r="L196" i="1" s="1"/>
  <c r="P210" i="1"/>
  <c r="K210" i="1"/>
  <c r="P214" i="1"/>
  <c r="K214" i="1"/>
  <c r="P220" i="1"/>
  <c r="K220" i="1"/>
  <c r="P224" i="1"/>
  <c r="K224" i="1"/>
  <c r="P233" i="1"/>
  <c r="P231" i="1" s="1"/>
  <c r="P241" i="1"/>
  <c r="K241" i="1"/>
  <c r="P247" i="1"/>
  <c r="P254" i="1"/>
  <c r="P260" i="1"/>
  <c r="K260" i="1"/>
  <c r="L260" i="1" s="1"/>
  <c r="P266" i="1"/>
  <c r="K266" i="1"/>
  <c r="L266" i="1" s="1"/>
  <c r="P272" i="1"/>
  <c r="K272" i="1"/>
  <c r="L272" i="1" s="1"/>
  <c r="P278" i="1"/>
  <c r="K278" i="1"/>
  <c r="L278" i="1" s="1"/>
  <c r="P284" i="1"/>
  <c r="P292" i="1"/>
  <c r="K292" i="1"/>
  <c r="L292" i="1" s="1"/>
  <c r="P299" i="1"/>
  <c r="K299" i="1"/>
  <c r="L299" i="1" s="1"/>
  <c r="P307" i="1"/>
  <c r="K307" i="1"/>
  <c r="P314" i="1"/>
  <c r="K314" i="1"/>
  <c r="P319" i="1"/>
  <c r="K319" i="1"/>
  <c r="L319" i="1" s="1"/>
  <c r="P328" i="1"/>
  <c r="K328" i="1"/>
  <c r="P353" i="1"/>
  <c r="K353" i="1"/>
  <c r="L353" i="1" s="1"/>
  <c r="P385" i="1"/>
  <c r="K385" i="1"/>
  <c r="L385" i="1" s="1"/>
  <c r="P417" i="1"/>
  <c r="K417" i="1"/>
  <c r="L417" i="1" s="1"/>
  <c r="K626" i="1"/>
  <c r="L626" i="1" s="1"/>
  <c r="L625" i="1" s="1"/>
  <c r="C85" i="5" s="1"/>
  <c r="K694" i="1"/>
  <c r="L694" i="1" s="1"/>
  <c r="L693" i="1" s="1"/>
  <c r="C95" i="5" s="1"/>
  <c r="L967" i="1"/>
  <c r="K967" i="1"/>
  <c r="J565" i="1"/>
  <c r="K43" i="1"/>
  <c r="L43" i="1" s="1"/>
  <c r="K5" i="1"/>
  <c r="L5" i="1" s="1"/>
  <c r="L4" i="1" s="1"/>
  <c r="C6" i="5" s="1"/>
  <c r="K12" i="1"/>
  <c r="K18" i="1"/>
  <c r="K22" i="1"/>
  <c r="K28" i="1"/>
  <c r="K38" i="1"/>
  <c r="K57" i="1"/>
  <c r="L57" i="1" s="1"/>
  <c r="K63" i="1"/>
  <c r="L63" i="1" s="1"/>
  <c r="K69" i="1"/>
  <c r="L69" i="1" s="1"/>
  <c r="K86" i="1"/>
  <c r="K90" i="1"/>
  <c r="L90" i="1" s="1"/>
  <c r="K97" i="1"/>
  <c r="L97" i="1" s="1"/>
  <c r="K139" i="1"/>
  <c r="L139" i="1" s="1"/>
  <c r="K147" i="1"/>
  <c r="L147" i="1" s="1"/>
  <c r="K152" i="1"/>
  <c r="K168" i="1"/>
  <c r="L167" i="1" s="1"/>
  <c r="C26" i="5" s="1"/>
  <c r="K177" i="1"/>
  <c r="K183" i="1"/>
  <c r="K199" i="1"/>
  <c r="L199" i="1" s="1"/>
  <c r="L198" i="1" s="1"/>
  <c r="C31" i="5" s="1"/>
  <c r="K217" i="1"/>
  <c r="K225" i="1"/>
  <c r="L225" i="1" s="1"/>
  <c r="L216" i="1" s="1"/>
  <c r="C36" i="5" s="1"/>
  <c r="K269" i="1"/>
  <c r="L269" i="1" s="1"/>
  <c r="P285" i="1"/>
  <c r="P293" i="1"/>
  <c r="K293" i="1"/>
  <c r="L293" i="1" s="1"/>
  <c r="P300" i="1"/>
  <c r="K300" i="1"/>
  <c r="L300" i="1" s="1"/>
  <c r="P309" i="1"/>
  <c r="K309" i="1"/>
  <c r="L309" i="1" s="1"/>
  <c r="P315" i="1"/>
  <c r="K315" i="1"/>
  <c r="P325" i="1"/>
  <c r="K325" i="1"/>
  <c r="P336" i="1"/>
  <c r="K336" i="1"/>
  <c r="P425" i="1"/>
  <c r="K425" i="1"/>
  <c r="L425" i="1" s="1"/>
  <c r="K13" i="1"/>
  <c r="K19" i="1"/>
  <c r="K23" i="1"/>
  <c r="K33" i="1"/>
  <c r="L33" i="1" s="1"/>
  <c r="K48" i="1"/>
  <c r="L48" i="1" s="1"/>
  <c r="K52" i="1"/>
  <c r="L52" i="1" s="1"/>
  <c r="K60" i="1"/>
  <c r="L60" i="1" s="1"/>
  <c r="K66" i="1"/>
  <c r="L66" i="1" s="1"/>
  <c r="K87" i="1"/>
  <c r="K94" i="1"/>
  <c r="K98" i="1"/>
  <c r="L98" i="1" s="1"/>
  <c r="K107" i="1"/>
  <c r="K143" i="1"/>
  <c r="L143" i="1" s="1"/>
  <c r="K148" i="1"/>
  <c r="L148" i="1" s="1"/>
  <c r="K174" i="1"/>
  <c r="K179" i="1"/>
  <c r="L179" i="1" s="1"/>
  <c r="K187" i="1"/>
  <c r="L187" i="1" s="1"/>
  <c r="K206" i="1"/>
  <c r="K219" i="1"/>
  <c r="K232" i="1"/>
  <c r="K246" i="1"/>
  <c r="L246" i="1" s="1"/>
  <c r="K259" i="1"/>
  <c r="L259" i="1" s="1"/>
  <c r="K271" i="1"/>
  <c r="L271" i="1" s="1"/>
  <c r="P184" i="1"/>
  <c r="K184" i="1"/>
  <c r="L184" i="1" s="1"/>
  <c r="P194" i="1"/>
  <c r="K194" i="1"/>
  <c r="L194" i="1" s="1"/>
  <c r="P202" i="1"/>
  <c r="P201" i="1" s="1"/>
  <c r="K202" i="1"/>
  <c r="L202" i="1" s="1"/>
  <c r="L201" i="1" s="1"/>
  <c r="C32" i="5" s="1"/>
  <c r="P212" i="1"/>
  <c r="K212" i="1"/>
  <c r="P218" i="1"/>
  <c r="K218" i="1"/>
  <c r="P222" i="1"/>
  <c r="K222" i="1"/>
  <c r="P228" i="1"/>
  <c r="P227" i="1" s="1"/>
  <c r="K228" i="1"/>
  <c r="P237" i="1"/>
  <c r="P236" i="1" s="1"/>
  <c r="K237" i="1"/>
  <c r="P243" i="1"/>
  <c r="P249" i="1"/>
  <c r="P256" i="1"/>
  <c r="P264" i="1"/>
  <c r="K264" i="1"/>
  <c r="L264" i="1" s="1"/>
  <c r="P270" i="1"/>
  <c r="K270" i="1"/>
  <c r="L270" i="1" s="1"/>
  <c r="P276" i="1"/>
  <c r="K276" i="1"/>
  <c r="L276" i="1" s="1"/>
  <c r="P282" i="1"/>
  <c r="P288" i="1"/>
  <c r="P287" i="1" s="1"/>
  <c r="K288" i="1"/>
  <c r="L288" i="1" s="1"/>
  <c r="P294" i="1"/>
  <c r="K294" i="1"/>
  <c r="L294" i="1" s="1"/>
  <c r="P303" i="1"/>
  <c r="P302" i="1" s="1"/>
  <c r="K303" i="1"/>
  <c r="L303" i="1" s="1"/>
  <c r="L302" i="1" s="1"/>
  <c r="C49" i="5" s="1"/>
  <c r="P310" i="1"/>
  <c r="K310" i="1"/>
  <c r="L310" i="1" s="1"/>
  <c r="P317" i="1"/>
  <c r="K317" i="1"/>
  <c r="L317" i="1" s="1"/>
  <c r="P326" i="1"/>
  <c r="K326" i="1"/>
  <c r="P333" i="1"/>
  <c r="K333" i="1"/>
  <c r="K656" i="1"/>
  <c r="L656" i="1" s="1"/>
  <c r="L651" i="1" s="1"/>
  <c r="C90" i="5" s="1"/>
  <c r="K700" i="1"/>
  <c r="K721" i="1"/>
  <c r="L721" i="1" s="1"/>
  <c r="L720" i="1" s="1"/>
  <c r="C104" i="5" s="1"/>
  <c r="K10" i="1"/>
  <c r="K16" i="1"/>
  <c r="K20" i="1"/>
  <c r="K24" i="1"/>
  <c r="K34" i="1"/>
  <c r="K55" i="1"/>
  <c r="L55" i="1" s="1"/>
  <c r="K61" i="1"/>
  <c r="L61" i="1" s="1"/>
  <c r="K67" i="1"/>
  <c r="L67" i="1" s="1"/>
  <c r="K81" i="1"/>
  <c r="L81" i="1" s="1"/>
  <c r="K88" i="1"/>
  <c r="K95" i="1"/>
  <c r="K99" i="1"/>
  <c r="L99" i="1" s="1"/>
  <c r="K137" i="1"/>
  <c r="L137" i="1" s="1"/>
  <c r="K144" i="1"/>
  <c r="L144" i="1" s="1"/>
  <c r="K149" i="1"/>
  <c r="L149" i="1" s="1"/>
  <c r="K175" i="1"/>
  <c r="K180" i="1"/>
  <c r="L180" i="1" s="1"/>
  <c r="K193" i="1"/>
  <c r="L193" i="1" s="1"/>
  <c r="K211" i="1"/>
  <c r="K221" i="1"/>
  <c r="K261" i="1"/>
  <c r="L261" i="1" s="1"/>
  <c r="K275" i="1"/>
  <c r="L275" i="1" s="1"/>
  <c r="P283" i="1"/>
  <c r="P291" i="1"/>
  <c r="K291" i="1"/>
  <c r="L291" i="1" s="1"/>
  <c r="P298" i="1"/>
  <c r="K298" i="1"/>
  <c r="L298" i="1" s="1"/>
  <c r="P306" i="1"/>
  <c r="K306" i="1"/>
  <c r="P311" i="1"/>
  <c r="K311" i="1"/>
  <c r="L311" i="1" s="1"/>
  <c r="P318" i="1"/>
  <c r="K318" i="1"/>
  <c r="L318" i="1" s="1"/>
  <c r="P327" i="1"/>
  <c r="K327" i="1"/>
  <c r="P334" i="1"/>
  <c r="K334" i="1"/>
  <c r="K41" i="1"/>
  <c r="K11" i="1"/>
  <c r="K17" i="1"/>
  <c r="K21" i="1"/>
  <c r="K25" i="1"/>
  <c r="K37" i="1"/>
  <c r="K56" i="1"/>
  <c r="L56" i="1" s="1"/>
  <c r="K62" i="1"/>
  <c r="L62" i="1" s="1"/>
  <c r="K68" i="1"/>
  <c r="L68" i="1" s="1"/>
  <c r="K82" i="1"/>
  <c r="L82" i="1" s="1"/>
  <c r="K89" i="1"/>
  <c r="L89" i="1" s="1"/>
  <c r="L84" i="1" s="1"/>
  <c r="C18" i="5" s="1"/>
  <c r="K96" i="1"/>
  <c r="K100" i="1"/>
  <c r="L100" i="1" s="1"/>
  <c r="K138" i="1"/>
  <c r="L138" i="1" s="1"/>
  <c r="K145" i="1"/>
  <c r="L145" i="1" s="1"/>
  <c r="K150" i="1"/>
  <c r="L150" i="1" s="1"/>
  <c r="K165" i="1"/>
  <c r="L165" i="1" s="1"/>
  <c r="L164" i="1" s="1"/>
  <c r="C25" i="5" s="1"/>
  <c r="K176" i="1"/>
  <c r="K181" i="1"/>
  <c r="L181" i="1" s="1"/>
  <c r="K195" i="1"/>
  <c r="L195" i="1" s="1"/>
  <c r="K213" i="1"/>
  <c r="K223" i="1"/>
  <c r="K240" i="1"/>
  <c r="K253" i="1"/>
  <c r="L253" i="1" s="1"/>
  <c r="K265" i="1"/>
  <c r="L265" i="1" s="1"/>
  <c r="K277" i="1"/>
  <c r="L277" i="1" s="1"/>
  <c r="J43" i="1"/>
  <c r="M43" i="1" s="1"/>
  <c r="J79" i="1"/>
  <c r="J492" i="1"/>
  <c r="J504" i="1"/>
  <c r="J516" i="1"/>
  <c r="J528" i="1"/>
  <c r="J540" i="1"/>
  <c r="J552" i="1"/>
  <c r="J16" i="1"/>
  <c r="O16" i="1" s="1"/>
  <c r="J24" i="1"/>
  <c r="M24" i="1" s="1"/>
  <c r="J20" i="1"/>
  <c r="O20" i="1" s="1"/>
  <c r="J468" i="1"/>
  <c r="J10" i="1"/>
  <c r="P10" i="1" s="1"/>
  <c r="J444" i="1"/>
  <c r="J456" i="1"/>
  <c r="J480" i="1"/>
  <c r="P15" i="1"/>
  <c r="P345" i="1"/>
  <c r="P377" i="1"/>
  <c r="P409" i="1"/>
  <c r="J41" i="1"/>
  <c r="N41" i="1" s="1"/>
  <c r="J103" i="1"/>
  <c r="J102" i="1" s="1"/>
  <c r="J179" i="1"/>
  <c r="P190" i="1"/>
  <c r="P189" i="1" s="1"/>
  <c r="J9" i="1"/>
  <c r="P9" i="1" s="1"/>
  <c r="J13" i="1"/>
  <c r="P13" i="1" s="1"/>
  <c r="J33" i="1"/>
  <c r="J174" i="1"/>
  <c r="N174" i="1" s="1"/>
  <c r="J218" i="1"/>
  <c r="O218" i="1" s="1"/>
  <c r="J222" i="1"/>
  <c r="J228" i="1"/>
  <c r="J227" i="1" s="1"/>
  <c r="J237" i="1"/>
  <c r="J236" i="1" s="1"/>
  <c r="J264" i="1"/>
  <c r="J270" i="1"/>
  <c r="J276" i="1"/>
  <c r="J288" i="1"/>
  <c r="J287" i="1" s="1"/>
  <c r="J294" i="1"/>
  <c r="J290" i="1" s="1"/>
  <c r="J303" i="1"/>
  <c r="J302" i="1" s="1"/>
  <c r="J310" i="1"/>
  <c r="J305" i="1" s="1"/>
  <c r="J317" i="1"/>
  <c r="J313" i="1" s="1"/>
  <c r="J326" i="1"/>
  <c r="J323" i="1" s="1"/>
  <c r="J333" i="1"/>
  <c r="N333" i="1" s="1"/>
  <c r="J337" i="1"/>
  <c r="P337" i="1" s="1"/>
  <c r="J344" i="1"/>
  <c r="J339" i="1" s="1"/>
  <c r="J351" i="1"/>
  <c r="J347" i="1" s="1"/>
  <c r="J358" i="1"/>
  <c r="J355" i="1" s="1"/>
  <c r="J365" i="1"/>
  <c r="N365" i="1" s="1"/>
  <c r="J369" i="1"/>
  <c r="P369" i="1" s="1"/>
  <c r="J376" i="1"/>
  <c r="N376" i="1" s="1"/>
  <c r="J383" i="1"/>
  <c r="J379" i="1" s="1"/>
  <c r="J390" i="1"/>
  <c r="J387" i="1" s="1"/>
  <c r="J397" i="1"/>
  <c r="N397" i="1" s="1"/>
  <c r="J401" i="1"/>
  <c r="P401" i="1" s="1"/>
  <c r="J408" i="1"/>
  <c r="N408" i="1" s="1"/>
  <c r="J411" i="1"/>
  <c r="P329" i="1"/>
  <c r="P361" i="1"/>
  <c r="P393" i="1"/>
  <c r="P341" i="1"/>
  <c r="P352" i="1"/>
  <c r="P359" i="1"/>
  <c r="P366" i="1"/>
  <c r="L366" i="1"/>
  <c r="P373" i="1"/>
  <c r="P384" i="1"/>
  <c r="P391" i="1"/>
  <c r="P398" i="1"/>
  <c r="P405" i="1"/>
  <c r="P416" i="1"/>
  <c r="P423" i="1"/>
  <c r="P430" i="1"/>
  <c r="P437" i="1"/>
  <c r="P450" i="1"/>
  <c r="P454" i="1"/>
  <c r="P462" i="1"/>
  <c r="P466" i="1"/>
  <c r="P474" i="1"/>
  <c r="P478" i="1"/>
  <c r="P486" i="1"/>
  <c r="P490" i="1"/>
  <c r="P498" i="1"/>
  <c r="P502" i="1"/>
  <c r="P510" i="1"/>
  <c r="P514" i="1"/>
  <c r="P522" i="1"/>
  <c r="P526" i="1"/>
  <c r="P534" i="1"/>
  <c r="P538" i="1"/>
  <c r="P546" i="1"/>
  <c r="P550" i="1"/>
  <c r="P558" i="1"/>
  <c r="P562" i="1"/>
  <c r="P571" i="1"/>
  <c r="P575" i="1"/>
  <c r="P583" i="1"/>
  <c r="P587" i="1"/>
  <c r="P595" i="1"/>
  <c r="P599" i="1"/>
  <c r="P607" i="1"/>
  <c r="P611" i="1"/>
  <c r="P619" i="1"/>
  <c r="P623" i="1"/>
  <c r="P631" i="1"/>
  <c r="P639" i="1"/>
  <c r="P646" i="1"/>
  <c r="P653" i="1"/>
  <c r="P657" i="1"/>
  <c r="P664" i="1"/>
  <c r="P673" i="1"/>
  <c r="P677" i="1"/>
  <c r="P685" i="1"/>
  <c r="P691" i="1"/>
  <c r="P711" i="1"/>
  <c r="P964" i="1"/>
  <c r="P963" i="1" s="1"/>
  <c r="L964" i="1"/>
  <c r="J435" i="1"/>
  <c r="L24" i="1"/>
  <c r="P335" i="1"/>
  <c r="P342" i="1"/>
  <c r="P349" i="1"/>
  <c r="P360" i="1"/>
  <c r="P367" i="1"/>
  <c r="L367" i="1"/>
  <c r="P374" i="1"/>
  <c r="P381" i="1"/>
  <c r="P392" i="1"/>
  <c r="P399" i="1"/>
  <c r="P406" i="1"/>
  <c r="P413" i="1"/>
  <c r="P424" i="1"/>
  <c r="P431" i="1"/>
  <c r="P438" i="1"/>
  <c r="P447" i="1"/>
  <c r="P451" i="1"/>
  <c r="P459" i="1"/>
  <c r="P463" i="1"/>
  <c r="P471" i="1"/>
  <c r="P475" i="1"/>
  <c r="P483" i="1"/>
  <c r="P487" i="1"/>
  <c r="P495" i="1"/>
  <c r="P499" i="1"/>
  <c r="P507" i="1"/>
  <c r="P511" i="1"/>
  <c r="P519" i="1"/>
  <c r="P523" i="1"/>
  <c r="P531" i="1"/>
  <c r="P535" i="1"/>
  <c r="P543" i="1"/>
  <c r="P547" i="1"/>
  <c r="P555" i="1"/>
  <c r="P559" i="1"/>
  <c r="P568" i="1"/>
  <c r="P572" i="1"/>
  <c r="P580" i="1"/>
  <c r="P584" i="1"/>
  <c r="P592" i="1"/>
  <c r="P596" i="1"/>
  <c r="P604" i="1"/>
  <c r="P608" i="1"/>
  <c r="P616" i="1"/>
  <c r="P620" i="1"/>
  <c r="P634" i="1"/>
  <c r="P640" i="1"/>
  <c r="P647" i="1"/>
  <c r="P654" i="1"/>
  <c r="P661" i="1"/>
  <c r="P665" i="1"/>
  <c r="P674" i="1"/>
  <c r="P682" i="1"/>
  <c r="P686" i="1"/>
  <c r="P706" i="1"/>
  <c r="P705" i="1" s="1"/>
  <c r="P714" i="1"/>
  <c r="P713" i="1" s="1"/>
  <c r="P727" i="1"/>
  <c r="P726" i="1" s="1"/>
  <c r="L25" i="1"/>
  <c r="L37" i="1"/>
  <c r="P343" i="1"/>
  <c r="P350" i="1"/>
  <c r="P357" i="1"/>
  <c r="P368" i="1"/>
  <c r="L368" i="1"/>
  <c r="P375" i="1"/>
  <c r="P382" i="1"/>
  <c r="P389" i="1"/>
  <c r="P400" i="1"/>
  <c r="P407" i="1"/>
  <c r="P414" i="1"/>
  <c r="P421" i="1"/>
  <c r="P432" i="1"/>
  <c r="P439" i="1"/>
  <c r="P448" i="1"/>
  <c r="P452" i="1"/>
  <c r="P460" i="1"/>
  <c r="P464" i="1"/>
  <c r="P472" i="1"/>
  <c r="P476" i="1"/>
  <c r="P484" i="1"/>
  <c r="P488" i="1"/>
  <c r="P496" i="1"/>
  <c r="P500" i="1"/>
  <c r="P508" i="1"/>
  <c r="P512" i="1"/>
  <c r="P520" i="1"/>
  <c r="P524" i="1"/>
  <c r="P532" i="1"/>
  <c r="P536" i="1"/>
  <c r="P544" i="1"/>
  <c r="P548" i="1"/>
  <c r="P556" i="1"/>
  <c r="P560" i="1"/>
  <c r="P569" i="1"/>
  <c r="P573" i="1"/>
  <c r="P581" i="1"/>
  <c r="P585" i="1"/>
  <c r="P593" i="1"/>
  <c r="P597" i="1"/>
  <c r="P605" i="1"/>
  <c r="P609" i="1"/>
  <c r="P617" i="1"/>
  <c r="P621" i="1"/>
  <c r="P629" i="1"/>
  <c r="P635" i="1"/>
  <c r="P641" i="1"/>
  <c r="P648" i="1"/>
  <c r="P655" i="1"/>
  <c r="P662" i="1"/>
  <c r="P666" i="1"/>
  <c r="P675" i="1"/>
  <c r="P683" i="1"/>
  <c r="P689" i="1"/>
  <c r="P709" i="1"/>
  <c r="P958" i="1"/>
  <c r="P957" i="1" s="1"/>
  <c r="L958" i="1"/>
  <c r="L28" i="1"/>
  <c r="L27" i="1" s="1"/>
  <c r="C9" i="5" s="1"/>
  <c r="P344" i="1"/>
  <c r="P351" i="1"/>
  <c r="P358" i="1"/>
  <c r="P365" i="1"/>
  <c r="L365" i="1"/>
  <c r="L363" i="1" s="1"/>
  <c r="C58" i="5" s="1"/>
  <c r="P376" i="1"/>
  <c r="P383" i="1"/>
  <c r="P390" i="1"/>
  <c r="P397" i="1"/>
  <c r="P408" i="1"/>
  <c r="P415" i="1"/>
  <c r="P422" i="1"/>
  <c r="P429" i="1"/>
  <c r="P440" i="1"/>
  <c r="P449" i="1"/>
  <c r="P453" i="1"/>
  <c r="P461" i="1"/>
  <c r="P465" i="1"/>
  <c r="P473" i="1"/>
  <c r="P477" i="1"/>
  <c r="P485" i="1"/>
  <c r="P489" i="1"/>
  <c r="P497" i="1"/>
  <c r="P501" i="1"/>
  <c r="P509" i="1"/>
  <c r="P513" i="1"/>
  <c r="P521" i="1"/>
  <c r="P525" i="1"/>
  <c r="P533" i="1"/>
  <c r="P537" i="1"/>
  <c r="P545" i="1"/>
  <c r="P549" i="1"/>
  <c r="P557" i="1"/>
  <c r="P561" i="1"/>
  <c r="P570" i="1"/>
  <c r="P574" i="1"/>
  <c r="P582" i="1"/>
  <c r="P586" i="1"/>
  <c r="P594" i="1"/>
  <c r="P598" i="1"/>
  <c r="P606" i="1"/>
  <c r="P610" i="1"/>
  <c r="P618" i="1"/>
  <c r="P622" i="1"/>
  <c r="P630" i="1"/>
  <c r="P636" i="1"/>
  <c r="P645" i="1"/>
  <c r="P649" i="1"/>
  <c r="P663" i="1"/>
  <c r="P667" i="1"/>
  <c r="P676" i="1"/>
  <c r="P684" i="1"/>
  <c r="P690" i="1"/>
  <c r="P710" i="1"/>
  <c r="P961" i="1"/>
  <c r="P960" i="1" s="1"/>
  <c r="L961" i="1"/>
  <c r="J419" i="1"/>
  <c r="J427" i="1"/>
  <c r="L9" i="1"/>
  <c r="L23" i="1"/>
  <c r="L15" i="1" s="1"/>
  <c r="C8" i="5" s="1"/>
  <c r="L237" i="1"/>
  <c r="J84" i="1"/>
  <c r="J192" i="1"/>
  <c r="J208" i="1"/>
  <c r="N5" i="1"/>
  <c r="N4" i="1" s="1"/>
  <c r="J5" i="1"/>
  <c r="O5" i="1"/>
  <c r="O4" i="1" s="1"/>
  <c r="J92" i="1"/>
  <c r="P656" i="1"/>
  <c r="P433" i="1"/>
  <c r="P441" i="1"/>
  <c r="P626" i="1"/>
  <c r="P625" i="1" s="1"/>
  <c r="P694" i="1"/>
  <c r="P693" i="1" s="1"/>
  <c r="P967" i="1"/>
  <c r="P966" i="1" s="1"/>
  <c r="P165" i="1"/>
  <c r="P164" i="1" s="1"/>
  <c r="J18" i="1"/>
  <c r="O18" i="1" s="1"/>
  <c r="G156" i="1"/>
  <c r="G157" i="1"/>
  <c r="G158" i="1"/>
  <c r="K158" i="1" s="1"/>
  <c r="L158" i="1" s="1"/>
  <c r="J154" i="1"/>
  <c r="G155" i="1"/>
  <c r="J155" i="1" s="1"/>
  <c r="O155" i="1" s="1"/>
  <c r="P11" i="1"/>
  <c r="N82" i="1"/>
  <c r="P82" i="1"/>
  <c r="N100" i="1"/>
  <c r="P100" i="1"/>
  <c r="M147" i="1"/>
  <c r="P147" i="1"/>
  <c r="M44" i="1"/>
  <c r="P44" i="1"/>
  <c r="M51" i="1"/>
  <c r="P51" i="1"/>
  <c r="P57" i="1"/>
  <c r="M63" i="1"/>
  <c r="P63" i="1"/>
  <c r="M69" i="1"/>
  <c r="P69" i="1"/>
  <c r="O86" i="1"/>
  <c r="P86" i="1"/>
  <c r="N90" i="1"/>
  <c r="P90" i="1"/>
  <c r="N122" i="1"/>
  <c r="P122" i="1"/>
  <c r="N130" i="1"/>
  <c r="P130" i="1"/>
  <c r="O134" i="1"/>
  <c r="P134" i="1"/>
  <c r="N143" i="1"/>
  <c r="P143" i="1"/>
  <c r="N158" i="1"/>
  <c r="P158" i="1"/>
  <c r="M158" i="1"/>
  <c r="M154" i="1"/>
  <c r="M155" i="1"/>
  <c r="N74" i="1"/>
  <c r="P74" i="1"/>
  <c r="O96" i="1"/>
  <c r="P96" i="1"/>
  <c r="N133" i="1"/>
  <c r="P133" i="1"/>
  <c r="P33" i="1"/>
  <c r="O41" i="1"/>
  <c r="P41" i="1"/>
  <c r="N48" i="1"/>
  <c r="P48" i="1"/>
  <c r="N52" i="1"/>
  <c r="N60" i="1"/>
  <c r="P60" i="1"/>
  <c r="N66" i="1"/>
  <c r="P66" i="1"/>
  <c r="N72" i="1"/>
  <c r="P72" i="1"/>
  <c r="O76" i="1"/>
  <c r="P76" i="1"/>
  <c r="M87" i="1"/>
  <c r="P87" i="1"/>
  <c r="O94" i="1"/>
  <c r="P94" i="1"/>
  <c r="O98" i="1"/>
  <c r="P98" i="1"/>
  <c r="O107" i="1"/>
  <c r="O106" i="1" s="1"/>
  <c r="P107" i="1"/>
  <c r="P106" i="1" s="1"/>
  <c r="N123" i="1"/>
  <c r="P123" i="1"/>
  <c r="N131" i="1"/>
  <c r="P131" i="1"/>
  <c r="N137" i="1"/>
  <c r="P137" i="1"/>
  <c r="N144" i="1"/>
  <c r="P144" i="1"/>
  <c r="M157" i="1"/>
  <c r="P157" i="1"/>
  <c r="N157" i="1"/>
  <c r="N89" i="1"/>
  <c r="P89" i="1"/>
  <c r="N121" i="1"/>
  <c r="P121" i="1"/>
  <c r="O125" i="1"/>
  <c r="P125" i="1"/>
  <c r="O139" i="1"/>
  <c r="P139" i="1"/>
  <c r="N12" i="1"/>
  <c r="P12" i="1"/>
  <c r="P38" i="1"/>
  <c r="P36" i="1" s="1"/>
  <c r="O13" i="1"/>
  <c r="M10" i="1"/>
  <c r="N34" i="1"/>
  <c r="P34" i="1"/>
  <c r="M42" i="1"/>
  <c r="P42" i="1"/>
  <c r="P49" i="1"/>
  <c r="P55" i="1"/>
  <c r="P61" i="1"/>
  <c r="P67" i="1"/>
  <c r="O88" i="1"/>
  <c r="P88" i="1"/>
  <c r="M95" i="1"/>
  <c r="P95" i="1"/>
  <c r="N99" i="1"/>
  <c r="P99" i="1"/>
  <c r="N124" i="1"/>
  <c r="P124" i="1"/>
  <c r="N132" i="1"/>
  <c r="P132" i="1"/>
  <c r="N138" i="1"/>
  <c r="P138" i="1"/>
  <c r="O145" i="1"/>
  <c r="P145" i="1"/>
  <c r="N154" i="1"/>
  <c r="P154" i="1"/>
  <c r="P156" i="1"/>
  <c r="N156" i="1"/>
  <c r="M156" i="1"/>
  <c r="P159" i="1"/>
  <c r="O159" i="1"/>
  <c r="N159" i="1"/>
  <c r="P155" i="1"/>
  <c r="N155" i="1"/>
  <c r="P111" i="1"/>
  <c r="N113" i="1"/>
  <c r="M114" i="1"/>
  <c r="P115" i="1"/>
  <c r="O116" i="1"/>
  <c r="M111" i="1"/>
  <c r="P112" i="1"/>
  <c r="N114" i="1"/>
  <c r="M115" i="1"/>
  <c r="P116" i="1"/>
  <c r="N111" i="1"/>
  <c r="M112" i="1"/>
  <c r="P113" i="1"/>
  <c r="N115" i="1"/>
  <c r="M97" i="1"/>
  <c r="O103" i="1"/>
  <c r="O102" i="1" s="1"/>
  <c r="M103" i="1"/>
  <c r="M102" i="1" s="1"/>
  <c r="N148" i="1"/>
  <c r="M148" i="1"/>
  <c r="N152" i="1"/>
  <c r="M152" i="1"/>
  <c r="O152" i="1"/>
  <c r="O175" i="1"/>
  <c r="M175" i="1"/>
  <c r="M180" i="1"/>
  <c r="N180" i="1"/>
  <c r="O187" i="1"/>
  <c r="O186" i="1" s="1"/>
  <c r="N187" i="1"/>
  <c r="N186" i="1" s="1"/>
  <c r="M187" i="1"/>
  <c r="M186" i="1" s="1"/>
  <c r="O195" i="1"/>
  <c r="N195" i="1"/>
  <c r="M195" i="1"/>
  <c r="O206" i="1"/>
  <c r="O205" i="1" s="1"/>
  <c r="N206" i="1"/>
  <c r="N205" i="1" s="1"/>
  <c r="M206" i="1"/>
  <c r="M205" i="1" s="1"/>
  <c r="O213" i="1"/>
  <c r="N213" i="1"/>
  <c r="M213" i="1"/>
  <c r="N219" i="1"/>
  <c r="M219" i="1"/>
  <c r="O223" i="1"/>
  <c r="N223" i="1"/>
  <c r="O232" i="1"/>
  <c r="N232" i="1"/>
  <c r="O240" i="1"/>
  <c r="M240" i="1"/>
  <c r="N246" i="1"/>
  <c r="M246" i="1"/>
  <c r="N253" i="1"/>
  <c r="M253" i="1"/>
  <c r="O259" i="1"/>
  <c r="N259" i="1"/>
  <c r="M259" i="1"/>
  <c r="N265" i="1"/>
  <c r="M265" i="1"/>
  <c r="N271" i="1"/>
  <c r="M271" i="1"/>
  <c r="O277" i="1"/>
  <c r="N277" i="1"/>
  <c r="N283" i="1"/>
  <c r="M283" i="1"/>
  <c r="O291" i="1"/>
  <c r="N291" i="1"/>
  <c r="M291" i="1"/>
  <c r="O298" i="1"/>
  <c r="N298" i="1"/>
  <c r="M298" i="1"/>
  <c r="M306" i="1"/>
  <c r="O306" i="1"/>
  <c r="M311" i="1"/>
  <c r="O311" i="1"/>
  <c r="N311" i="1"/>
  <c r="M318" i="1"/>
  <c r="O318" i="1"/>
  <c r="N318" i="1"/>
  <c r="M327" i="1"/>
  <c r="O327" i="1"/>
  <c r="O334" i="1"/>
  <c r="M334" i="1"/>
  <c r="O341" i="1"/>
  <c r="M341" i="1"/>
  <c r="N345" i="1"/>
  <c r="M345" i="1"/>
  <c r="O345" i="1"/>
  <c r="O352" i="1"/>
  <c r="M352" i="1"/>
  <c r="O359" i="1"/>
  <c r="M359" i="1"/>
  <c r="O366" i="1"/>
  <c r="M366" i="1"/>
  <c r="O373" i="1"/>
  <c r="M373" i="1"/>
  <c r="N377" i="1"/>
  <c r="M377" i="1"/>
  <c r="O377" i="1"/>
  <c r="O384" i="1"/>
  <c r="M384" i="1"/>
  <c r="O391" i="1"/>
  <c r="M391" i="1"/>
  <c r="O398" i="1"/>
  <c r="M398" i="1"/>
  <c r="O405" i="1"/>
  <c r="M405" i="1"/>
  <c r="N409" i="1"/>
  <c r="M409" i="1"/>
  <c r="O409" i="1"/>
  <c r="O416" i="1"/>
  <c r="M416" i="1"/>
  <c r="O423" i="1"/>
  <c r="M423" i="1"/>
  <c r="O430" i="1"/>
  <c r="M430" i="1"/>
  <c r="O437" i="1"/>
  <c r="N441" i="1"/>
  <c r="O441" i="1"/>
  <c r="M450" i="1"/>
  <c r="O450" i="1"/>
  <c r="M454" i="1"/>
  <c r="O454" i="1"/>
  <c r="N454" i="1"/>
  <c r="O462" i="1"/>
  <c r="M462" i="1"/>
  <c r="O466" i="1"/>
  <c r="N466" i="1"/>
  <c r="M466" i="1"/>
  <c r="O474" i="1"/>
  <c r="M474" i="1"/>
  <c r="N478" i="1"/>
  <c r="M478" i="1"/>
  <c r="O486" i="1"/>
  <c r="M486" i="1"/>
  <c r="N490" i="1"/>
  <c r="M490" i="1"/>
  <c r="O498" i="1"/>
  <c r="M498" i="1"/>
  <c r="O502" i="1"/>
  <c r="N502" i="1"/>
  <c r="M502" i="1"/>
  <c r="O510" i="1"/>
  <c r="M510" i="1"/>
  <c r="O514" i="1"/>
  <c r="N514" i="1"/>
  <c r="M514" i="1"/>
  <c r="O522" i="1"/>
  <c r="M522" i="1"/>
  <c r="M526" i="1"/>
  <c r="O526" i="1"/>
  <c r="N526" i="1"/>
  <c r="O534" i="1"/>
  <c r="M534" i="1"/>
  <c r="M538" i="1"/>
  <c r="O538" i="1"/>
  <c r="N538" i="1"/>
  <c r="O546" i="1"/>
  <c r="M546" i="1"/>
  <c r="M550" i="1"/>
  <c r="O550" i="1"/>
  <c r="N550" i="1"/>
  <c r="O558" i="1"/>
  <c r="M558" i="1"/>
  <c r="M562" i="1"/>
  <c r="O562" i="1"/>
  <c r="N562" i="1"/>
  <c r="M571" i="1"/>
  <c r="O571" i="1"/>
  <c r="N575" i="1"/>
  <c r="M575" i="1"/>
  <c r="O583" i="1"/>
  <c r="M583" i="1"/>
  <c r="N587" i="1"/>
  <c r="M587" i="1"/>
  <c r="M595" i="1"/>
  <c r="O595" i="1"/>
  <c r="N599" i="1"/>
  <c r="M599" i="1"/>
  <c r="O607" i="1"/>
  <c r="M607" i="1"/>
  <c r="N611" i="1"/>
  <c r="M611" i="1"/>
  <c r="M619" i="1"/>
  <c r="O619" i="1"/>
  <c r="M623" i="1"/>
  <c r="N623" i="1"/>
  <c r="N631" i="1"/>
  <c r="O631" i="1"/>
  <c r="O639" i="1"/>
  <c r="M639" i="1"/>
  <c r="O646" i="1"/>
  <c r="M646" i="1"/>
  <c r="M653" i="1"/>
  <c r="O653" i="1"/>
  <c r="N657" i="1"/>
  <c r="M657" i="1"/>
  <c r="N664" i="1"/>
  <c r="M664" i="1"/>
  <c r="N673" i="1"/>
  <c r="M673" i="1"/>
  <c r="N677" i="1"/>
  <c r="O677" i="1"/>
  <c r="N685" i="1"/>
  <c r="M685" i="1"/>
  <c r="N691" i="1"/>
  <c r="M691" i="1"/>
  <c r="O691" i="1"/>
  <c r="N703" i="1"/>
  <c r="N702" i="1" s="1"/>
  <c r="M703" i="1"/>
  <c r="M702" i="1" s="1"/>
  <c r="O703" i="1"/>
  <c r="O702" i="1" s="1"/>
  <c r="O711" i="1"/>
  <c r="M711" i="1"/>
  <c r="O724" i="1"/>
  <c r="O723" i="1" s="1"/>
  <c r="N724" i="1"/>
  <c r="N723" i="1" s="1"/>
  <c r="M724" i="1"/>
  <c r="M723" i="1" s="1"/>
  <c r="O964" i="1"/>
  <c r="O963" i="1" s="1"/>
  <c r="N964" i="1"/>
  <c r="N963" i="1" s="1"/>
  <c r="M964" i="1"/>
  <c r="M963" i="1" s="1"/>
  <c r="N16" i="1"/>
  <c r="O25" i="1"/>
  <c r="O24" i="1"/>
  <c r="O23" i="1"/>
  <c r="M9" i="1"/>
  <c r="N10" i="1"/>
  <c r="N11" i="1"/>
  <c r="O12" i="1"/>
  <c r="N33" i="1"/>
  <c r="N38" i="1"/>
  <c r="O42" i="1"/>
  <c r="N44" i="1"/>
  <c r="N51" i="1"/>
  <c r="O52" i="1"/>
  <c r="M56" i="1"/>
  <c r="N57" i="1"/>
  <c r="N63" i="1"/>
  <c r="O66" i="1"/>
  <c r="N69" i="1"/>
  <c r="M73" i="1"/>
  <c r="M75" i="1"/>
  <c r="M81" i="1"/>
  <c r="M82" i="1"/>
  <c r="O82" i="1"/>
  <c r="M94" i="1"/>
  <c r="O95" i="1"/>
  <c r="M96" i="1"/>
  <c r="N97" i="1"/>
  <c r="N103" i="1"/>
  <c r="N102" i="1" s="1"/>
  <c r="M123" i="1"/>
  <c r="M131" i="1"/>
  <c r="M137" i="1"/>
  <c r="M144" i="1"/>
  <c r="N98" i="1"/>
  <c r="M149" i="1"/>
  <c r="N149" i="1"/>
  <c r="O165" i="1"/>
  <c r="O164" i="1" s="1"/>
  <c r="N165" i="1"/>
  <c r="N164" i="1" s="1"/>
  <c r="M165" i="1"/>
  <c r="M164" i="1" s="1"/>
  <c r="O176" i="1"/>
  <c r="M176" i="1"/>
  <c r="N181" i="1"/>
  <c r="M181" i="1"/>
  <c r="O181" i="1"/>
  <c r="O190" i="1"/>
  <c r="O189" i="1" s="1"/>
  <c r="N190" i="1"/>
  <c r="N189" i="1" s="1"/>
  <c r="M190" i="1"/>
  <c r="M189" i="1" s="1"/>
  <c r="O196" i="1"/>
  <c r="N196" i="1"/>
  <c r="M196" i="1"/>
  <c r="O210" i="1"/>
  <c r="N210" i="1"/>
  <c r="M210" i="1"/>
  <c r="O214" i="1"/>
  <c r="N214" i="1"/>
  <c r="M214" i="1"/>
  <c r="N220" i="1"/>
  <c r="M220" i="1"/>
  <c r="O224" i="1"/>
  <c r="N224" i="1"/>
  <c r="O233" i="1"/>
  <c r="N233" i="1"/>
  <c r="O241" i="1"/>
  <c r="M241" i="1"/>
  <c r="M247" i="1"/>
  <c r="N247" i="1"/>
  <c r="M254" i="1"/>
  <c r="N254" i="1"/>
  <c r="M260" i="1"/>
  <c r="N260" i="1"/>
  <c r="O266" i="1"/>
  <c r="N266" i="1"/>
  <c r="O272" i="1"/>
  <c r="N272" i="1"/>
  <c r="M278" i="1"/>
  <c r="N278" i="1"/>
  <c r="M284" i="1"/>
  <c r="N284" i="1"/>
  <c r="M292" i="1"/>
  <c r="O292" i="1"/>
  <c r="N292" i="1"/>
  <c r="M299" i="1"/>
  <c r="O299" i="1"/>
  <c r="N299" i="1"/>
  <c r="O307" i="1"/>
  <c r="M307" i="1"/>
  <c r="O314" i="1"/>
  <c r="M314" i="1"/>
  <c r="N319" i="1"/>
  <c r="O319" i="1"/>
  <c r="M319" i="1"/>
  <c r="O328" i="1"/>
  <c r="M328" i="1"/>
  <c r="O335" i="1"/>
  <c r="M335" i="1"/>
  <c r="M342" i="1"/>
  <c r="O342" i="1"/>
  <c r="O349" i="1"/>
  <c r="M349" i="1"/>
  <c r="O353" i="1"/>
  <c r="N353" i="1"/>
  <c r="M353" i="1"/>
  <c r="M360" i="1"/>
  <c r="O360" i="1"/>
  <c r="O367" i="1"/>
  <c r="M367" i="1"/>
  <c r="M374" i="1"/>
  <c r="O374" i="1"/>
  <c r="O381" i="1"/>
  <c r="M381" i="1"/>
  <c r="O385" i="1"/>
  <c r="N385" i="1"/>
  <c r="M385" i="1"/>
  <c r="M392" i="1"/>
  <c r="O392" i="1"/>
  <c r="O399" i="1"/>
  <c r="M399" i="1"/>
  <c r="M406" i="1"/>
  <c r="O406" i="1"/>
  <c r="O413" i="1"/>
  <c r="M413" i="1"/>
  <c r="O417" i="1"/>
  <c r="N417" i="1"/>
  <c r="M417" i="1"/>
  <c r="M424" i="1"/>
  <c r="O424" i="1"/>
  <c r="O431" i="1"/>
  <c r="M431" i="1"/>
  <c r="O438" i="1"/>
  <c r="O447" i="1"/>
  <c r="M447" i="1"/>
  <c r="N451" i="1"/>
  <c r="M451" i="1"/>
  <c r="O459" i="1"/>
  <c r="M459" i="1"/>
  <c r="O463" i="1"/>
  <c r="N463" i="1"/>
  <c r="M463" i="1"/>
  <c r="O471" i="1"/>
  <c r="M471" i="1"/>
  <c r="M475" i="1"/>
  <c r="O475" i="1"/>
  <c r="N475" i="1"/>
  <c r="O483" i="1"/>
  <c r="M483" i="1"/>
  <c r="N487" i="1"/>
  <c r="M487" i="1"/>
  <c r="M495" i="1"/>
  <c r="O495" i="1"/>
  <c r="M499" i="1"/>
  <c r="O499" i="1"/>
  <c r="N499" i="1"/>
  <c r="M507" i="1"/>
  <c r="O507" i="1"/>
  <c r="M511" i="1"/>
  <c r="O511" i="1"/>
  <c r="N511" i="1"/>
  <c r="M519" i="1"/>
  <c r="O519" i="1"/>
  <c r="N523" i="1"/>
  <c r="M523" i="1"/>
  <c r="O523" i="1"/>
  <c r="O531" i="1"/>
  <c r="M531" i="1"/>
  <c r="N535" i="1"/>
  <c r="M535" i="1"/>
  <c r="O535" i="1"/>
  <c r="O543" i="1"/>
  <c r="M543" i="1"/>
  <c r="N547" i="1"/>
  <c r="M547" i="1"/>
  <c r="O547" i="1"/>
  <c r="O555" i="1"/>
  <c r="M555" i="1"/>
  <c r="N559" i="1"/>
  <c r="M559" i="1"/>
  <c r="O559" i="1"/>
  <c r="O568" i="1"/>
  <c r="M568" i="1"/>
  <c r="N572" i="1"/>
  <c r="M572" i="1"/>
  <c r="O580" i="1"/>
  <c r="M580" i="1"/>
  <c r="N584" i="1"/>
  <c r="M584" i="1"/>
  <c r="O592" i="1"/>
  <c r="M592" i="1"/>
  <c r="N596" i="1"/>
  <c r="M596" i="1"/>
  <c r="O604" i="1"/>
  <c r="M604" i="1"/>
  <c r="N608" i="1"/>
  <c r="M608" i="1"/>
  <c r="O616" i="1"/>
  <c r="M616" i="1"/>
  <c r="N620" i="1"/>
  <c r="M620" i="1"/>
  <c r="O626" i="1"/>
  <c r="O625" i="1" s="1"/>
  <c r="N626" i="1"/>
  <c r="N625" i="1" s="1"/>
  <c r="M626" i="1"/>
  <c r="M625" i="1" s="1"/>
  <c r="O634" i="1"/>
  <c r="M634" i="1"/>
  <c r="M640" i="1"/>
  <c r="N640" i="1"/>
  <c r="O647" i="1"/>
  <c r="M647" i="1"/>
  <c r="O654" i="1"/>
  <c r="M654" i="1"/>
  <c r="M661" i="1"/>
  <c r="O661" i="1"/>
  <c r="O665" i="1"/>
  <c r="N665" i="1"/>
  <c r="N674" i="1"/>
  <c r="M674" i="1"/>
  <c r="N682" i="1"/>
  <c r="M682" i="1"/>
  <c r="O686" i="1"/>
  <c r="N686" i="1"/>
  <c r="O694" i="1"/>
  <c r="O693" i="1" s="1"/>
  <c r="N694" i="1"/>
  <c r="N693" i="1" s="1"/>
  <c r="M694" i="1"/>
  <c r="M693" i="1" s="1"/>
  <c r="O706" i="1"/>
  <c r="O705" i="1" s="1"/>
  <c r="N706" i="1"/>
  <c r="N705" i="1" s="1"/>
  <c r="O714" i="1"/>
  <c r="O713" i="1" s="1"/>
  <c r="M714" i="1"/>
  <c r="M713" i="1" s="1"/>
  <c r="O727" i="1"/>
  <c r="O726" i="1" s="1"/>
  <c r="N727" i="1"/>
  <c r="N726" i="1" s="1"/>
  <c r="M967" i="1"/>
  <c r="M966" i="1" s="1"/>
  <c r="O967" i="1"/>
  <c r="O966" i="1" s="1"/>
  <c r="N967" i="1"/>
  <c r="N966" i="1" s="1"/>
  <c r="M16" i="1"/>
  <c r="N25" i="1"/>
  <c r="N24" i="1"/>
  <c r="N23" i="1"/>
  <c r="N22" i="1"/>
  <c r="N21" i="1"/>
  <c r="N20" i="1"/>
  <c r="N19" i="1"/>
  <c r="N18" i="1"/>
  <c r="N17" i="1"/>
  <c r="N9" i="1"/>
  <c r="O10" i="1"/>
  <c r="O11" i="1"/>
  <c r="M13" i="1"/>
  <c r="N28" i="1"/>
  <c r="N27" i="1" s="1"/>
  <c r="O33" i="1"/>
  <c r="N37" i="1"/>
  <c r="O38" i="1"/>
  <c r="N43" i="1"/>
  <c r="M49" i="1"/>
  <c r="N50" i="1"/>
  <c r="M55" i="1"/>
  <c r="N56" i="1"/>
  <c r="O57" i="1"/>
  <c r="M61" i="1"/>
  <c r="N62" i="1"/>
  <c r="M67" i="1"/>
  <c r="N68" i="1"/>
  <c r="N73" i="1"/>
  <c r="N75" i="1"/>
  <c r="N81" i="1"/>
  <c r="M86" i="1"/>
  <c r="O97" i="1"/>
  <c r="M98" i="1"/>
  <c r="O99" i="1"/>
  <c r="O100" i="1"/>
  <c r="M107" i="1"/>
  <c r="M106" i="1" s="1"/>
  <c r="M124" i="1"/>
  <c r="M132" i="1"/>
  <c r="M138" i="1"/>
  <c r="N145" i="1"/>
  <c r="M99" i="1"/>
  <c r="N150" i="1"/>
  <c r="M150" i="1"/>
  <c r="M168" i="1"/>
  <c r="M167" i="1" s="1"/>
  <c r="O168" i="1"/>
  <c r="O167" i="1" s="1"/>
  <c r="M177" i="1"/>
  <c r="O177" i="1"/>
  <c r="O183" i="1"/>
  <c r="M183" i="1"/>
  <c r="M193" i="1"/>
  <c r="O193" i="1"/>
  <c r="N193" i="1"/>
  <c r="M199" i="1"/>
  <c r="M198" i="1" s="1"/>
  <c r="O199" i="1"/>
  <c r="O198" i="1" s="1"/>
  <c r="N199" i="1"/>
  <c r="N198" i="1" s="1"/>
  <c r="M211" i="1"/>
  <c r="O211" i="1"/>
  <c r="N211" i="1"/>
  <c r="M217" i="1"/>
  <c r="N217" i="1"/>
  <c r="M221" i="1"/>
  <c r="N221" i="1"/>
  <c r="O225" i="1"/>
  <c r="N225" i="1"/>
  <c r="M234" i="1"/>
  <c r="N234" i="1"/>
  <c r="N242" i="1"/>
  <c r="M242" i="1"/>
  <c r="N248" i="1"/>
  <c r="M248" i="1"/>
  <c r="N255" i="1"/>
  <c r="M255" i="1"/>
  <c r="N261" i="1"/>
  <c r="O261" i="1"/>
  <c r="N269" i="1"/>
  <c r="M269" i="1"/>
  <c r="N275" i="1"/>
  <c r="M275" i="1"/>
  <c r="N281" i="1"/>
  <c r="M281" i="1"/>
  <c r="N285" i="1"/>
  <c r="O285" i="1"/>
  <c r="N293" i="1"/>
  <c r="M293" i="1"/>
  <c r="O293" i="1"/>
  <c r="O300" i="1"/>
  <c r="N300" i="1"/>
  <c r="O309" i="1"/>
  <c r="M309" i="1"/>
  <c r="N309" i="1"/>
  <c r="M315" i="1"/>
  <c r="O315" i="1"/>
  <c r="M325" i="1"/>
  <c r="O325" i="1"/>
  <c r="O329" i="1"/>
  <c r="M329" i="1"/>
  <c r="N329" i="1"/>
  <c r="O336" i="1"/>
  <c r="M336" i="1"/>
  <c r="O343" i="1"/>
  <c r="M343" i="1"/>
  <c r="O350" i="1"/>
  <c r="M350" i="1"/>
  <c r="O357" i="1"/>
  <c r="M357" i="1"/>
  <c r="O361" i="1"/>
  <c r="N361" i="1"/>
  <c r="M361" i="1"/>
  <c r="O368" i="1"/>
  <c r="M368" i="1"/>
  <c r="O375" i="1"/>
  <c r="M375" i="1"/>
  <c r="O382" i="1"/>
  <c r="M382" i="1"/>
  <c r="O389" i="1"/>
  <c r="M389" i="1"/>
  <c r="O393" i="1"/>
  <c r="N393" i="1"/>
  <c r="M393" i="1"/>
  <c r="O400" i="1"/>
  <c r="M400" i="1"/>
  <c r="O407" i="1"/>
  <c r="M407" i="1"/>
  <c r="O414" i="1"/>
  <c r="M414" i="1"/>
  <c r="O421" i="1"/>
  <c r="M421" i="1"/>
  <c r="O425" i="1"/>
  <c r="N425" i="1"/>
  <c r="M425" i="1"/>
  <c r="O432" i="1"/>
  <c r="M432" i="1"/>
  <c r="O439" i="1"/>
  <c r="M448" i="1"/>
  <c r="N448" i="1"/>
  <c r="O452" i="1"/>
  <c r="N452" i="1"/>
  <c r="M460" i="1"/>
  <c r="O460" i="1"/>
  <c r="N460" i="1"/>
  <c r="O464" i="1"/>
  <c r="N464" i="1"/>
  <c r="O472" i="1"/>
  <c r="N472" i="1"/>
  <c r="M472" i="1"/>
  <c r="N476" i="1"/>
  <c r="O476" i="1"/>
  <c r="M484" i="1"/>
  <c r="N484" i="1"/>
  <c r="O488" i="1"/>
  <c r="N488" i="1"/>
  <c r="O496" i="1"/>
  <c r="N496" i="1"/>
  <c r="M496" i="1"/>
  <c r="N500" i="1"/>
  <c r="M500" i="1"/>
  <c r="O500" i="1"/>
  <c r="O508" i="1"/>
  <c r="N508" i="1"/>
  <c r="M508" i="1"/>
  <c r="N512" i="1"/>
  <c r="M512" i="1"/>
  <c r="O512" i="1"/>
  <c r="O520" i="1"/>
  <c r="N520" i="1"/>
  <c r="M520" i="1"/>
  <c r="O524" i="1"/>
  <c r="N524" i="1"/>
  <c r="M524" i="1"/>
  <c r="M532" i="1"/>
  <c r="O532" i="1"/>
  <c r="N532" i="1"/>
  <c r="O536" i="1"/>
  <c r="N536" i="1"/>
  <c r="M536" i="1"/>
  <c r="M544" i="1"/>
  <c r="O544" i="1"/>
  <c r="N544" i="1"/>
  <c r="O548" i="1"/>
  <c r="N548" i="1"/>
  <c r="M548" i="1"/>
  <c r="M556" i="1"/>
  <c r="O556" i="1"/>
  <c r="N556" i="1"/>
  <c r="O560" i="1"/>
  <c r="N560" i="1"/>
  <c r="M560" i="1"/>
  <c r="M569" i="1"/>
  <c r="N569" i="1"/>
  <c r="O573" i="1"/>
  <c r="N573" i="1"/>
  <c r="N581" i="1"/>
  <c r="M581" i="1"/>
  <c r="N585" i="1"/>
  <c r="O585" i="1"/>
  <c r="M593" i="1"/>
  <c r="N593" i="1"/>
  <c r="O597" i="1"/>
  <c r="N597" i="1"/>
  <c r="N605" i="1"/>
  <c r="M605" i="1"/>
  <c r="O609" i="1"/>
  <c r="N609" i="1"/>
  <c r="M617" i="1"/>
  <c r="N617" i="1"/>
  <c r="N621" i="1"/>
  <c r="O621" i="1"/>
  <c r="O629" i="1"/>
  <c r="M629" i="1"/>
  <c r="N635" i="1"/>
  <c r="M635" i="1"/>
  <c r="O641" i="1"/>
  <c r="N641" i="1"/>
  <c r="N648" i="1"/>
  <c r="M648" i="1"/>
  <c r="O648" i="1"/>
  <c r="O655" i="1"/>
  <c r="M655" i="1"/>
  <c r="O662" i="1"/>
  <c r="M662" i="1"/>
  <c r="N666" i="1"/>
  <c r="M666" i="1"/>
  <c r="N675" i="1"/>
  <c r="M675" i="1"/>
  <c r="N683" i="1"/>
  <c r="M683" i="1"/>
  <c r="O689" i="1"/>
  <c r="N689" i="1"/>
  <c r="M689" i="1"/>
  <c r="O697" i="1"/>
  <c r="O696" i="1" s="1"/>
  <c r="N697" i="1"/>
  <c r="N696" i="1" s="1"/>
  <c r="M697" i="1"/>
  <c r="M696" i="1" s="1"/>
  <c r="O709" i="1"/>
  <c r="M709" i="1"/>
  <c r="N718" i="1"/>
  <c r="N717" i="1" s="1"/>
  <c r="M718" i="1"/>
  <c r="M717" i="1" s="1"/>
  <c r="O718" i="1"/>
  <c r="O717" i="1" s="1"/>
  <c r="N958" i="1"/>
  <c r="N957" i="1" s="1"/>
  <c r="M958" i="1"/>
  <c r="M957" i="1" s="1"/>
  <c r="O958" i="1"/>
  <c r="O957" i="1" s="1"/>
  <c r="M22" i="1"/>
  <c r="M21" i="1"/>
  <c r="M20" i="1"/>
  <c r="M19" i="1"/>
  <c r="M18" i="1"/>
  <c r="M17" i="1"/>
  <c r="O9" i="1"/>
  <c r="N13" i="1"/>
  <c r="O28" i="1"/>
  <c r="O27" i="1" s="1"/>
  <c r="M34" i="1"/>
  <c r="O37" i="1"/>
  <c r="M41" i="1"/>
  <c r="O43" i="1"/>
  <c r="M48" i="1"/>
  <c r="N49" i="1"/>
  <c r="O50" i="1"/>
  <c r="M52" i="1"/>
  <c r="N55" i="1"/>
  <c r="M60" i="1"/>
  <c r="N61" i="1"/>
  <c r="O62" i="1"/>
  <c r="M66" i="1"/>
  <c r="N67" i="1"/>
  <c r="O68" i="1"/>
  <c r="M72" i="1"/>
  <c r="M74" i="1"/>
  <c r="N76" i="1"/>
  <c r="O81" i="1"/>
  <c r="O87" i="1"/>
  <c r="M88" i="1"/>
  <c r="M121" i="1"/>
  <c r="N125" i="1"/>
  <c r="M133" i="1"/>
  <c r="N139" i="1"/>
  <c r="O89" i="1"/>
  <c r="M89" i="1"/>
  <c r="M100" i="1"/>
  <c r="N147" i="1"/>
  <c r="O174" i="1"/>
  <c r="M174" i="1"/>
  <c r="N179" i="1"/>
  <c r="M179" i="1"/>
  <c r="N184" i="1"/>
  <c r="M184" i="1"/>
  <c r="O184" i="1"/>
  <c r="N194" i="1"/>
  <c r="M194" i="1"/>
  <c r="O194" i="1"/>
  <c r="N202" i="1"/>
  <c r="N201" i="1" s="1"/>
  <c r="M202" i="1"/>
  <c r="M201" i="1" s="1"/>
  <c r="O202" i="1"/>
  <c r="O201" i="1" s="1"/>
  <c r="N212" i="1"/>
  <c r="M212" i="1"/>
  <c r="O212" i="1"/>
  <c r="N218" i="1"/>
  <c r="M218" i="1"/>
  <c r="N222" i="1"/>
  <c r="M222" i="1"/>
  <c r="N228" i="1"/>
  <c r="N227" i="1" s="1"/>
  <c r="O228" i="1"/>
  <c r="O227" i="1" s="1"/>
  <c r="O237" i="1"/>
  <c r="O236" i="1" s="1"/>
  <c r="N237" i="1"/>
  <c r="N236" i="1" s="1"/>
  <c r="O243" i="1"/>
  <c r="N243" i="1"/>
  <c r="O249" i="1"/>
  <c r="N249" i="1"/>
  <c r="O256" i="1"/>
  <c r="N256" i="1"/>
  <c r="N264" i="1"/>
  <c r="M264" i="1"/>
  <c r="N270" i="1"/>
  <c r="M270" i="1"/>
  <c r="N276" i="1"/>
  <c r="M276" i="1"/>
  <c r="N282" i="1"/>
  <c r="M282" i="1"/>
  <c r="N288" i="1"/>
  <c r="N287" i="1" s="1"/>
  <c r="M288" i="1"/>
  <c r="M287" i="1" s="1"/>
  <c r="O294" i="1"/>
  <c r="N294" i="1"/>
  <c r="N303" i="1"/>
  <c r="N302" i="1" s="1"/>
  <c r="O303" i="1"/>
  <c r="O302" i="1" s="1"/>
  <c r="N310" i="1"/>
  <c r="O310" i="1"/>
  <c r="N317" i="1"/>
  <c r="M317" i="1"/>
  <c r="O326" i="1"/>
  <c r="M326" i="1"/>
  <c r="O333" i="1"/>
  <c r="M333" i="1"/>
  <c r="M337" i="1"/>
  <c r="O337" i="1"/>
  <c r="N337" i="1"/>
  <c r="O344" i="1"/>
  <c r="M344" i="1"/>
  <c r="M351" i="1"/>
  <c r="O351" i="1"/>
  <c r="O358" i="1"/>
  <c r="M358" i="1"/>
  <c r="M365" i="1"/>
  <c r="O365" i="1"/>
  <c r="M369" i="1"/>
  <c r="O369" i="1"/>
  <c r="N369" i="1"/>
  <c r="O376" i="1"/>
  <c r="M376" i="1"/>
  <c r="M383" i="1"/>
  <c r="O383" i="1"/>
  <c r="O390" i="1"/>
  <c r="M390" i="1"/>
  <c r="M397" i="1"/>
  <c r="O397" i="1"/>
  <c r="M401" i="1"/>
  <c r="O401" i="1"/>
  <c r="N401" i="1"/>
  <c r="O408" i="1"/>
  <c r="M408" i="1"/>
  <c r="M415" i="1"/>
  <c r="O415" i="1"/>
  <c r="O422" i="1"/>
  <c r="M422" i="1"/>
  <c r="M429" i="1"/>
  <c r="O429" i="1"/>
  <c r="M433" i="1"/>
  <c r="O433" i="1"/>
  <c r="N433" i="1"/>
  <c r="O440" i="1"/>
  <c r="O449" i="1"/>
  <c r="N449" i="1"/>
  <c r="O453" i="1"/>
  <c r="N453" i="1"/>
  <c r="M453" i="1"/>
  <c r="O461" i="1"/>
  <c r="N461" i="1"/>
  <c r="N465" i="1"/>
  <c r="M465" i="1"/>
  <c r="O465" i="1"/>
  <c r="O473" i="1"/>
  <c r="N473" i="1"/>
  <c r="M477" i="1"/>
  <c r="O477" i="1"/>
  <c r="N477" i="1"/>
  <c r="N485" i="1"/>
  <c r="O485" i="1"/>
  <c r="N489" i="1"/>
  <c r="M489" i="1"/>
  <c r="O489" i="1"/>
  <c r="M497" i="1"/>
  <c r="O497" i="1"/>
  <c r="N497" i="1"/>
  <c r="O501" i="1"/>
  <c r="N501" i="1"/>
  <c r="M501" i="1"/>
  <c r="M509" i="1"/>
  <c r="O509" i="1"/>
  <c r="N509" i="1"/>
  <c r="O513" i="1"/>
  <c r="N513" i="1"/>
  <c r="M513" i="1"/>
  <c r="M521" i="1"/>
  <c r="O521" i="1"/>
  <c r="N521" i="1"/>
  <c r="O525" i="1"/>
  <c r="N525" i="1"/>
  <c r="M525" i="1"/>
  <c r="N533" i="1"/>
  <c r="M533" i="1"/>
  <c r="O533" i="1"/>
  <c r="O537" i="1"/>
  <c r="N537" i="1"/>
  <c r="M537" i="1"/>
  <c r="N545" i="1"/>
  <c r="M545" i="1"/>
  <c r="O545" i="1"/>
  <c r="O549" i="1"/>
  <c r="N549" i="1"/>
  <c r="M549" i="1"/>
  <c r="N557" i="1"/>
  <c r="M557" i="1"/>
  <c r="O557" i="1"/>
  <c r="O561" i="1"/>
  <c r="N561" i="1"/>
  <c r="M561" i="1"/>
  <c r="O570" i="1"/>
  <c r="N570" i="1"/>
  <c r="N574" i="1"/>
  <c r="M574" i="1"/>
  <c r="N582" i="1"/>
  <c r="O582" i="1"/>
  <c r="N586" i="1"/>
  <c r="M586" i="1"/>
  <c r="N594" i="1"/>
  <c r="O594" i="1"/>
  <c r="N598" i="1"/>
  <c r="M598" i="1"/>
  <c r="N606" i="1"/>
  <c r="O606" i="1"/>
  <c r="N610" i="1"/>
  <c r="M610" i="1"/>
  <c r="O618" i="1"/>
  <c r="N618" i="1"/>
  <c r="N622" i="1"/>
  <c r="M622" i="1"/>
  <c r="N630" i="1"/>
  <c r="M630" i="1"/>
  <c r="O636" i="1"/>
  <c r="N636" i="1"/>
  <c r="M645" i="1"/>
  <c r="O645" i="1"/>
  <c r="N649" i="1"/>
  <c r="M649" i="1"/>
  <c r="N656" i="1"/>
  <c r="M656" i="1"/>
  <c r="O656" i="1"/>
  <c r="O663" i="1"/>
  <c r="M663" i="1"/>
  <c r="N667" i="1"/>
  <c r="M667" i="1"/>
  <c r="M676" i="1"/>
  <c r="N676" i="1"/>
  <c r="M684" i="1"/>
  <c r="N684" i="1"/>
  <c r="M690" i="1"/>
  <c r="N690" i="1"/>
  <c r="M700" i="1"/>
  <c r="M699" i="1" s="1"/>
  <c r="O700" i="1"/>
  <c r="O699" i="1" s="1"/>
  <c r="N700" i="1"/>
  <c r="N699" i="1" s="1"/>
  <c r="O710" i="1"/>
  <c r="N710" i="1"/>
  <c r="O721" i="1"/>
  <c r="O720" i="1" s="1"/>
  <c r="N721" i="1"/>
  <c r="N720" i="1" s="1"/>
  <c r="M721" i="1"/>
  <c r="M720" i="1" s="1"/>
  <c r="O961" i="1"/>
  <c r="O960" i="1" s="1"/>
  <c r="N961" i="1"/>
  <c r="N960" i="1" s="1"/>
  <c r="M961" i="1"/>
  <c r="M960" i="1" s="1"/>
  <c r="M90" i="1"/>
  <c r="M122" i="1"/>
  <c r="M130" i="1"/>
  <c r="N134" i="1"/>
  <c r="M143" i="1"/>
  <c r="O90" i="1"/>
  <c r="N96" i="1"/>
  <c r="O137" i="1"/>
  <c r="M139" i="1"/>
  <c r="O144" i="1"/>
  <c r="O147" i="1"/>
  <c r="O149" i="1"/>
  <c r="O143" i="1"/>
  <c r="M145" i="1"/>
  <c r="O148" i="1"/>
  <c r="O150" i="1"/>
  <c r="O448" i="1"/>
  <c r="O484" i="1"/>
  <c r="M485" i="1"/>
  <c r="O451" i="1"/>
  <c r="M464" i="1"/>
  <c r="M473" i="1"/>
  <c r="N447" i="1"/>
  <c r="M449" i="1"/>
  <c r="M476" i="1"/>
  <c r="M452" i="1"/>
  <c r="M461" i="1"/>
  <c r="M488" i="1"/>
  <c r="O569" i="1"/>
  <c r="M582" i="1"/>
  <c r="M585" i="1"/>
  <c r="O593" i="1"/>
  <c r="M594" i="1"/>
  <c r="N619" i="1"/>
  <c r="O490" i="1"/>
  <c r="O572" i="1"/>
  <c r="O574" i="1"/>
  <c r="O617" i="1"/>
  <c r="M631" i="1"/>
  <c r="O478" i="1"/>
  <c r="O487" i="1"/>
  <c r="M570" i="1"/>
  <c r="O581" i="1"/>
  <c r="O623" i="1"/>
  <c r="M573" i="1"/>
  <c r="O575" i="1"/>
  <c r="O584" i="1"/>
  <c r="M606" i="1"/>
  <c r="M621" i="1"/>
  <c r="O640" i="1"/>
  <c r="O587" i="1"/>
  <c r="O596" i="1"/>
  <c r="O598" i="1"/>
  <c r="M609" i="1"/>
  <c r="O611" i="1"/>
  <c r="M636" i="1"/>
  <c r="M665" i="1"/>
  <c r="O667" i="1"/>
  <c r="O605" i="1"/>
  <c r="M618" i="1"/>
  <c r="O620" i="1"/>
  <c r="O622" i="1"/>
  <c r="O630" i="1"/>
  <c r="M641" i="1"/>
  <c r="O649" i="1"/>
  <c r="O657" i="1"/>
  <c r="O586" i="1"/>
  <c r="M597" i="1"/>
  <c r="O599" i="1"/>
  <c r="O608" i="1"/>
  <c r="O610" i="1"/>
  <c r="O635" i="1"/>
  <c r="O664" i="1"/>
  <c r="O666" i="1"/>
  <c r="N568" i="1"/>
  <c r="N571" i="1"/>
  <c r="N580" i="1"/>
  <c r="N583" i="1"/>
  <c r="N592" i="1"/>
  <c r="N595" i="1"/>
  <c r="N604" i="1"/>
  <c r="N607" i="1"/>
  <c r="N616" i="1"/>
  <c r="N629" i="1"/>
  <c r="N634" i="1"/>
  <c r="N639" i="1"/>
  <c r="N645" i="1"/>
  <c r="N646" i="1"/>
  <c r="N647" i="1"/>
  <c r="N653" i="1"/>
  <c r="N654" i="1"/>
  <c r="N655" i="1"/>
  <c r="N661" i="1"/>
  <c r="N662" i="1"/>
  <c r="N663" i="1"/>
  <c r="N450" i="1"/>
  <c r="N459" i="1"/>
  <c r="N462" i="1"/>
  <c r="N471" i="1"/>
  <c r="N474" i="1"/>
  <c r="N483" i="1"/>
  <c r="N486" i="1"/>
  <c r="N495" i="1"/>
  <c r="N498" i="1"/>
  <c r="N507" i="1"/>
  <c r="N510" i="1"/>
  <c r="N519" i="1"/>
  <c r="N522" i="1"/>
  <c r="N531" i="1"/>
  <c r="N534" i="1"/>
  <c r="N543" i="1"/>
  <c r="N546" i="1"/>
  <c r="N555" i="1"/>
  <c r="N558" i="1"/>
  <c r="N325" i="1"/>
  <c r="N327" i="1"/>
  <c r="N328" i="1"/>
  <c r="N334" i="1"/>
  <c r="N335" i="1"/>
  <c r="N336" i="1"/>
  <c r="N341" i="1"/>
  <c r="N342" i="1"/>
  <c r="N343" i="1"/>
  <c r="N349" i="1"/>
  <c r="N350" i="1"/>
  <c r="N352" i="1"/>
  <c r="N357" i="1"/>
  <c r="N359" i="1"/>
  <c r="N360" i="1"/>
  <c r="N366" i="1"/>
  <c r="N367" i="1"/>
  <c r="N368" i="1"/>
  <c r="N373" i="1"/>
  <c r="N374" i="1"/>
  <c r="N375" i="1"/>
  <c r="N381" i="1"/>
  <c r="N382" i="1"/>
  <c r="N384" i="1"/>
  <c r="N389" i="1"/>
  <c r="N391" i="1"/>
  <c r="N392" i="1"/>
  <c r="N398" i="1"/>
  <c r="N399" i="1"/>
  <c r="N400" i="1"/>
  <c r="N405" i="1"/>
  <c r="N406" i="1"/>
  <c r="N407" i="1"/>
  <c r="N413" i="1"/>
  <c r="N414" i="1"/>
  <c r="N415" i="1"/>
  <c r="N416" i="1"/>
  <c r="N421" i="1"/>
  <c r="N422" i="1"/>
  <c r="N423" i="1"/>
  <c r="N424" i="1"/>
  <c r="N429" i="1"/>
  <c r="N430" i="1"/>
  <c r="N431" i="1"/>
  <c r="N432" i="1"/>
  <c r="N437" i="1"/>
  <c r="N438" i="1"/>
  <c r="N439" i="1"/>
  <c r="N440" i="1"/>
  <c r="N306" i="1"/>
  <c r="N307" i="1"/>
  <c r="N314" i="1"/>
  <c r="N315" i="1"/>
  <c r="N168" i="1"/>
  <c r="N175" i="1"/>
  <c r="N176" i="1"/>
  <c r="N177" i="1"/>
  <c r="N183" i="1"/>
  <c r="N86" i="1"/>
  <c r="N87" i="1"/>
  <c r="N88" i="1"/>
  <c r="N94" i="1"/>
  <c r="N95" i="1"/>
  <c r="N107" i="1"/>
  <c r="L290" i="1" l="1"/>
  <c r="C47" i="5" s="1"/>
  <c r="L109" i="1"/>
  <c r="C21" i="5" s="1"/>
  <c r="L371" i="1"/>
  <c r="C59" i="5" s="1"/>
  <c r="L403" i="1"/>
  <c r="C63" i="5" s="1"/>
  <c r="L79" i="1"/>
  <c r="C17" i="5" s="1"/>
  <c r="L613" i="1"/>
  <c r="C84" i="5" s="1"/>
  <c r="L331" i="1"/>
  <c r="C54" i="5" s="1"/>
  <c r="L427" i="1"/>
  <c r="C66" i="5" s="1"/>
  <c r="L633" i="1"/>
  <c r="C87" i="5" s="1"/>
  <c r="L589" i="1"/>
  <c r="C82" i="5" s="1"/>
  <c r="L565" i="1"/>
  <c r="C80" i="5" s="1"/>
  <c r="L540" i="1"/>
  <c r="C77" i="5" s="1"/>
  <c r="L516" i="1"/>
  <c r="C75" i="5" s="1"/>
  <c r="L492" i="1"/>
  <c r="C73" i="5" s="1"/>
  <c r="L468" i="1"/>
  <c r="C71" i="5" s="1"/>
  <c r="L444" i="1"/>
  <c r="C69" i="5" s="1"/>
  <c r="L347" i="1"/>
  <c r="C56" i="5" s="1"/>
  <c r="L258" i="1"/>
  <c r="C43" i="5" s="1"/>
  <c r="L628" i="1"/>
  <c r="C86" i="5" s="1"/>
  <c r="L395" i="1"/>
  <c r="C62" i="5" s="1"/>
  <c r="L297" i="1"/>
  <c r="C48" i="5" s="1"/>
  <c r="L268" i="1"/>
  <c r="C45" i="5" s="1"/>
  <c r="L435" i="1"/>
  <c r="C67" i="5" s="1"/>
  <c r="L601" i="1"/>
  <c r="C83" i="5" s="1"/>
  <c r="L577" i="1"/>
  <c r="C81" i="5" s="1"/>
  <c r="L552" i="1"/>
  <c r="C78" i="5" s="1"/>
  <c r="L528" i="1"/>
  <c r="C76" i="5" s="1"/>
  <c r="L504" i="1"/>
  <c r="C74" i="5" s="1"/>
  <c r="L480" i="1"/>
  <c r="C72" i="5" s="1"/>
  <c r="L456" i="1"/>
  <c r="C70" i="5" s="1"/>
  <c r="L419" i="1"/>
  <c r="C65" i="5" s="1"/>
  <c r="L355" i="1"/>
  <c r="C57" i="5" s="1"/>
  <c r="L411" i="1"/>
  <c r="C64" i="5" s="1"/>
  <c r="L379" i="1"/>
  <c r="C60" i="5" s="1"/>
  <c r="L313" i="1"/>
  <c r="C51" i="5" s="1"/>
  <c r="L59" i="1"/>
  <c r="C15" i="5" s="1"/>
  <c r="L92" i="1"/>
  <c r="C19" i="5" s="1"/>
  <c r="L192" i="1"/>
  <c r="C30" i="5" s="1"/>
  <c r="L54" i="1"/>
  <c r="C14" i="5" s="1"/>
  <c r="L263" i="1"/>
  <c r="C44" i="5" s="1"/>
  <c r="L171" i="1"/>
  <c r="C27" i="5" s="1"/>
  <c r="L305" i="1"/>
  <c r="C50" i="5" s="1"/>
  <c r="L339" i="1"/>
  <c r="C55" i="5" s="1"/>
  <c r="L387" i="1"/>
  <c r="C61" i="5" s="1"/>
  <c r="L638" i="1"/>
  <c r="C88" i="5" s="1"/>
  <c r="E104" i="6"/>
  <c r="Q768" i="1"/>
  <c r="F110" i="5" s="1"/>
  <c r="Q730" i="1"/>
  <c r="F107" i="5" s="1"/>
  <c r="E117" i="6"/>
  <c r="E119" i="6"/>
  <c r="Q817" i="1"/>
  <c r="F112" i="5" s="1"/>
  <c r="Q854" i="1"/>
  <c r="F115" i="5" s="1"/>
  <c r="Q765" i="1"/>
  <c r="F109" i="5" s="1"/>
  <c r="E120" i="6"/>
  <c r="E116" i="6"/>
  <c r="Q865" i="1"/>
  <c r="F116" i="5" s="1"/>
  <c r="Q895" i="1"/>
  <c r="F118" i="5" s="1"/>
  <c r="Q825" i="1"/>
  <c r="F113" i="5" s="1"/>
  <c r="Q851" i="1"/>
  <c r="F114" i="5" s="1"/>
  <c r="E115" i="6"/>
  <c r="E118" i="6"/>
  <c r="E113" i="6"/>
  <c r="M706" i="1"/>
  <c r="M705" i="1" s="1"/>
  <c r="M300" i="1"/>
  <c r="Q300" i="1" s="1"/>
  <c r="N714" i="1"/>
  <c r="N713" i="1" s="1"/>
  <c r="P703" i="1"/>
  <c r="P702" i="1" s="1"/>
  <c r="K256" i="1"/>
  <c r="L256" i="1" s="1"/>
  <c r="O788" i="1"/>
  <c r="J773" i="1"/>
  <c r="Q792" i="1"/>
  <c r="M773" i="1"/>
  <c r="J258" i="1"/>
  <c r="J31" i="1"/>
  <c r="P697" i="1"/>
  <c r="P696" i="1" s="1"/>
  <c r="O260" i="1"/>
  <c r="O258" i="1" s="1"/>
  <c r="J249" i="1"/>
  <c r="J245" i="1" s="1"/>
  <c r="K159" i="1"/>
  <c r="L159" i="1" s="1"/>
  <c r="K254" i="1"/>
  <c r="L254" i="1" s="1"/>
  <c r="P721" i="1"/>
  <c r="P720" i="1" s="1"/>
  <c r="K51" i="1"/>
  <c r="L51" i="1" s="1"/>
  <c r="H285" i="1"/>
  <c r="J285" i="1" s="1"/>
  <c r="M285" i="1" s="1"/>
  <c r="Q285" i="1" s="1"/>
  <c r="H281" i="1"/>
  <c r="J281" i="1" s="1"/>
  <c r="O281" i="1" s="1"/>
  <c r="Q281" i="1" s="1"/>
  <c r="N390" i="1"/>
  <c r="N387" i="1" s="1"/>
  <c r="M310" i="1"/>
  <c r="Q310" i="1" s="1"/>
  <c r="J263" i="1"/>
  <c r="M727" i="1"/>
  <c r="M726" i="1" s="1"/>
  <c r="P724" i="1"/>
  <c r="P723" i="1" s="1"/>
  <c r="P700" i="1"/>
  <c r="P699" i="1" s="1"/>
  <c r="J54" i="1"/>
  <c r="J268" i="1"/>
  <c r="M28" i="1"/>
  <c r="M27" i="1" s="1"/>
  <c r="N383" i="1"/>
  <c r="N379" i="1" s="1"/>
  <c r="J115" i="1"/>
  <c r="O115" i="1" s="1"/>
  <c r="Q115" i="1" s="1"/>
  <c r="O36" i="1"/>
  <c r="K243" i="1"/>
  <c r="L243" i="1" s="1"/>
  <c r="J36" i="1"/>
  <c r="H75" i="1"/>
  <c r="J75" i="1" s="1"/>
  <c r="O75" i="1" s="1"/>
  <c r="Q75" i="1" s="1"/>
  <c r="J708" i="1"/>
  <c r="N344" i="1"/>
  <c r="N339" i="1" s="1"/>
  <c r="M228" i="1"/>
  <c r="M227" i="1" s="1"/>
  <c r="J371" i="1"/>
  <c r="K74" i="1"/>
  <c r="L74" i="1" s="1"/>
  <c r="K50" i="1"/>
  <c r="L50" i="1" s="1"/>
  <c r="K42" i="1"/>
  <c r="P263" i="1"/>
  <c r="H72" i="1"/>
  <c r="J72" i="1" s="1"/>
  <c r="O72" i="1" s="1"/>
  <c r="J239" i="1"/>
  <c r="Q175" i="1"/>
  <c r="P251" i="1"/>
  <c r="Q423" i="1"/>
  <c r="K44" i="1"/>
  <c r="L44" i="1" s="1"/>
  <c r="L40" i="1" s="1"/>
  <c r="C12" i="5" s="1"/>
  <c r="K247" i="1"/>
  <c r="L247" i="1" s="1"/>
  <c r="K242" i="1"/>
  <c r="L242" i="1" s="1"/>
  <c r="L239" i="1" s="1"/>
  <c r="C40" i="5" s="1"/>
  <c r="M303" i="1"/>
  <c r="M302" i="1" s="1"/>
  <c r="P79" i="1"/>
  <c r="K255" i="1"/>
  <c r="L255" i="1" s="1"/>
  <c r="P258" i="1"/>
  <c r="J59" i="1"/>
  <c r="Q149" i="1"/>
  <c r="M54" i="1"/>
  <c r="Q438" i="1"/>
  <c r="N31" i="1"/>
  <c r="O317" i="1"/>
  <c r="Q317" i="1" s="1"/>
  <c r="H73" i="1"/>
  <c r="L233" i="1"/>
  <c r="J233" i="1"/>
  <c r="M233" i="1" s="1"/>
  <c r="Q233" i="1" s="1"/>
  <c r="J46" i="1"/>
  <c r="O49" i="1"/>
  <c r="O46" i="1" s="1"/>
  <c r="H133" i="1"/>
  <c r="H132" i="1"/>
  <c r="H131" i="1"/>
  <c r="H134" i="1"/>
  <c r="H130" i="1"/>
  <c r="N638" i="1"/>
  <c r="M294" i="1"/>
  <c r="Q294" i="1" s="1"/>
  <c r="O270" i="1"/>
  <c r="O268" i="1" s="1"/>
  <c r="P323" i="1"/>
  <c r="K281" i="1"/>
  <c r="L281" i="1" s="1"/>
  <c r="J251" i="1"/>
  <c r="K248" i="1"/>
  <c r="L248" i="1" s="1"/>
  <c r="K49" i="1"/>
  <c r="L49" i="1" s="1"/>
  <c r="L46" i="1" s="1"/>
  <c r="C13" i="5" s="1"/>
  <c r="H282" i="1"/>
  <c r="H283" i="1"/>
  <c r="H686" i="1"/>
  <c r="H682" i="1"/>
  <c r="H685" i="1"/>
  <c r="H684" i="1"/>
  <c r="H683" i="1"/>
  <c r="H675" i="1"/>
  <c r="H674" i="1"/>
  <c r="H677" i="1"/>
  <c r="H673" i="1"/>
  <c r="H676" i="1"/>
  <c r="N351" i="1"/>
  <c r="N347" i="1" s="1"/>
  <c r="M237" i="1"/>
  <c r="M236" i="1" s="1"/>
  <c r="Q307" i="1"/>
  <c r="N326" i="1"/>
  <c r="N323" i="1" s="1"/>
  <c r="J158" i="1"/>
  <c r="O158" i="1" s="1"/>
  <c r="Q158" i="1" s="1"/>
  <c r="K284" i="1"/>
  <c r="L284" i="1" s="1"/>
  <c r="H76" i="1"/>
  <c r="H122" i="1"/>
  <c r="H125" i="1"/>
  <c r="H121" i="1"/>
  <c r="H124" i="1"/>
  <c r="H123" i="1"/>
  <c r="L234" i="1"/>
  <c r="L231" i="1" s="1"/>
  <c r="C38" i="5" s="1"/>
  <c r="J234" i="1"/>
  <c r="P171" i="1"/>
  <c r="N79" i="1"/>
  <c r="O79" i="1"/>
  <c r="Q664" i="1"/>
  <c r="Q569" i="1"/>
  <c r="Q34" i="1"/>
  <c r="P290" i="1"/>
  <c r="P192" i="1"/>
  <c r="P239" i="1"/>
  <c r="Q368" i="1"/>
  <c r="Q424" i="1"/>
  <c r="O264" i="1"/>
  <c r="Q264" i="1" s="1"/>
  <c r="M33" i="1"/>
  <c r="Q33" i="1" s="1"/>
  <c r="Q711" i="1"/>
  <c r="Q177" i="1"/>
  <c r="Q439" i="1"/>
  <c r="Q617" i="1"/>
  <c r="Q452" i="1"/>
  <c r="O288" i="1"/>
  <c r="O287" i="1" s="1"/>
  <c r="M363" i="1"/>
  <c r="P305" i="1"/>
  <c r="N643" i="1"/>
  <c r="N613" i="1"/>
  <c r="P216" i="1"/>
  <c r="J40" i="1"/>
  <c r="N42" i="1"/>
  <c r="Q42" i="1" s="1"/>
  <c r="Q328" i="1"/>
  <c r="Q665" i="1"/>
  <c r="O395" i="1"/>
  <c r="J403" i="1"/>
  <c r="P643" i="1"/>
  <c r="K157" i="1"/>
  <c r="L157" i="1" s="1"/>
  <c r="Q478" i="1"/>
  <c r="Q147" i="1"/>
  <c r="K155" i="1"/>
  <c r="L155" i="1" s="1"/>
  <c r="L141" i="1" s="1"/>
  <c r="C24" i="5" s="1"/>
  <c r="K156" i="1"/>
  <c r="L156" i="1" s="1"/>
  <c r="Q662" i="1"/>
  <c r="Q335" i="1"/>
  <c r="Q391" i="1"/>
  <c r="J116" i="1"/>
  <c r="M116" i="1" s="1"/>
  <c r="M109" i="1" s="1"/>
  <c r="J156" i="1"/>
  <c r="O156" i="1" s="1"/>
  <c r="Q156" i="1" s="1"/>
  <c r="P313" i="1"/>
  <c r="P297" i="1"/>
  <c r="P274" i="1"/>
  <c r="P268" i="1"/>
  <c r="P245" i="1"/>
  <c r="P208" i="1"/>
  <c r="J564" i="1"/>
  <c r="Q88" i="1"/>
  <c r="Q376" i="1"/>
  <c r="Q343" i="1"/>
  <c r="Q327" i="1"/>
  <c r="Q623" i="1"/>
  <c r="M243" i="1"/>
  <c r="M239" i="1" s="1"/>
  <c r="P54" i="1"/>
  <c r="J15" i="1"/>
  <c r="P103" i="1"/>
  <c r="P102" i="1" s="1"/>
  <c r="Q400" i="1"/>
  <c r="Q407" i="1"/>
  <c r="Q399" i="1"/>
  <c r="Q375" i="1"/>
  <c r="Q367" i="1"/>
  <c r="Q359" i="1"/>
  <c r="N628" i="1"/>
  <c r="J443" i="1"/>
  <c r="Q431" i="1"/>
  <c r="N589" i="1"/>
  <c r="Q640" i="1"/>
  <c r="O7" i="1"/>
  <c r="J216" i="1"/>
  <c r="O708" i="1"/>
  <c r="M613" i="1"/>
  <c r="M601" i="1"/>
  <c r="M589" i="1"/>
  <c r="M577" i="1"/>
  <c r="M565" i="1"/>
  <c r="M651" i="1"/>
  <c r="O638" i="1"/>
  <c r="P708" i="1"/>
  <c r="P659" i="1"/>
  <c r="P633" i="1"/>
  <c r="P613" i="1"/>
  <c r="P601" i="1"/>
  <c r="P589" i="1"/>
  <c r="P577" i="1"/>
  <c r="P565" i="1"/>
  <c r="Q653" i="1"/>
  <c r="N651" i="1"/>
  <c r="N659" i="1"/>
  <c r="N633" i="1"/>
  <c r="N601" i="1"/>
  <c r="N577" i="1"/>
  <c r="O659" i="1"/>
  <c r="M633" i="1"/>
  <c r="O613" i="1"/>
  <c r="O601" i="1"/>
  <c r="O589" i="1"/>
  <c r="O577" i="1"/>
  <c r="O565" i="1"/>
  <c r="Q138" i="1"/>
  <c r="P651" i="1"/>
  <c r="P638" i="1"/>
  <c r="N708" i="1"/>
  <c r="O643" i="1"/>
  <c r="M628" i="1"/>
  <c r="N679" i="1"/>
  <c r="M659" i="1"/>
  <c r="O633" i="1"/>
  <c r="N670" i="1"/>
  <c r="P628" i="1"/>
  <c r="P679" i="1"/>
  <c r="J171" i="1"/>
  <c r="N565" i="1"/>
  <c r="M643" i="1"/>
  <c r="M708" i="1"/>
  <c r="O628" i="1"/>
  <c r="O651" i="1"/>
  <c r="M638" i="1"/>
  <c r="Q96" i="1"/>
  <c r="P670" i="1"/>
  <c r="Q408" i="1"/>
  <c r="N36" i="1"/>
  <c r="Q176" i="1"/>
  <c r="Q406" i="1"/>
  <c r="N358" i="1"/>
  <c r="Q358" i="1" s="1"/>
  <c r="Q350" i="1"/>
  <c r="Q522" i="1"/>
  <c r="Q450" i="1"/>
  <c r="Q595" i="1"/>
  <c r="Q631" i="1"/>
  <c r="O276" i="1"/>
  <c r="Q276" i="1" s="1"/>
  <c r="Q87" i="1"/>
  <c r="Q609" i="1"/>
  <c r="Q570" i="1"/>
  <c r="Q139" i="1"/>
  <c r="N263" i="1"/>
  <c r="O222" i="1"/>
  <c r="Q222" i="1" s="1"/>
  <c r="O179" i="1"/>
  <c r="O171" i="1" s="1"/>
  <c r="N54" i="1"/>
  <c r="Q666" i="1"/>
  <c r="Q619" i="1"/>
  <c r="Q95" i="1"/>
  <c r="Q183" i="1"/>
  <c r="Q440" i="1"/>
  <c r="Q432" i="1"/>
  <c r="Q416" i="1"/>
  <c r="Q392" i="1"/>
  <c r="Q384" i="1"/>
  <c r="Q360" i="1"/>
  <c r="Q352" i="1"/>
  <c r="Q336" i="1"/>
  <c r="Q558" i="1"/>
  <c r="Q510" i="1"/>
  <c r="Q462" i="1"/>
  <c r="Q607" i="1"/>
  <c r="Q583" i="1"/>
  <c r="Q621" i="1"/>
  <c r="Q573" i="1"/>
  <c r="Q487" i="1"/>
  <c r="Q476" i="1"/>
  <c r="Q464" i="1"/>
  <c r="Q448" i="1"/>
  <c r="Q145" i="1"/>
  <c r="Q137" i="1"/>
  <c r="M171" i="1"/>
  <c r="M79" i="1"/>
  <c r="J157" i="1"/>
  <c r="O157" i="1" s="1"/>
  <c r="Q157" i="1" s="1"/>
  <c r="M331" i="1"/>
  <c r="P7" i="1"/>
  <c r="O363" i="1"/>
  <c r="J111" i="1"/>
  <c r="O111" i="1" s="1"/>
  <c r="Q111" i="1" s="1"/>
  <c r="Q150" i="1"/>
  <c r="Q144" i="1"/>
  <c r="J363" i="1"/>
  <c r="P331" i="1"/>
  <c r="M387" i="1"/>
  <c r="O355" i="1"/>
  <c r="Q148" i="1"/>
  <c r="J7" i="1"/>
  <c r="Q555" i="1"/>
  <c r="N552" i="1"/>
  <c r="Q483" i="1"/>
  <c r="N480" i="1"/>
  <c r="Q90" i="1"/>
  <c r="O528" i="1"/>
  <c r="M444" i="1"/>
  <c r="P552" i="1"/>
  <c r="P540" i="1"/>
  <c r="P528" i="1"/>
  <c r="P516" i="1"/>
  <c r="P504" i="1"/>
  <c r="P492" i="1"/>
  <c r="P480" i="1"/>
  <c r="P468" i="1"/>
  <c r="P456" i="1"/>
  <c r="P444" i="1"/>
  <c r="Q531" i="1"/>
  <c r="N528" i="1"/>
  <c r="Q459" i="1"/>
  <c r="N456" i="1"/>
  <c r="M456" i="1"/>
  <c r="Q422" i="1"/>
  <c r="Q414" i="1"/>
  <c r="Q374" i="1"/>
  <c r="Q342" i="1"/>
  <c r="Q546" i="1"/>
  <c r="Q498" i="1"/>
  <c r="Q629" i="1"/>
  <c r="Q597" i="1"/>
  <c r="Q641" i="1"/>
  <c r="Q618" i="1"/>
  <c r="Q596" i="1"/>
  <c r="Q606" i="1"/>
  <c r="Q572" i="1"/>
  <c r="Q593" i="1"/>
  <c r="Q488" i="1"/>
  <c r="Q449" i="1"/>
  <c r="Q451" i="1"/>
  <c r="O427" i="1"/>
  <c r="M59" i="1"/>
  <c r="M40" i="1"/>
  <c r="Q18" i="1"/>
  <c r="Q22" i="1"/>
  <c r="O15" i="1"/>
  <c r="M552" i="1"/>
  <c r="M516" i="1"/>
  <c r="O504" i="1"/>
  <c r="O456" i="1"/>
  <c r="O444" i="1"/>
  <c r="P395" i="1"/>
  <c r="P363" i="1"/>
  <c r="J395" i="1"/>
  <c r="J331" i="1"/>
  <c r="Q507" i="1"/>
  <c r="N504" i="1"/>
  <c r="O516" i="1"/>
  <c r="O468" i="1"/>
  <c r="Q315" i="1"/>
  <c r="Q241" i="1"/>
  <c r="Q382" i="1"/>
  <c r="Q543" i="1"/>
  <c r="N540" i="1"/>
  <c r="N516" i="1"/>
  <c r="Q495" i="1"/>
  <c r="N492" i="1"/>
  <c r="Q471" i="1"/>
  <c r="N468" i="1"/>
  <c r="Q645" i="1"/>
  <c r="Q592" i="1"/>
  <c r="Q605" i="1"/>
  <c r="Q611" i="1"/>
  <c r="Q587" i="1"/>
  <c r="Q581" i="1"/>
  <c r="Q585" i="1"/>
  <c r="Q447" i="1"/>
  <c r="N444" i="1"/>
  <c r="M263" i="1"/>
  <c r="Q19" i="1"/>
  <c r="Q23" i="1"/>
  <c r="O552" i="1"/>
  <c r="M540" i="1"/>
  <c r="M504" i="1"/>
  <c r="O492" i="1"/>
  <c r="M480" i="1"/>
  <c r="O540" i="1"/>
  <c r="M528" i="1"/>
  <c r="M492" i="1"/>
  <c r="O480" i="1"/>
  <c r="M468" i="1"/>
  <c r="M36" i="1"/>
  <c r="O331" i="1"/>
  <c r="M355" i="1"/>
  <c r="M323" i="1"/>
  <c r="M411" i="1"/>
  <c r="O379" i="1"/>
  <c r="O435" i="1"/>
  <c r="M339" i="1"/>
  <c r="P427" i="1"/>
  <c r="P411" i="1"/>
  <c r="P379" i="1"/>
  <c r="P347" i="1"/>
  <c r="O411" i="1"/>
  <c r="M371" i="1"/>
  <c r="O339" i="1"/>
  <c r="P419" i="1"/>
  <c r="P387" i="1"/>
  <c r="P355" i="1"/>
  <c r="N435" i="1"/>
  <c r="Q429" i="1"/>
  <c r="N427" i="1"/>
  <c r="Q421" i="1"/>
  <c r="N419" i="1"/>
  <c r="N411" i="1"/>
  <c r="N403" i="1"/>
  <c r="Q397" i="1"/>
  <c r="N395" i="1"/>
  <c r="Q389" i="1"/>
  <c r="N371" i="1"/>
  <c r="Q365" i="1"/>
  <c r="N363" i="1"/>
  <c r="Q357" i="1"/>
  <c r="N331" i="1"/>
  <c r="Q325" i="1"/>
  <c r="Q636" i="1"/>
  <c r="M395" i="1"/>
  <c r="M419" i="1"/>
  <c r="O387" i="1"/>
  <c r="M347" i="1"/>
  <c r="M403" i="1"/>
  <c r="O371" i="1"/>
  <c r="M427" i="1"/>
  <c r="O419" i="1"/>
  <c r="O323" i="1"/>
  <c r="M379" i="1"/>
  <c r="O347" i="1"/>
  <c r="M435" i="1"/>
  <c r="O403" i="1"/>
  <c r="P435" i="1"/>
  <c r="P403" i="1"/>
  <c r="P371" i="1"/>
  <c r="P339" i="1"/>
  <c r="Q86" i="1"/>
  <c r="N84" i="1"/>
  <c r="Q168" i="1"/>
  <c r="N167" i="1"/>
  <c r="Q306" i="1"/>
  <c r="N305" i="1"/>
  <c r="Q143" i="1"/>
  <c r="M268" i="1"/>
  <c r="N192" i="1"/>
  <c r="N7" i="1"/>
  <c r="M208" i="1"/>
  <c r="M92" i="1"/>
  <c r="M7" i="1"/>
  <c r="N290" i="1"/>
  <c r="O239" i="1"/>
  <c r="P109" i="1"/>
  <c r="O54" i="1"/>
  <c r="N118" i="1"/>
  <c r="P92" i="1"/>
  <c r="P65" i="1"/>
  <c r="P40" i="1"/>
  <c r="N141" i="1"/>
  <c r="N127" i="1"/>
  <c r="M5" i="1"/>
  <c r="J4" i="1"/>
  <c r="Q41" i="1"/>
  <c r="N268" i="1"/>
  <c r="M216" i="1"/>
  <c r="O192" i="1"/>
  <c r="M84" i="1"/>
  <c r="N208" i="1"/>
  <c r="N297" i="1"/>
  <c r="O290" i="1"/>
  <c r="M251" i="1"/>
  <c r="N245" i="1"/>
  <c r="O92" i="1"/>
  <c r="N65" i="1"/>
  <c r="O40" i="1"/>
  <c r="P84" i="1"/>
  <c r="Q107" i="1"/>
  <c r="N106" i="1"/>
  <c r="Q174" i="1"/>
  <c r="N171" i="1"/>
  <c r="Q94" i="1"/>
  <c r="N92" i="1"/>
  <c r="N313" i="1"/>
  <c r="Q240" i="1"/>
  <c r="N239" i="1"/>
  <c r="M46" i="1"/>
  <c r="N274" i="1"/>
  <c r="M192" i="1"/>
  <c r="M15" i="1"/>
  <c r="O208" i="1"/>
  <c r="N15" i="1"/>
  <c r="O305" i="1"/>
  <c r="O297" i="1"/>
  <c r="M258" i="1"/>
  <c r="N251" i="1"/>
  <c r="O245" i="1"/>
  <c r="N231" i="1"/>
  <c r="P59" i="1"/>
  <c r="P46" i="1"/>
  <c r="P31" i="1"/>
  <c r="O84" i="1"/>
  <c r="O154" i="1"/>
  <c r="M141" i="1"/>
  <c r="N216" i="1"/>
  <c r="O31" i="1"/>
  <c r="M313" i="1"/>
  <c r="O59" i="1"/>
  <c r="N258" i="1"/>
  <c r="O251" i="1"/>
  <c r="N109" i="1"/>
  <c r="P118" i="1"/>
  <c r="N59" i="1"/>
  <c r="N46" i="1"/>
  <c r="P141" i="1"/>
  <c r="P127" i="1"/>
  <c r="Q520" i="1"/>
  <c r="Q496" i="1"/>
  <c r="Q333" i="1"/>
  <c r="Q598" i="1"/>
  <c r="Q159" i="1"/>
  <c r="Q502" i="1"/>
  <c r="Q291" i="1"/>
  <c r="Q265" i="1"/>
  <c r="Q667" i="1"/>
  <c r="Q20" i="1"/>
  <c r="Q24" i="1"/>
  <c r="Q594" i="1"/>
  <c r="Q508" i="1"/>
  <c r="Q319" i="1"/>
  <c r="Q298" i="1"/>
  <c r="Q271" i="1"/>
  <c r="J113" i="1"/>
  <c r="O113" i="1" s="1"/>
  <c r="Q113" i="1" s="1"/>
  <c r="J112" i="1"/>
  <c r="O112" i="1" s="1"/>
  <c r="Q112" i="1" s="1"/>
  <c r="Q155" i="1"/>
  <c r="Q648" i="1"/>
  <c r="Q225" i="1"/>
  <c r="Q277" i="1"/>
  <c r="Q181" i="1"/>
  <c r="Q165" i="1"/>
  <c r="Q259" i="1"/>
  <c r="J114" i="1"/>
  <c r="O114" i="1" s="1"/>
  <c r="Q114" i="1" s="1"/>
  <c r="Q224" i="1"/>
  <c r="Q223" i="1"/>
  <c r="Q534" i="1"/>
  <c r="Q486" i="1"/>
  <c r="Q663" i="1"/>
  <c r="Q616" i="1"/>
  <c r="Q574" i="1"/>
  <c r="Q461" i="1"/>
  <c r="Q485" i="1"/>
  <c r="Q656" i="1"/>
  <c r="Q513" i="1"/>
  <c r="Q501" i="1"/>
  <c r="Q453" i="1"/>
  <c r="Q433" i="1"/>
  <c r="Q401" i="1"/>
  <c r="Q369" i="1"/>
  <c r="Q337" i="1"/>
  <c r="Q66" i="1"/>
  <c r="Q60" i="1"/>
  <c r="Q52" i="1"/>
  <c r="Q48" i="1"/>
  <c r="Q639" i="1"/>
  <c r="Q473" i="1"/>
  <c r="Q647" i="1"/>
  <c r="Q604" i="1"/>
  <c r="Q582" i="1"/>
  <c r="Q12" i="1"/>
  <c r="Q17" i="1"/>
  <c r="Q21" i="1"/>
  <c r="Q25" i="1"/>
  <c r="Q98" i="1"/>
  <c r="Q415" i="1"/>
  <c r="Q709" i="1"/>
  <c r="Q690" i="1"/>
  <c r="Q560" i="1"/>
  <c r="Q548" i="1"/>
  <c r="Q221" i="1"/>
  <c r="Q217" i="1"/>
  <c r="Q211" i="1"/>
  <c r="Q199" i="1"/>
  <c r="Q193" i="1"/>
  <c r="Q99" i="1"/>
  <c r="Q967" i="1"/>
  <c r="Q706" i="1"/>
  <c r="Q694" i="1"/>
  <c r="Q559" i="1"/>
  <c r="Q535" i="1"/>
  <c r="Q417" i="1"/>
  <c r="Q385" i="1"/>
  <c r="Q562" i="1"/>
  <c r="Q538" i="1"/>
  <c r="Q466" i="1"/>
  <c r="Q454" i="1"/>
  <c r="Q180" i="1"/>
  <c r="Q314" i="1"/>
  <c r="Q430" i="1"/>
  <c r="Q398" i="1"/>
  <c r="Q366" i="1"/>
  <c r="Q334" i="1"/>
  <c r="Q474" i="1"/>
  <c r="Q11" i="1"/>
  <c r="Q437" i="1"/>
  <c r="Q413" i="1"/>
  <c r="Q405" i="1"/>
  <c r="Q381" i="1"/>
  <c r="Q373" i="1"/>
  <c r="Q349" i="1"/>
  <c r="Q341" i="1"/>
  <c r="Q519" i="1"/>
  <c r="Q654" i="1"/>
  <c r="Q568" i="1"/>
  <c r="Q69" i="1"/>
  <c r="Q63" i="1"/>
  <c r="Q57" i="1"/>
  <c r="Q51" i="1"/>
  <c r="Q44" i="1"/>
  <c r="Q38" i="1"/>
  <c r="Q10" i="1"/>
  <c r="Q561" i="1"/>
  <c r="Q549" i="1"/>
  <c r="Q661" i="1"/>
  <c r="Q634" i="1"/>
  <c r="Q580" i="1"/>
  <c r="Q714" i="1"/>
  <c r="Q622" i="1"/>
  <c r="Q557" i="1"/>
  <c r="Q545" i="1"/>
  <c r="Q533" i="1"/>
  <c r="Q489" i="1"/>
  <c r="Q477" i="1"/>
  <c r="Q100" i="1"/>
  <c r="Q635" i="1"/>
  <c r="Q512" i="1"/>
  <c r="Q500" i="1"/>
  <c r="Q472" i="1"/>
  <c r="Q425" i="1"/>
  <c r="Q393" i="1"/>
  <c r="Q361" i="1"/>
  <c r="Q620" i="1"/>
  <c r="Q511" i="1"/>
  <c r="Q475" i="1"/>
  <c r="Q220" i="1"/>
  <c r="Q214" i="1"/>
  <c r="Q210" i="1"/>
  <c r="Q196" i="1"/>
  <c r="Q190" i="1"/>
  <c r="Q575" i="1"/>
  <c r="Q514" i="1"/>
  <c r="Q490" i="1"/>
  <c r="Q441" i="1"/>
  <c r="Q409" i="1"/>
  <c r="Q377" i="1"/>
  <c r="Q345" i="1"/>
  <c r="Q655" i="1"/>
  <c r="Q646" i="1"/>
  <c r="Q571" i="1"/>
  <c r="Q961" i="1"/>
  <c r="Q710" i="1"/>
  <c r="Q649" i="1"/>
  <c r="Q630" i="1"/>
  <c r="Q521" i="1"/>
  <c r="Q509" i="1"/>
  <c r="Q497" i="1"/>
  <c r="Q256" i="1"/>
  <c r="Q218" i="1"/>
  <c r="Q212" i="1"/>
  <c r="Q202" i="1"/>
  <c r="Q194" i="1"/>
  <c r="Q184" i="1"/>
  <c r="Q89" i="1"/>
  <c r="Q958" i="1"/>
  <c r="Q689" i="1"/>
  <c r="Q556" i="1"/>
  <c r="Q544" i="1"/>
  <c r="Q532" i="1"/>
  <c r="Q460" i="1"/>
  <c r="Q67" i="1"/>
  <c r="Q61" i="1"/>
  <c r="Q55" i="1"/>
  <c r="Q13" i="1"/>
  <c r="Q626" i="1"/>
  <c r="Q547" i="1"/>
  <c r="Q523" i="1"/>
  <c r="Q463" i="1"/>
  <c r="Q299" i="1"/>
  <c r="Q292" i="1"/>
  <c r="Q284" i="1"/>
  <c r="Q278" i="1"/>
  <c r="Q272" i="1"/>
  <c r="Q266" i="1"/>
  <c r="Q254" i="1"/>
  <c r="Q247" i="1"/>
  <c r="Q964" i="1"/>
  <c r="Q691" i="1"/>
  <c r="Q550" i="1"/>
  <c r="Q526" i="1"/>
  <c r="Q232" i="1"/>
  <c r="Q219" i="1"/>
  <c r="Q213" i="1"/>
  <c r="Q206" i="1"/>
  <c r="Q195" i="1"/>
  <c r="Q187" i="1"/>
  <c r="Q97" i="1"/>
  <c r="Q586" i="1"/>
  <c r="Q537" i="1"/>
  <c r="Q525" i="1"/>
  <c r="Q465" i="1"/>
  <c r="Q74" i="1"/>
  <c r="Q484" i="1"/>
  <c r="Q329" i="1"/>
  <c r="Q309" i="1"/>
  <c r="Q293" i="1"/>
  <c r="Q275" i="1"/>
  <c r="Q269" i="1"/>
  <c r="Q261" i="1"/>
  <c r="Q255" i="1"/>
  <c r="Q248" i="1"/>
  <c r="Q242" i="1"/>
  <c r="Q608" i="1"/>
  <c r="Q499" i="1"/>
  <c r="Q82" i="1"/>
  <c r="Q68" i="1"/>
  <c r="Q62" i="1"/>
  <c r="Q56" i="1"/>
  <c r="Q50" i="1"/>
  <c r="Q43" i="1"/>
  <c r="Q37" i="1"/>
  <c r="Q9" i="1"/>
  <c r="Q657" i="1"/>
  <c r="Q599" i="1"/>
  <c r="Q253" i="1"/>
  <c r="Q246" i="1"/>
  <c r="Q610" i="1"/>
  <c r="Q536" i="1"/>
  <c r="Q524" i="1"/>
  <c r="Q16" i="1"/>
  <c r="Q584" i="1"/>
  <c r="Q353" i="1"/>
  <c r="Q81" i="1"/>
  <c r="Q318" i="1"/>
  <c r="Q311" i="1"/>
  <c r="Q152" i="1"/>
  <c r="L251" i="1" l="1"/>
  <c r="C42" i="5" s="1"/>
  <c r="L245" i="1"/>
  <c r="C41" i="5" s="1"/>
  <c r="E109" i="6"/>
  <c r="E112" i="6"/>
  <c r="E105" i="6"/>
  <c r="E108" i="6"/>
  <c r="E106" i="6"/>
  <c r="E110" i="6"/>
  <c r="E114" i="6"/>
  <c r="E111" i="6"/>
  <c r="E103" i="6"/>
  <c r="M297" i="1"/>
  <c r="Q703" i="1"/>
  <c r="M274" i="1"/>
  <c r="Q788" i="1"/>
  <c r="O773" i="1"/>
  <c r="Q697" i="1"/>
  <c r="Q260" i="1"/>
  <c r="M249" i="1"/>
  <c r="M245" i="1" s="1"/>
  <c r="Q28" i="1"/>
  <c r="Q721" i="1"/>
  <c r="M231" i="1"/>
  <c r="Q700" i="1"/>
  <c r="M305" i="1"/>
  <c r="Q724" i="1"/>
  <c r="Q390" i="1"/>
  <c r="K285" i="1"/>
  <c r="L285" i="1" s="1"/>
  <c r="Q228" i="1"/>
  <c r="Q727" i="1"/>
  <c r="Q326" i="1"/>
  <c r="Q383" i="1"/>
  <c r="Q270" i="1"/>
  <c r="Q344" i="1"/>
  <c r="O263" i="1"/>
  <c r="K72" i="1"/>
  <c r="L72" i="1" s="1"/>
  <c r="K75" i="1"/>
  <c r="L75" i="1" s="1"/>
  <c r="Q49" i="1"/>
  <c r="Q243" i="1"/>
  <c r="Q303" i="1"/>
  <c r="N40" i="1"/>
  <c r="O216" i="1"/>
  <c r="Q237" i="1"/>
  <c r="M31" i="1"/>
  <c r="M290" i="1"/>
  <c r="O313" i="1"/>
  <c r="Q103" i="1"/>
  <c r="J73" i="1"/>
  <c r="O73" i="1" s="1"/>
  <c r="Q73" i="1" s="1"/>
  <c r="K73" i="1"/>
  <c r="L73" i="1" s="1"/>
  <c r="J685" i="1"/>
  <c r="O685" i="1" s="1"/>
  <c r="Q685" i="1" s="1"/>
  <c r="K685" i="1"/>
  <c r="L685" i="1" s="1"/>
  <c r="K282" i="1"/>
  <c r="L282" i="1" s="1"/>
  <c r="J282" i="1"/>
  <c r="J231" i="1"/>
  <c r="O234" i="1"/>
  <c r="J121" i="1"/>
  <c r="K121" i="1"/>
  <c r="L121" i="1" s="1"/>
  <c r="J676" i="1"/>
  <c r="O676" i="1" s="1"/>
  <c r="Q676" i="1" s="1"/>
  <c r="K676" i="1"/>
  <c r="L676" i="1" s="1"/>
  <c r="J675" i="1"/>
  <c r="O675" i="1" s="1"/>
  <c r="Q675" i="1" s="1"/>
  <c r="K675" i="1"/>
  <c r="L675" i="1" s="1"/>
  <c r="J682" i="1"/>
  <c r="K682" i="1"/>
  <c r="L682" i="1" s="1"/>
  <c r="J130" i="1"/>
  <c r="K130" i="1"/>
  <c r="L130" i="1" s="1"/>
  <c r="J133" i="1"/>
  <c r="O133" i="1" s="1"/>
  <c r="Q133" i="1" s="1"/>
  <c r="K133" i="1"/>
  <c r="L133" i="1" s="1"/>
  <c r="J674" i="1"/>
  <c r="O674" i="1" s="1"/>
  <c r="Q674" i="1" s="1"/>
  <c r="K674" i="1"/>
  <c r="L674" i="1" s="1"/>
  <c r="Q351" i="1"/>
  <c r="Q116" i="1"/>
  <c r="J125" i="1"/>
  <c r="M125" i="1" s="1"/>
  <c r="K125" i="1"/>
  <c r="L125" i="1" s="1"/>
  <c r="J673" i="1"/>
  <c r="K673" i="1"/>
  <c r="L673" i="1" s="1"/>
  <c r="J683" i="1"/>
  <c r="O683" i="1" s="1"/>
  <c r="Q683" i="1" s="1"/>
  <c r="K683" i="1"/>
  <c r="L683" i="1" s="1"/>
  <c r="J686" i="1"/>
  <c r="M686" i="1" s="1"/>
  <c r="K686" i="1"/>
  <c r="L686" i="1" s="1"/>
  <c r="K134" i="1"/>
  <c r="L134" i="1" s="1"/>
  <c r="J134" i="1"/>
  <c r="M134" i="1" s="1"/>
  <c r="J124" i="1"/>
  <c r="O124" i="1" s="1"/>
  <c r="Q124" i="1" s="1"/>
  <c r="K124" i="1"/>
  <c r="L124" i="1" s="1"/>
  <c r="J76" i="1"/>
  <c r="K76" i="1"/>
  <c r="L76" i="1" s="1"/>
  <c r="K132" i="1"/>
  <c r="L132" i="1" s="1"/>
  <c r="J132" i="1"/>
  <c r="O132" i="1" s="1"/>
  <c r="Q132" i="1" s="1"/>
  <c r="Q72" i="1"/>
  <c r="Q179" i="1"/>
  <c r="N355" i="1"/>
  <c r="J123" i="1"/>
  <c r="O123" i="1" s="1"/>
  <c r="Q123" i="1" s="1"/>
  <c r="K123" i="1"/>
  <c r="L123" i="1" s="1"/>
  <c r="J122" i="1"/>
  <c r="O122" i="1" s="1"/>
  <c r="Q122" i="1" s="1"/>
  <c r="K122" i="1"/>
  <c r="L122" i="1" s="1"/>
  <c r="J677" i="1"/>
  <c r="M677" i="1" s="1"/>
  <c r="K677" i="1"/>
  <c r="L677" i="1" s="1"/>
  <c r="J684" i="1"/>
  <c r="O684" i="1" s="1"/>
  <c r="Q684" i="1" s="1"/>
  <c r="K684" i="1"/>
  <c r="L684" i="1" s="1"/>
  <c r="J283" i="1"/>
  <c r="O283" i="1" s="1"/>
  <c r="Q283" i="1" s="1"/>
  <c r="K283" i="1"/>
  <c r="L283" i="1" s="1"/>
  <c r="J131" i="1"/>
  <c r="O131" i="1" s="1"/>
  <c r="Q131" i="1" s="1"/>
  <c r="K131" i="1"/>
  <c r="L131" i="1" s="1"/>
  <c r="O141" i="1"/>
  <c r="Q288" i="1"/>
  <c r="M443" i="1"/>
  <c r="P564" i="1"/>
  <c r="M564" i="1"/>
  <c r="O443" i="1"/>
  <c r="P443" i="1"/>
  <c r="O564" i="1"/>
  <c r="N443" i="1"/>
  <c r="N564" i="1"/>
  <c r="Q633" i="1"/>
  <c r="F87" i="5" s="1"/>
  <c r="Q638" i="1"/>
  <c r="F88" i="5" s="1"/>
  <c r="Q643" i="1"/>
  <c r="F89" i="5" s="1"/>
  <c r="Q659" i="1"/>
  <c r="F91" i="5" s="1"/>
  <c r="Q601" i="1"/>
  <c r="F83" i="5" s="1"/>
  <c r="Q613" i="1"/>
  <c r="F84" i="5" s="1"/>
  <c r="Q628" i="1"/>
  <c r="F86" i="5" s="1"/>
  <c r="Q651" i="1"/>
  <c r="F90" i="5" s="1"/>
  <c r="Q708" i="1"/>
  <c r="F100" i="5" s="1"/>
  <c r="Q577" i="1"/>
  <c r="F81" i="5" s="1"/>
  <c r="Q565" i="1"/>
  <c r="F80" i="5" s="1"/>
  <c r="J141" i="1"/>
  <c r="Q589" i="1"/>
  <c r="F82" i="5" s="1"/>
  <c r="Q154" i="1"/>
  <c r="J321" i="1"/>
  <c r="O321" i="1"/>
  <c r="P321" i="1"/>
  <c r="Q444" i="1"/>
  <c r="F69" i="5" s="1"/>
  <c r="Q468" i="1"/>
  <c r="F71" i="5" s="1"/>
  <c r="Q504" i="1"/>
  <c r="F74" i="5" s="1"/>
  <c r="Q480" i="1"/>
  <c r="F72" i="5" s="1"/>
  <c r="N321" i="1"/>
  <c r="Q540" i="1"/>
  <c r="F77" i="5" s="1"/>
  <c r="Q528" i="1"/>
  <c r="F76" i="5" s="1"/>
  <c r="Q456" i="1"/>
  <c r="F70" i="5" s="1"/>
  <c r="Q516" i="1"/>
  <c r="F75" i="5" s="1"/>
  <c r="M321" i="1"/>
  <c r="Q492" i="1"/>
  <c r="F73" i="5" s="1"/>
  <c r="Q552" i="1"/>
  <c r="F78" i="5" s="1"/>
  <c r="Q403" i="1"/>
  <c r="F63" i="5" s="1"/>
  <c r="Q411" i="1"/>
  <c r="F64" i="5" s="1"/>
  <c r="Q363" i="1"/>
  <c r="F58" i="5" s="1"/>
  <c r="Q427" i="1"/>
  <c r="F66" i="5" s="1"/>
  <c r="Q371" i="1"/>
  <c r="F59" i="5" s="1"/>
  <c r="Q435" i="1"/>
  <c r="F67" i="5" s="1"/>
  <c r="Q331" i="1"/>
  <c r="F54" i="5" s="1"/>
  <c r="Q355" i="1"/>
  <c r="F57" i="5" s="1"/>
  <c r="Q395" i="1"/>
  <c r="F62" i="5" s="1"/>
  <c r="Q419" i="1"/>
  <c r="F65" i="5" s="1"/>
  <c r="Q36" i="1"/>
  <c r="F11" i="5" s="1"/>
  <c r="Q625" i="1"/>
  <c r="F85" i="5" s="1"/>
  <c r="Q201" i="1"/>
  <c r="F32" i="5" s="1"/>
  <c r="Q263" i="1"/>
  <c r="F44" i="5" s="1"/>
  <c r="Q189" i="1"/>
  <c r="F29" i="5" s="1"/>
  <c r="Q713" i="1"/>
  <c r="F101" i="5" s="1"/>
  <c r="Q31" i="1"/>
  <c r="F10" i="5" s="1"/>
  <c r="Q705" i="1"/>
  <c r="F99" i="5" s="1"/>
  <c r="Q192" i="1"/>
  <c r="F30" i="5" s="1"/>
  <c r="Q297" i="1"/>
  <c r="F48" i="5" s="1"/>
  <c r="Q205" i="1"/>
  <c r="F34" i="5" s="1"/>
  <c r="Q963" i="1"/>
  <c r="Q198" i="1"/>
  <c r="F31" i="5" s="1"/>
  <c r="Q59" i="1"/>
  <c r="F15" i="5" s="1"/>
  <c r="Q5" i="1"/>
  <c r="M4" i="1"/>
  <c r="Q305" i="1"/>
  <c r="F50" i="5" s="1"/>
  <c r="Q15" i="1"/>
  <c r="F8" i="5" s="1"/>
  <c r="Q79" i="1"/>
  <c r="F17" i="5" s="1"/>
  <c r="Q7" i="1"/>
  <c r="F7" i="5" s="1"/>
  <c r="Q208" i="1"/>
  <c r="F35" i="5" s="1"/>
  <c r="Q313" i="1"/>
  <c r="F51" i="5" s="1"/>
  <c r="Q966" i="1"/>
  <c r="Q290" i="1"/>
  <c r="F47" i="5" s="1"/>
  <c r="J109" i="1"/>
  <c r="Q92" i="1"/>
  <c r="F19" i="5" s="1"/>
  <c r="Q106" i="1"/>
  <c r="F20" i="5" s="1"/>
  <c r="Q251" i="1"/>
  <c r="F42" i="5" s="1"/>
  <c r="Q186" i="1"/>
  <c r="F28" i="5" s="1"/>
  <c r="Q54" i="1"/>
  <c r="F14" i="5" s="1"/>
  <c r="Q957" i="1"/>
  <c r="Q960" i="1"/>
  <c r="Q693" i="1"/>
  <c r="F95" i="5" s="1"/>
  <c r="Q216" i="1"/>
  <c r="F36" i="5" s="1"/>
  <c r="Q164" i="1"/>
  <c r="F25" i="5" s="1"/>
  <c r="O109" i="1"/>
  <c r="Q40" i="1"/>
  <c r="F12" i="5" s="1"/>
  <c r="Q167" i="1"/>
  <c r="F26" i="5" s="1"/>
  <c r="Q84" i="1"/>
  <c r="F18" i="5" s="1"/>
  <c r="L127" i="1" l="1"/>
  <c r="C23" i="5" s="1"/>
  <c r="L274" i="1"/>
  <c r="C46" i="5" s="1"/>
  <c r="L679" i="1"/>
  <c r="C94" i="5" s="1"/>
  <c r="L118" i="1"/>
  <c r="C22" i="5" s="1"/>
  <c r="L65" i="1"/>
  <c r="C16" i="5" s="1"/>
  <c r="L670" i="1"/>
  <c r="C93" i="5" s="1"/>
  <c r="Q702" i="1"/>
  <c r="F98" i="5" s="1"/>
  <c r="Q236" i="1"/>
  <c r="F39" i="5" s="1"/>
  <c r="Q239" i="1"/>
  <c r="F40" i="5" s="1"/>
  <c r="Q268" i="1"/>
  <c r="F45" i="5" s="1"/>
  <c r="Q726" i="1"/>
  <c r="F106" i="5" s="1"/>
  <c r="Q723" i="1"/>
  <c r="F105" i="5" s="1"/>
  <c r="Q720" i="1"/>
  <c r="F104" i="5" s="1"/>
  <c r="Q696" i="1"/>
  <c r="F96" i="5" s="1"/>
  <c r="E22" i="6"/>
  <c r="E57" i="6"/>
  <c r="E7" i="6"/>
  <c r="E74" i="6"/>
  <c r="E77" i="6"/>
  <c r="E33" i="6"/>
  <c r="E49" i="6"/>
  <c r="E16" i="6"/>
  <c r="E27" i="6"/>
  <c r="E21" i="6"/>
  <c r="E47" i="6"/>
  <c r="E12" i="6"/>
  <c r="E41" i="6"/>
  <c r="Q141" i="1"/>
  <c r="F24" i="5" s="1"/>
  <c r="E76" i="6"/>
  <c r="Q347" i="1"/>
  <c r="F56" i="5" s="1"/>
  <c r="Q227" i="1"/>
  <c r="F37" i="5" s="1"/>
  <c r="Q27" i="1"/>
  <c r="F9" i="5" s="1"/>
  <c r="E14" i="6"/>
  <c r="E84" i="6"/>
  <c r="E87" i="6"/>
  <c r="E23" i="6"/>
  <c r="E69" i="6"/>
  <c r="E8" i="6"/>
  <c r="E17" i="6"/>
  <c r="E66" i="6"/>
  <c r="E90" i="6"/>
  <c r="E73" i="6"/>
  <c r="E89" i="6"/>
  <c r="E75" i="6"/>
  <c r="Q379" i="1"/>
  <c r="F60" i="5" s="1"/>
  <c r="Q699" i="1"/>
  <c r="F97" i="5" s="1"/>
  <c r="Q773" i="1"/>
  <c r="F111" i="5" s="1"/>
  <c r="E32" i="6"/>
  <c r="E63" i="6"/>
  <c r="E88" i="6"/>
  <c r="E59" i="6"/>
  <c r="E37" i="6"/>
  <c r="E48" i="6"/>
  <c r="E68" i="6"/>
  <c r="E40" i="6"/>
  <c r="E39" i="6"/>
  <c r="E38" i="6"/>
  <c r="E13" i="6"/>
  <c r="E78" i="6"/>
  <c r="E79" i="6"/>
  <c r="Q287" i="1"/>
  <c r="Q258" i="1"/>
  <c r="F43" i="5" s="1"/>
  <c r="Q249" i="1"/>
  <c r="N2" i="1"/>
  <c r="Q387" i="1"/>
  <c r="F61" i="5" s="1"/>
  <c r="Q323" i="1"/>
  <c r="F53" i="5" s="1"/>
  <c r="Q46" i="1"/>
  <c r="F13" i="5" s="1"/>
  <c r="Q339" i="1"/>
  <c r="F55" i="5" s="1"/>
  <c r="Q109" i="1"/>
  <c r="F21" i="5" s="1"/>
  <c r="Q302" i="1"/>
  <c r="F49" i="5" s="1"/>
  <c r="Q102" i="1"/>
  <c r="O65" i="1"/>
  <c r="M127" i="1"/>
  <c r="Q134" i="1"/>
  <c r="Q171" i="1"/>
  <c r="F27" i="5" s="1"/>
  <c r="M118" i="1"/>
  <c r="Q125" i="1"/>
  <c r="Q677" i="1"/>
  <c r="M670" i="1"/>
  <c r="Q234" i="1"/>
  <c r="O231" i="1"/>
  <c r="O282" i="1"/>
  <c r="J274" i="1"/>
  <c r="M76" i="1"/>
  <c r="J65" i="1"/>
  <c r="O130" i="1"/>
  <c r="J127" i="1"/>
  <c r="J118" i="1"/>
  <c r="O121" i="1"/>
  <c r="Q686" i="1"/>
  <c r="M679" i="1"/>
  <c r="O673" i="1"/>
  <c r="J670" i="1"/>
  <c r="J679" i="1"/>
  <c r="O682" i="1"/>
  <c r="Q564" i="1"/>
  <c r="Q443" i="1"/>
  <c r="Q4" i="1"/>
  <c r="F6" i="5" s="1"/>
  <c r="P718" i="1"/>
  <c r="Q718" i="1" s="1"/>
  <c r="J717" i="1"/>
  <c r="E54" i="6" l="1"/>
  <c r="E71" i="6"/>
  <c r="E28" i="6"/>
  <c r="E72" i="6"/>
  <c r="E58" i="6"/>
  <c r="E86" i="6"/>
  <c r="E9" i="6"/>
  <c r="E31" i="6"/>
  <c r="E85" i="6"/>
  <c r="E95" i="6"/>
  <c r="E60" i="6"/>
  <c r="E36" i="6"/>
  <c r="E24" i="6"/>
  <c r="E15" i="6"/>
  <c r="E67" i="6"/>
  <c r="Q245" i="1"/>
  <c r="F41" i="5" s="1"/>
  <c r="E62" i="6"/>
  <c r="E107" i="6"/>
  <c r="E50" i="6"/>
  <c r="E94" i="6"/>
  <c r="E96" i="6"/>
  <c r="E55" i="6"/>
  <c r="E6" i="6"/>
  <c r="J2" i="1"/>
  <c r="Q321" i="1"/>
  <c r="Q130" i="1"/>
  <c r="O127" i="1"/>
  <c r="Q282" i="1"/>
  <c r="O274" i="1"/>
  <c r="Q673" i="1"/>
  <c r="O670" i="1"/>
  <c r="M65" i="1"/>
  <c r="M2" i="1" s="1"/>
  <c r="Q76" i="1"/>
  <c r="Q231" i="1"/>
  <c r="F38" i="5" s="1"/>
  <c r="O679" i="1"/>
  <c r="Q682" i="1"/>
  <c r="Q121" i="1"/>
  <c r="O118" i="1"/>
  <c r="Q717" i="1"/>
  <c r="F103" i="5" s="1"/>
  <c r="P717" i="1"/>
  <c r="P2" i="1" s="1"/>
  <c r="E93" i="6" l="1"/>
  <c r="E53" i="6"/>
  <c r="E70" i="6"/>
  <c r="E56" i="6"/>
  <c r="O2" i="1"/>
  <c r="Q2" i="1" s="1"/>
  <c r="Q65" i="1"/>
  <c r="F16" i="5" s="1"/>
  <c r="Q274" i="1"/>
  <c r="F46" i="5" s="1"/>
  <c r="Q679" i="1"/>
  <c r="F94" i="5" s="1"/>
  <c r="Q118" i="1"/>
  <c r="F22" i="5" s="1"/>
  <c r="Q670" i="1"/>
  <c r="F93" i="5" s="1"/>
  <c r="Q127" i="1"/>
  <c r="F23" i="5" s="1"/>
  <c r="E83" i="6" l="1"/>
  <c r="E29" i="6"/>
  <c r="E30" i="6"/>
  <c r="E61" i="6"/>
  <c r="E82" i="6"/>
  <c r="E18" i="6"/>
  <c r="E122" i="6" l="1"/>
</calcChain>
</file>

<file path=xl/sharedStrings.xml><?xml version="1.0" encoding="utf-8"?>
<sst xmlns="http://schemas.openxmlformats.org/spreadsheetml/2006/main" count="9467" uniqueCount="1439">
  <si>
    <t>Line No.</t>
  </si>
  <si>
    <t>Comment</t>
  </si>
  <si>
    <t>Resource Name</t>
  </si>
  <si>
    <t>Unit</t>
  </si>
  <si>
    <t>No</t>
  </si>
  <si>
    <t>Production</t>
  </si>
  <si>
    <t>Quantity</t>
  </si>
  <si>
    <t>Rate</t>
  </si>
  <si>
    <t>Labour</t>
  </si>
  <si>
    <t>Material</t>
  </si>
  <si>
    <t>Plant</t>
  </si>
  <si>
    <t>Subcontract</t>
  </si>
  <si>
    <t>Total</t>
  </si>
  <si>
    <t xml:space="preserve">Line No 1
Item No </t>
  </si>
  <si>
    <t>NICOL ST - PROSERPINE</t>
  </si>
  <si>
    <t>Line No 3
Item No QP1</t>
  </si>
  <si>
    <t>Quality System Documents &amp; Records</t>
  </si>
  <si>
    <t xml:space="preserve">LS   </t>
  </si>
  <si>
    <t>Project Engineer</t>
  </si>
  <si>
    <t xml:space="preserve">week </t>
  </si>
  <si>
    <t>Line No 4
Item No QCP1</t>
  </si>
  <si>
    <t>Quality Verification &amp; Control</t>
  </si>
  <si>
    <t>Field Density</t>
  </si>
  <si>
    <t xml:space="preserve">each </t>
  </si>
  <si>
    <t>Gravel Properties Testing</t>
  </si>
  <si>
    <t>Surveyor</t>
  </si>
  <si>
    <t xml:space="preserve">hr   </t>
  </si>
  <si>
    <t>Concrete Cylinders</t>
  </si>
  <si>
    <t>Line No 5
Item No C101(b)</t>
  </si>
  <si>
    <t>Site Establishment &amp; Disestablishment</t>
  </si>
  <si>
    <t>Project Supervisor</t>
  </si>
  <si>
    <t xml:space="preserve">Line No 6
Item No </t>
  </si>
  <si>
    <t>Preparation of Environmrntal Management Plan</t>
  </si>
  <si>
    <t xml:space="preserve">Line No 8
Item No </t>
  </si>
  <si>
    <t>ROAD &amp; EARTHWORKS</t>
  </si>
  <si>
    <t>Line No 9
Item No C201 (a)</t>
  </si>
  <si>
    <t>Control of Traffic</t>
  </si>
  <si>
    <t>Use a full time traffic controller with a hire ute from Meteor.</t>
  </si>
  <si>
    <t>Traffic Controller</t>
  </si>
  <si>
    <t xml:space="preserve">day  </t>
  </si>
  <si>
    <t>Line No 10
Item No C201 (b)</t>
  </si>
  <si>
    <t>Provision of Temporary Roadways, Sidetracks &amp; Detours</t>
  </si>
  <si>
    <t>Line No 11
Item No C211(a)</t>
  </si>
  <si>
    <t>Temporary Erosion &amp; Sedimentation Control</t>
  </si>
  <si>
    <t>Silt Fence</t>
  </si>
  <si>
    <t xml:space="preserve">m    </t>
  </si>
  <si>
    <t>Pickets</t>
  </si>
  <si>
    <t>Bobcat</t>
  </si>
  <si>
    <t>Line No 12
Item No C212 (a)</t>
  </si>
  <si>
    <t>Clearing &amp; Grubbing</t>
  </si>
  <si>
    <t>Excavator - 25T</t>
  </si>
  <si>
    <t>Tipper</t>
  </si>
  <si>
    <t>Water Cart - Hire</t>
  </si>
  <si>
    <t>Tip Fees</t>
  </si>
  <si>
    <t>tonne</t>
  </si>
  <si>
    <t>Line No 13
Item No C213(a)</t>
  </si>
  <si>
    <t>Removal &amp; Stockpiling of Topsoil for Re-use</t>
  </si>
  <si>
    <t xml:space="preserve">cum  </t>
  </si>
  <si>
    <t>Line No 14
Item No C213(b)</t>
  </si>
  <si>
    <t>General Earthworks (Cut)</t>
  </si>
  <si>
    <t>Line No 15
Item No C213(d)</t>
  </si>
  <si>
    <t>Replace unsuitable material below subgrade with select material complete (Provisional)</t>
  </si>
  <si>
    <t>Haul, place, spread, compact &amp; trim (No supply). Round trip of one hour to Foxdale &amp; back to Proserpine. Haul in T&amp;D.</t>
  </si>
  <si>
    <t>Grader</t>
  </si>
  <si>
    <t>Truck &amp; Dog</t>
  </si>
  <si>
    <t xml:space="preserve">Line No 17
Item No </t>
  </si>
  <si>
    <t>STORMWATER DRAINAGE</t>
  </si>
  <si>
    <t xml:space="preserve">Line No 18
Item No </t>
  </si>
  <si>
    <t>Alteration to Exisiting Stormwater Structures</t>
  </si>
  <si>
    <t>Core drill two inlets for sub-soil &amp; grout up.</t>
  </si>
  <si>
    <t>Line No 19
Item No C224(h)</t>
  </si>
  <si>
    <t>Concrete Barrier Kerb (B1)</t>
  </si>
  <si>
    <t>Use Kerb Subbie. Allciv to supply sand &amp; cement for slurry</t>
  </si>
  <si>
    <t>S32 - Kerb Mix</t>
  </si>
  <si>
    <t xml:space="preserve">m³   </t>
  </si>
  <si>
    <t>Sand</t>
  </si>
  <si>
    <t>Cement</t>
  </si>
  <si>
    <t>Kerb Subbie</t>
  </si>
  <si>
    <t>Float</t>
  </si>
  <si>
    <t>Line No 20
Item No C232(b)</t>
  </si>
  <si>
    <t>100mm slotted corrugated lastic pipe</t>
  </si>
  <si>
    <t>Excavate &amp; install sub-soil drain at a rate of 100m per day. Use 300 trench and sand to backfill.</t>
  </si>
  <si>
    <t>Sub Soil Drain</t>
  </si>
  <si>
    <t>Plate Compactor</t>
  </si>
  <si>
    <t>Line No 21
Item No C232(c)</t>
  </si>
  <si>
    <t>Cleanout Structures</t>
  </si>
  <si>
    <t xml:space="preserve">ea   </t>
  </si>
  <si>
    <t>Sub Soil Clean Out - Inst</t>
  </si>
  <si>
    <t xml:space="preserve">Line No 23
Item No </t>
  </si>
  <si>
    <t>PAVEMENTS</t>
  </si>
  <si>
    <t>Line No 24
Item No C241(a)</t>
  </si>
  <si>
    <t>Supply stabilising Agent</t>
  </si>
  <si>
    <t>Line No 25
Item No C242(b)</t>
  </si>
  <si>
    <t>Mixing &amp; Spreading of stabilising agent</t>
  </si>
  <si>
    <t xml:space="preserve">sqm  </t>
  </si>
  <si>
    <t>Stabilising</t>
  </si>
  <si>
    <t>Line No 26
Item No C242</t>
  </si>
  <si>
    <t>Place only 2.3</t>
  </si>
  <si>
    <t>Line No 27
Item No C242</t>
  </si>
  <si>
    <t>Place only 2.1</t>
  </si>
  <si>
    <t>Final Trim</t>
  </si>
  <si>
    <t>Line No 28
Item No C242</t>
  </si>
  <si>
    <t>Special Item - Take up existing gravel, stabilise &amp; relay as working platform</t>
  </si>
  <si>
    <t xml:space="preserve">m3   </t>
  </si>
  <si>
    <t>Take Up the Gravel</t>
  </si>
  <si>
    <t>Relay Gravel</t>
  </si>
  <si>
    <t>SD Roller - Wet (No Op)</t>
  </si>
  <si>
    <t>Line No 29
Item No C244(a)</t>
  </si>
  <si>
    <t>AMC5</t>
  </si>
  <si>
    <t>Seal Visit One</t>
  </si>
  <si>
    <t xml:space="preserve">m²   </t>
  </si>
  <si>
    <t>Line No 30
Item No C245(c)</t>
  </si>
  <si>
    <t>DG14 AC</t>
  </si>
  <si>
    <t>DG14</t>
  </si>
  <si>
    <t xml:space="preserve">Line No 32
Item No </t>
  </si>
  <si>
    <t>MISCELLANEOUS</t>
  </si>
  <si>
    <t>Line No 33
Item No C271(c)</t>
  </si>
  <si>
    <t>Industrial Invert Crossing</t>
  </si>
  <si>
    <t>Purchase Materials</t>
  </si>
  <si>
    <t>N25</t>
  </si>
  <si>
    <t>SL72</t>
  </si>
  <si>
    <t>Abel Flex</t>
  </si>
  <si>
    <t>Detailed Excavation:</t>
  </si>
  <si>
    <t>Form Pour &amp; Finish</t>
  </si>
  <si>
    <t>Bar Chairs</t>
  </si>
  <si>
    <t>Concrete Subbie</t>
  </si>
  <si>
    <t>Line No 34
Item No C273(a)</t>
  </si>
  <si>
    <t>Grass Seeding</t>
  </si>
  <si>
    <t>Line No 35
Item No C306(a)</t>
  </si>
  <si>
    <t>Sawcut bitumous pavement</t>
  </si>
  <si>
    <t>Line No 36
Item No C306(b)</t>
  </si>
  <si>
    <t>Remove existing pavement &amp; dispose offsite</t>
  </si>
  <si>
    <t xml:space="preserve">m2   </t>
  </si>
  <si>
    <t xml:space="preserve">Line No 37
Item No </t>
  </si>
  <si>
    <t>Locate &amp; Protect services</t>
  </si>
  <si>
    <t>Service Locator</t>
  </si>
  <si>
    <t xml:space="preserve">Line No 38
Item No </t>
  </si>
  <si>
    <t>As Constructed Plans</t>
  </si>
  <si>
    <t xml:space="preserve">Line No 42
Item No </t>
  </si>
  <si>
    <t>WRIGHTS ROAD (STRATHDICKIE)</t>
  </si>
  <si>
    <t>Line No 44
Item No QP1</t>
  </si>
  <si>
    <t>Line No 45
Item No QCP1</t>
  </si>
  <si>
    <t>Line No 46
Item No C101(b)</t>
  </si>
  <si>
    <t xml:space="preserve">Line No 47
Item No </t>
  </si>
  <si>
    <t xml:space="preserve">Line No 49
Item No </t>
  </si>
  <si>
    <t>Line No 50
Item No C201 (a)</t>
  </si>
  <si>
    <t>Ute - Hire</t>
  </si>
  <si>
    <t>Line No 51
Item No C201 (b)</t>
  </si>
  <si>
    <t>Line No 52
Item No C211(a)</t>
  </si>
  <si>
    <t>Line No 53
Item No C212 (a)</t>
  </si>
  <si>
    <t>Line No 54
Item No C212(a)</t>
  </si>
  <si>
    <t>Special Item - Demolition of structures(concrete slabs, culverts pipes)</t>
  </si>
  <si>
    <t>Line No 55
Item No C213(a)</t>
  </si>
  <si>
    <t>Line No 56
Item No C213(b)</t>
  </si>
  <si>
    <t>Line No 57
Item No C213(c)</t>
  </si>
  <si>
    <t>General Earthworks (Fill)</t>
  </si>
  <si>
    <t>PF Roller</t>
  </si>
  <si>
    <t>Line No 58
Item No C213(d)</t>
  </si>
  <si>
    <t>Line No 59
Item No C213(e)</t>
  </si>
  <si>
    <t>Excavation in Roak (Unrippable)</t>
  </si>
  <si>
    <t>Rock Breaker</t>
  </si>
  <si>
    <t xml:space="preserve">Line No 60
Item No </t>
  </si>
  <si>
    <t>Minor Rural Accesses</t>
  </si>
  <si>
    <t xml:space="preserve">Line No 62
Item No </t>
  </si>
  <si>
    <t>Line No 63
Item No C220(a)</t>
  </si>
  <si>
    <t>Excavation for stromwater structures</t>
  </si>
  <si>
    <t xml:space="preserve">Line No 64
Item No </t>
  </si>
  <si>
    <t>Removal / Demolition of Drainage Components</t>
  </si>
  <si>
    <t>Line No 65
Item No C221(a)</t>
  </si>
  <si>
    <t>375 RCP</t>
  </si>
  <si>
    <t>10 Individual culverts each will take 6 hours to install, backfill &amp; complete.</t>
  </si>
  <si>
    <t>Line No 66
Item No C221(a)</t>
  </si>
  <si>
    <t>450 RCP</t>
  </si>
  <si>
    <t>8 Individual culverts each will take 6 hours to install, backfill &amp; complete.</t>
  </si>
  <si>
    <t>Line No 67
Item No C222(a)</t>
  </si>
  <si>
    <t>Insitu RCBC Base Slab</t>
  </si>
  <si>
    <t>Culvert 4S - 1200 x 450 (4.8m)</t>
  </si>
  <si>
    <t>N32</t>
  </si>
  <si>
    <t>Culvert 4AB - 1200 x 450 (4.8m)</t>
  </si>
  <si>
    <t>Culvert 5E - 2/1200 x 450 (6m)</t>
  </si>
  <si>
    <t>Culvert 6D - 3/1200 x 600 (6m)</t>
  </si>
  <si>
    <t>Culvert 6F - 2/1200 x 600 (6m)</t>
  </si>
  <si>
    <t>Culvert 6K - 2/1200 x 450 (4.8m)</t>
  </si>
  <si>
    <t>Culvert 6M - 2/1200 x 450 (4.8m)</t>
  </si>
  <si>
    <t>Culvert 6P - 1200 x 450 (4.8m)</t>
  </si>
  <si>
    <t>Culvert 6T - 1200 x 450 (6m)</t>
  </si>
  <si>
    <t>Culvert 4U 2/1200 x 600 (10.8m) Under Road</t>
  </si>
  <si>
    <t>Culvert 4AA - 3/1200 x 450 (9.6m) Under Road</t>
  </si>
  <si>
    <t>Culvert 5D - 2/1200 x 600 ((.6m) Under Road</t>
  </si>
  <si>
    <t>Culvert 5M - 4/1200 x 600 (10.8m) Under Road</t>
  </si>
  <si>
    <t>Culvert 6B - 1200 x 450 (9.6m) Under Road</t>
  </si>
  <si>
    <t>Culvert 6V - 1200 x 450 (9.6m) Under Road</t>
  </si>
  <si>
    <t>Line No 68
Item No C222(b)</t>
  </si>
  <si>
    <t>RCBC - 1200 x 450</t>
  </si>
  <si>
    <t>Denso Tape</t>
  </si>
  <si>
    <t>Line No 69
Item No C222(b)</t>
  </si>
  <si>
    <t>RCBC - 1200 x 600</t>
  </si>
  <si>
    <t>Line No 70
Item No C223(a)</t>
  </si>
  <si>
    <t>Cast in situ headwalls</t>
  </si>
  <si>
    <t>Concrete Sub-contract</t>
  </si>
  <si>
    <t>Line No 71
Item No C223(a)</t>
  </si>
  <si>
    <t>375 HW</t>
  </si>
  <si>
    <t>HW - 375</t>
  </si>
  <si>
    <t>Line No 72
Item No C223(a)</t>
  </si>
  <si>
    <t>375 Sloping HW</t>
  </si>
  <si>
    <t>Line No 73
Item No C223(a)</t>
  </si>
  <si>
    <t>450 Sloping HW</t>
  </si>
  <si>
    <t>Line No 74
Item No C224(h)</t>
  </si>
  <si>
    <t>B1 Kerb</t>
  </si>
  <si>
    <t>Line No 75
Item No C224(h)</t>
  </si>
  <si>
    <t>SM5 Kerb</t>
  </si>
  <si>
    <t>Line No 76
Item No C231(b)</t>
  </si>
  <si>
    <t>Sub-soil</t>
  </si>
  <si>
    <t xml:space="preserve">Line No 78
Item No </t>
  </si>
  <si>
    <t>Line No 79
Item No C242</t>
  </si>
  <si>
    <t>Line No 80
Item No C242</t>
  </si>
  <si>
    <t>Place Only 2.1</t>
  </si>
  <si>
    <t>Line No 81
Item No C244</t>
  </si>
  <si>
    <t>First Coat AMC5</t>
  </si>
  <si>
    <t>7mm Primer Seal</t>
  </si>
  <si>
    <t>Line No 82
Item No C244</t>
  </si>
  <si>
    <t>Second Coat</t>
  </si>
  <si>
    <t>Seal Visit Two</t>
  </si>
  <si>
    <t>Line No 83
Item No C261(a)</t>
  </si>
  <si>
    <t>Pavement Markings - Longitudinal Lines</t>
  </si>
  <si>
    <t>Line Marking</t>
  </si>
  <si>
    <t>Line No 84
Item No C261(b)</t>
  </si>
  <si>
    <t>Pavement Marking (Transverse etc)</t>
  </si>
  <si>
    <t>Line No 85
Item No C262(g)</t>
  </si>
  <si>
    <t>Remove &amp; reinstate exisiting signs &amp; supports</t>
  </si>
  <si>
    <t>Line No 86
Item No C262</t>
  </si>
  <si>
    <t>Supply &amp; Install all signs complete</t>
  </si>
  <si>
    <t>Signs Complete</t>
  </si>
  <si>
    <t>Line No 87
Item No C263(a)</t>
  </si>
  <si>
    <t>Guide Posts</t>
  </si>
  <si>
    <t>Guide Post</t>
  </si>
  <si>
    <t xml:space="preserve">Line No 89
Item No </t>
  </si>
  <si>
    <t>Line No 90
Item No C273(a)</t>
  </si>
  <si>
    <t>Grass seeding</t>
  </si>
  <si>
    <t>Line No 91
Item No C306(a)</t>
  </si>
  <si>
    <t>Sawcut Bitumen pavement</t>
  </si>
  <si>
    <t>Sawcut</t>
  </si>
  <si>
    <t xml:space="preserve">Line No 92
Item No </t>
  </si>
  <si>
    <t>Locate &amp; Protect Services</t>
  </si>
  <si>
    <t xml:space="preserve">Line No 93
Item No </t>
  </si>
  <si>
    <t xml:space="preserve">Line No OH  1
Item No </t>
  </si>
  <si>
    <t>Project Supervision</t>
  </si>
  <si>
    <t xml:space="preserve">item </t>
  </si>
  <si>
    <t xml:space="preserve">Line No OH  2
Item No </t>
  </si>
  <si>
    <t>Crib Facilities</t>
  </si>
  <si>
    <t xml:space="preserve">Line No OH  3
Item No </t>
  </si>
  <si>
    <t>Insurance</t>
  </si>
  <si>
    <t>CAR</t>
  </si>
  <si>
    <t xml:space="preserve">Item </t>
  </si>
  <si>
    <t xml:space="preserve">Line No OH  4
Item No </t>
  </si>
  <si>
    <t>Retention</t>
  </si>
  <si>
    <t>Retention Costs</t>
  </si>
  <si>
    <t>WBS</t>
  </si>
  <si>
    <t>Type</t>
  </si>
  <si>
    <r>
      <t>Prod</t>
    </r>
    <r>
      <rPr>
        <b/>
        <vertAlign val="superscript"/>
        <sz val="11"/>
        <color theme="1"/>
        <rFont val="Calibri"/>
        <family val="2"/>
        <scheme val="minor"/>
      </rPr>
      <t>n</t>
    </r>
  </si>
  <si>
    <t>Usage</t>
  </si>
  <si>
    <t xml:space="preserve">PV01        </t>
  </si>
  <si>
    <t>Principal Supply of Precast Conrete Items</t>
  </si>
  <si>
    <t xml:space="preserve">PV02        </t>
  </si>
  <si>
    <t>Additional 375RCP at chainage 230.</t>
  </si>
  <si>
    <t xml:space="preserve">PV04        </t>
  </si>
  <si>
    <t>Revised Seal Design</t>
  </si>
  <si>
    <t xml:space="preserve">PV05        </t>
  </si>
  <si>
    <t>Shape table drain chainage 523-725</t>
  </si>
  <si>
    <t xml:space="preserve">PV06        </t>
  </si>
  <si>
    <t>Nicol St - Revised pavement design</t>
  </si>
  <si>
    <t xml:space="preserve">PV07        </t>
  </si>
  <si>
    <t>Nicol St - Additional drain outlet</t>
  </si>
  <si>
    <t xml:space="preserve">PV08        </t>
  </si>
  <si>
    <t>Nicol St - Subgrade pavement repairs</t>
  </si>
  <si>
    <t xml:space="preserve">PV09        </t>
  </si>
  <si>
    <t>Nicol St - Additional works to water services</t>
  </si>
  <si>
    <t xml:space="preserve">PV10        </t>
  </si>
  <si>
    <t>Wright Rd - Drainage works ch1300</t>
  </si>
  <si>
    <t xml:space="preserve">PV11        </t>
  </si>
  <si>
    <t>Wright Rd - Additional culvert no.06</t>
  </si>
  <si>
    <t xml:space="preserve">PV12        </t>
  </si>
  <si>
    <t>Wright Rd - Driveway works</t>
  </si>
  <si>
    <t xml:space="preserve">PV13        </t>
  </si>
  <si>
    <t>Nicol St - Kerb ramp reconstruction</t>
  </si>
  <si>
    <t xml:space="preserve">PV14        </t>
  </si>
  <si>
    <t xml:space="preserve">PV15        </t>
  </si>
  <si>
    <t>Wright Road - Scour &amp; Batter Protection</t>
  </si>
  <si>
    <t xml:space="preserve">PV15 a      </t>
  </si>
  <si>
    <t>Scour Protection</t>
  </si>
  <si>
    <t xml:space="preserve">PV15 b      </t>
  </si>
  <si>
    <t>Drain Widening - Lot 130</t>
  </si>
  <si>
    <t xml:space="preserve">PV15 c      </t>
  </si>
  <si>
    <t>Batter Protection - Lot 130</t>
  </si>
  <si>
    <t xml:space="preserve">PV16        </t>
  </si>
  <si>
    <t>Culvert Extension - Lot 30</t>
  </si>
  <si>
    <t xml:space="preserve">PV17        </t>
  </si>
  <si>
    <t>Additional Drainage Works - Wright Road</t>
  </si>
  <si>
    <t>Description</t>
  </si>
  <si>
    <t>Curr</t>
  </si>
  <si>
    <t>Base Rate</t>
  </si>
  <si>
    <t>Concretor</t>
  </si>
  <si>
    <t>AUD</t>
  </si>
  <si>
    <t>Plant Operator</t>
  </si>
  <si>
    <t>Pipe Layer</t>
  </si>
  <si>
    <t>Project Engineer - Weekly Rate</t>
  </si>
  <si>
    <t>Weekly Rate - Project Manager</t>
  </si>
  <si>
    <t>Survey Team</t>
  </si>
  <si>
    <t>Traffic Controller with Vehicle</t>
  </si>
  <si>
    <t>Work Place Health &amp; Safety Officer</t>
  </si>
  <si>
    <t>1050 pre-cast man hole rings (sewer / storm water)</t>
  </si>
  <si>
    <t>1050 Reducer Slab for 1050 Manhole</t>
  </si>
  <si>
    <t xml:space="preserve">ton  </t>
  </si>
  <si>
    <t>A24 - Bidum</t>
  </si>
  <si>
    <t>A64 Bidum</t>
  </si>
  <si>
    <t>Bro Pit 1 Chamber, 1 Trough</t>
  </si>
  <si>
    <t>Bro Pit - 1 Chamber, 2 Trough</t>
  </si>
  <si>
    <t>CBR15 Road Base</t>
  </si>
  <si>
    <t>CBR45 Road Base</t>
  </si>
  <si>
    <t>CBR80 Road Base - Delivered</t>
  </si>
  <si>
    <t>Cast Iron Lid (Class D) &amp; Surround for Man Holes</t>
  </si>
  <si>
    <t>Bulk GP / GB Cement</t>
  </si>
  <si>
    <t>Cement Powder - 2 Tonne Bag</t>
  </si>
  <si>
    <t>50m Roll</t>
  </si>
  <si>
    <t>50m roll</t>
  </si>
  <si>
    <t>110m Roll</t>
  </si>
  <si>
    <t>90 PE - 100m roll</t>
  </si>
  <si>
    <t>Drainage Aggregate</t>
  </si>
  <si>
    <t>Gabion Rock (150 - 300)</t>
  </si>
  <si>
    <t>General Fill</t>
  </si>
  <si>
    <t>CBR 15 General Fill</t>
  </si>
  <si>
    <t>Head Wall 375 RCP</t>
  </si>
  <si>
    <t>N20 Concrete</t>
  </si>
  <si>
    <t>N25 Concrete</t>
  </si>
  <si>
    <t>N32 Concrete</t>
  </si>
  <si>
    <t>DN200 - PE100 MDPE Pipe</t>
  </si>
  <si>
    <t>Star Pickets</t>
  </si>
  <si>
    <t>RCBC Crown Unit - 3600 x 900</t>
  </si>
  <si>
    <t>SL72 - Reinforcing Mesh</t>
  </si>
  <si>
    <t>SL82 Reinforcing Mesh</t>
  </si>
  <si>
    <t>Bedding Sand</t>
  </si>
  <si>
    <t>General signs &amp; delineation for traffic control.</t>
  </si>
  <si>
    <t>Stabilised Sand</t>
  </si>
  <si>
    <t>Pre-cast wheel stops</t>
  </si>
  <si>
    <t>Backhoe - Wet Hire</t>
  </si>
  <si>
    <t>Bobcat - Wet Hire</t>
  </si>
  <si>
    <t>Bomag 124DH-3 SD Roller (3.5 T) - No Operator</t>
  </si>
  <si>
    <t>Stand Down SD Roller</t>
  </si>
  <si>
    <t>CAT297C MTL - No Operator</t>
  </si>
  <si>
    <t>CAT297 Stabiliser - No operator</t>
  </si>
  <si>
    <t>CAT311D - 12T Excavator (No Operator)</t>
  </si>
  <si>
    <t>Site Office &amp; Tiolet, 1 Pump out during project.</t>
  </si>
  <si>
    <t>D6 Dozer</t>
  </si>
  <si>
    <t>15T Excavator - Wet Hire</t>
  </si>
  <si>
    <t>25T Excavator - Wet Hire</t>
  </si>
  <si>
    <t>30T Excavator - Wet Hire</t>
  </si>
  <si>
    <t>8T Excavator - Wet Hire</t>
  </si>
  <si>
    <t>Excavator 25T - RATE ONLY</t>
  </si>
  <si>
    <t>FAE Mixer with Tractor</t>
  </si>
  <si>
    <t>Ford Ranger 4WD Utility</t>
  </si>
  <si>
    <t>Grader - Wet Hire</t>
  </si>
  <si>
    <t>MW Roller (Wet No Op)</t>
  </si>
  <si>
    <t>New Holland Compact Grader - No Operator</t>
  </si>
  <si>
    <t>Pad Foot Roller - Dry</t>
  </si>
  <si>
    <t>Plate Compactor - Dry Hire</t>
  </si>
  <si>
    <t>Excavator - Wet Hire with Rock Breaker</t>
  </si>
  <si>
    <t>SD Roller - Dry</t>
  </si>
  <si>
    <t>SD Roller Wet Hire - No Operator</t>
  </si>
  <si>
    <t>Spreader Truck - 30T</t>
  </si>
  <si>
    <t>Tipper (Wet Hire)</t>
  </si>
  <si>
    <t>Tipper - Allciv (No Driver)</t>
  </si>
  <si>
    <t>Toyota Landcruiser 100 Utility</t>
  </si>
  <si>
    <t>Truck &amp; Dog - Wet Hire</t>
  </si>
  <si>
    <t>UD Spreader Truck - No Driver</t>
  </si>
  <si>
    <t>Variable Message Board</t>
  </si>
  <si>
    <t>Water Cart Allciv - No Operator</t>
  </si>
  <si>
    <t>Water Cart Hire</t>
  </si>
  <si>
    <t>10mm Spary Seal</t>
  </si>
  <si>
    <t>14mm Primerseal</t>
  </si>
  <si>
    <t>Accommodation &amp; 3 meals Rate</t>
  </si>
  <si>
    <t>Broons Impact Roller First day hire</t>
  </si>
  <si>
    <t>Broons Impact Roller - Daily hire after day one</t>
  </si>
  <si>
    <t>CAR Insurance</t>
  </si>
  <si>
    <t>Cylinders - Set of Three</t>
  </si>
  <si>
    <t>Concrete Sub-contractor (Slab on Ground)</t>
  </si>
  <si>
    <t>Slab on Ground</t>
  </si>
  <si>
    <t>PL Insurance</t>
  </si>
  <si>
    <t>Contract Rate per pit</t>
  </si>
  <si>
    <t>Modify Manholes</t>
  </si>
  <si>
    <t>Field Density via Sand Replacement Method</t>
  </si>
  <si>
    <t>Security Fence - Three Strand Barb &amp; Crank</t>
  </si>
  <si>
    <t>Tip fees per ton of waste</t>
  </si>
  <si>
    <t>2 x TC's + Ute, Signs &amp; Comms</t>
  </si>
  <si>
    <t>WHS Insurance / Levy</t>
  </si>
  <si>
    <t>Labour Resources</t>
  </si>
  <si>
    <t>Material Resources</t>
  </si>
  <si>
    <t>Plant Resources</t>
  </si>
  <si>
    <t>Sub-Contract Resources</t>
  </si>
  <si>
    <t>L</t>
  </si>
  <si>
    <t>M</t>
  </si>
  <si>
    <t>P</t>
  </si>
  <si>
    <t>S</t>
  </si>
  <si>
    <t/>
  </si>
  <si>
    <t>Concrete Hole Cutting</t>
  </si>
  <si>
    <t>Sub Soil Flush Fittings</t>
  </si>
  <si>
    <t>MW Roller</t>
  </si>
  <si>
    <t>450 RCP FJ CL2</t>
  </si>
  <si>
    <t>HW - 375 Sloping</t>
  </si>
  <si>
    <t>HW - 450 Sloping</t>
  </si>
  <si>
    <t>Kerb Subbie (two)</t>
  </si>
  <si>
    <t>Nicol St - Removal of Unsuitable - Telstra Cable</t>
  </si>
  <si>
    <t>Concretor - Labour</t>
  </si>
  <si>
    <t>Engineer / CQR</t>
  </si>
  <si>
    <t>Foreman - Hourly</t>
  </si>
  <si>
    <t>Labour - RATE ONLY</t>
  </si>
  <si>
    <t>Operator</t>
  </si>
  <si>
    <t>PM</t>
  </si>
  <si>
    <t>Pipelayer</t>
  </si>
  <si>
    <t>Project Manager</t>
  </si>
  <si>
    <t>WHSO</t>
  </si>
  <si>
    <t>100 Bend - 11.25 deg</t>
  </si>
  <si>
    <t>100 Bend - 22.5 deg</t>
  </si>
  <si>
    <t>100 Bend - 45 deg</t>
  </si>
  <si>
    <t>100 End Cap</t>
  </si>
  <si>
    <t>100 Gasket Set</t>
  </si>
  <si>
    <t>100 LD uPVC Electrical</t>
  </si>
  <si>
    <t>100 SV So-So</t>
  </si>
  <si>
    <t>100 x 100 Tee</t>
  </si>
  <si>
    <t>1050 Manhole per metre</t>
  </si>
  <si>
    <t>1050 Reducer Slab</t>
  </si>
  <si>
    <t>1200 RCP FJ CL2</t>
  </si>
  <si>
    <t>125 LD uPVC Electrical</t>
  </si>
  <si>
    <t>150 Bend - 11.25 deg</t>
  </si>
  <si>
    <t>150 Bend - 22.5 deg</t>
  </si>
  <si>
    <t>150 Bend - 45 deg</t>
  </si>
  <si>
    <t>150 Bend - 90 deg</t>
  </si>
  <si>
    <t>150 End Cap</t>
  </si>
  <si>
    <t>150 Gasket Set</t>
  </si>
  <si>
    <t>150 SN8 Sewer Pipe</t>
  </si>
  <si>
    <t>150 SV So-So</t>
  </si>
  <si>
    <t>150 Vari-Gib</t>
  </si>
  <si>
    <t>150 Water Meter - Helix</t>
  </si>
  <si>
    <t>150 x 100 Tee</t>
  </si>
  <si>
    <t>150 x 150 Tee</t>
  </si>
  <si>
    <t>20mm Drainage Agg</t>
  </si>
  <si>
    <t>300 RCP</t>
  </si>
  <si>
    <t>300 RCP FJ CL3</t>
  </si>
  <si>
    <t>375 RCP FJ CL3</t>
  </si>
  <si>
    <t>375 Sloping Headwall</t>
  </si>
  <si>
    <t>40 HD uPVC Electrical</t>
  </si>
  <si>
    <t>40mm Drainage Agg</t>
  </si>
  <si>
    <t>450 RCP FJ CL4</t>
  </si>
  <si>
    <t>50 HD uPVC Electrical</t>
  </si>
  <si>
    <t>50 uPVC Communications</t>
  </si>
  <si>
    <t>525 RCP FJ CL2</t>
  </si>
  <si>
    <t>63 HD VX Electrical</t>
  </si>
  <si>
    <t>675 RCP FJ CL3</t>
  </si>
  <si>
    <t>750 HW</t>
  </si>
  <si>
    <t>750 RCP</t>
  </si>
  <si>
    <t>80 uPVC Communications</t>
  </si>
  <si>
    <t>900 RCP FJ CL2</t>
  </si>
  <si>
    <t>A24</t>
  </si>
  <si>
    <t>A34</t>
  </si>
  <si>
    <t>A64</t>
  </si>
  <si>
    <t>Bollard - Plain</t>
  </si>
  <si>
    <t>Bolts</t>
  </si>
  <si>
    <t>Bro Pit - 1C1T</t>
  </si>
  <si>
    <t>Bro Pit - 1C2T</t>
  </si>
  <si>
    <t>CBR15</t>
  </si>
  <si>
    <t>CBR45</t>
  </si>
  <si>
    <t>CBR80</t>
  </si>
  <si>
    <t>Cast Iron Lid &amp; Surround</t>
  </si>
  <si>
    <t>Cement - 2 Tonne Bag</t>
  </si>
  <si>
    <t>Cement - GP Bulk</t>
  </si>
  <si>
    <t>Cold Mix AC</t>
  </si>
  <si>
    <t>Crusher Dust - Delivered</t>
  </si>
  <si>
    <t>DN100 uPVC PN18</t>
  </si>
  <si>
    <t>DN100 uPVC SN10</t>
  </si>
  <si>
    <t>DN100 uPVC SN8</t>
  </si>
  <si>
    <t>DN150 uPVC PN16</t>
  </si>
  <si>
    <t>DN150 uPVC PN18</t>
  </si>
  <si>
    <t>DN150 uPVC SN8</t>
  </si>
  <si>
    <t>DN25 PE100 PN12.5</t>
  </si>
  <si>
    <t>DN32 PE100 PN12.5</t>
  </si>
  <si>
    <t>DN40 PE100 ON12.5</t>
  </si>
  <si>
    <t>DN50 PE100 PN12.5</t>
  </si>
  <si>
    <t>DN63 PE100 PN12.5</t>
  </si>
  <si>
    <t>DN63 PE80B SDR11 (Gas)</t>
  </si>
  <si>
    <t>DN90 PE100 PN12.5</t>
  </si>
  <si>
    <t>Daneley Joints</t>
  </si>
  <si>
    <t>Delineation</t>
  </si>
  <si>
    <t>Dowels</t>
  </si>
  <si>
    <t>Drainage Agg</t>
  </si>
  <si>
    <t>Draw Rope - Conduits</t>
  </si>
  <si>
    <t>Electrical Pit - Precast</t>
  </si>
  <si>
    <t>Ferrule &amp; Bonnet - 25mm</t>
  </si>
  <si>
    <t>Ferrule &amp; Bonnet - 40mm</t>
  </si>
  <si>
    <t>Ferrule &amp; Bonnet - 50mm</t>
  </si>
  <si>
    <t>Fire Booster Assembly</t>
  </si>
  <si>
    <t>Fire Booster Cabinet</t>
  </si>
  <si>
    <t>Form Boards</t>
  </si>
  <si>
    <t>Form Ply</t>
  </si>
  <si>
    <t>GCL</t>
  </si>
  <si>
    <t>Gabion Rock</t>
  </si>
  <si>
    <t>Gates</t>
  </si>
  <si>
    <t>General Fill (CBR15)</t>
  </si>
  <si>
    <t>Grate &amp; Frame</t>
  </si>
  <si>
    <t>HW - 1200 x 450 RCBC</t>
  </si>
  <si>
    <t>HW - 2400 x 900 RCBC</t>
  </si>
  <si>
    <t>HW - 3/1200 x 300 RCBC</t>
  </si>
  <si>
    <t>HW - 300</t>
  </si>
  <si>
    <t>HW - 450</t>
  </si>
  <si>
    <t>HW - 600 x 375 RCBC</t>
  </si>
  <si>
    <t>HW - 675</t>
  </si>
  <si>
    <t>HW - 750 x 450 RCBC</t>
  </si>
  <si>
    <t>HW 1200 x 600 RCBC</t>
  </si>
  <si>
    <t>Hard Cover - Electrical</t>
  </si>
  <si>
    <t>Hazard Board</t>
  </si>
  <si>
    <t>Hose Cock</t>
  </si>
  <si>
    <t>Hydrant Riser</t>
  </si>
  <si>
    <t>Hydrant Riser - 100 Dual</t>
  </si>
  <si>
    <t>Hydrant Riser 150 Dual</t>
  </si>
  <si>
    <t>Kerb Adaptors</t>
  </si>
  <si>
    <t>MDPE Junctions</t>
  </si>
  <si>
    <t>Marker Post</t>
  </si>
  <si>
    <t>N20</t>
  </si>
  <si>
    <t>PN10 : 200 DiaPE100</t>
  </si>
  <si>
    <t>Pugmill</t>
  </si>
  <si>
    <t>RCBC - 1200 x 300</t>
  </si>
  <si>
    <t>RCBC - 1200 x 375</t>
  </si>
  <si>
    <t>RCBC - 2400 x 900</t>
  </si>
  <si>
    <t>RCBC - 3600 x 900</t>
  </si>
  <si>
    <t>RCBC - 600 x 300</t>
  </si>
  <si>
    <t>RCBC - 750 x 450</t>
  </si>
  <si>
    <t>RCBC - 900 x 300</t>
  </si>
  <si>
    <t>RCBC 600 x 375</t>
  </si>
  <si>
    <t>Rag Bolt</t>
  </si>
  <si>
    <t>Rag Bolt - Small</t>
  </si>
  <si>
    <t>Reinforcing Steel</t>
  </si>
  <si>
    <t>S32 - Exposed Aggregate</t>
  </si>
  <si>
    <t>SL82</t>
  </si>
  <si>
    <t>Sand Bags</t>
  </si>
  <si>
    <t>Signs - General</t>
  </si>
  <si>
    <t>Single Check Detector</t>
  </si>
  <si>
    <t>Small Signs</t>
  </si>
  <si>
    <t>Small Tools</t>
  </si>
  <si>
    <t>TX160 - Geogrid</t>
  </si>
  <si>
    <t>Tack Coat</t>
  </si>
  <si>
    <t>Tapping Band - 100 x 25</t>
  </si>
  <si>
    <t>Tapping Band - 100 x 50</t>
  </si>
  <si>
    <t>Tapping Band 100 x 40</t>
  </si>
  <si>
    <t>Type A Sewer Junction</t>
  </si>
  <si>
    <t>Valve Box &amp; Surround</t>
  </si>
  <si>
    <t>Water Meter Interface</t>
  </si>
  <si>
    <t>Wheel Stops</t>
  </si>
  <si>
    <t>A25</t>
  </si>
  <si>
    <t>Back Hoe</t>
  </si>
  <si>
    <t>Backhoe</t>
  </si>
  <si>
    <t>Bobcat - RATE ONLY</t>
  </si>
  <si>
    <t>Bomag 124DH</t>
  </si>
  <si>
    <t>Bomag 124DH (Stand Down)</t>
  </si>
  <si>
    <t>CAT297</t>
  </si>
  <si>
    <t>CAT297 Stabiliser</t>
  </si>
  <si>
    <t>CAT311</t>
  </si>
  <si>
    <t>Container</t>
  </si>
  <si>
    <t>Crane Truck</t>
  </si>
  <si>
    <t>D6</t>
  </si>
  <si>
    <t>Dual Grade Laser</t>
  </si>
  <si>
    <t>Excavator - 15T</t>
  </si>
  <si>
    <t>Excavator - 30T</t>
  </si>
  <si>
    <t>Excavator - 8T</t>
  </si>
  <si>
    <t>Excavator &lt; 24 RATE ONLY</t>
  </si>
  <si>
    <t>FAE Mixer</t>
  </si>
  <si>
    <t>Ford Utility</t>
  </si>
  <si>
    <t>Generator</t>
  </si>
  <si>
    <t>Grader - RATE ONLY</t>
  </si>
  <si>
    <t>NH Grader</t>
  </si>
  <si>
    <t>PF Roller Wet - No OP</t>
  </si>
  <si>
    <t>Plant Float - Allciv</t>
  </si>
  <si>
    <t>SD Roller</t>
  </si>
  <si>
    <t>SD Roller - RATE ONLY</t>
  </si>
  <si>
    <t>Scraper - RATE ONLY</t>
  </si>
  <si>
    <t>T&amp;D - RATE ONLY</t>
  </si>
  <si>
    <t>Tipper - Allciv</t>
  </si>
  <si>
    <t>Toyota Utility</t>
  </si>
  <si>
    <t>Trench Roller</t>
  </si>
  <si>
    <t>Truck - RATE ONLY</t>
  </si>
  <si>
    <t>UD Spreader</t>
  </si>
  <si>
    <t>UD Spreader - Daily</t>
  </si>
  <si>
    <t>WC - Allciv</t>
  </si>
  <si>
    <t>Water Cart - RATE ONLY</t>
  </si>
  <si>
    <t>10mm Seal</t>
  </si>
  <si>
    <t>AMC0 Prime</t>
  </si>
  <si>
    <t>Accommodation</t>
  </si>
  <si>
    <t>Broons - Day One</t>
  </si>
  <si>
    <t>Broons - Day Two +</t>
  </si>
  <si>
    <t>CBR Test</t>
  </si>
  <si>
    <t>CCTV</t>
  </si>
  <si>
    <t>Conduit Subbie</t>
  </si>
  <si>
    <t>Council Fee</t>
  </si>
  <si>
    <t>Fencing Subbie</t>
  </si>
  <si>
    <t>Final Seal</t>
  </si>
  <si>
    <t>Geotech Level One</t>
  </si>
  <si>
    <t>Grinder</t>
  </si>
  <si>
    <t>HDPE Liner</t>
  </si>
  <si>
    <t>Lab Compaction</t>
  </si>
  <si>
    <t>Manhole Builder (1-2m)</t>
  </si>
  <si>
    <t>Manhole Builder (2-3m)</t>
  </si>
  <si>
    <t>PE Welder</t>
  </si>
  <si>
    <t>PL</t>
  </si>
  <si>
    <t>Pavement Subbie</t>
  </si>
  <si>
    <t>Pavement Test</t>
  </si>
  <si>
    <t>Pit Builder</t>
  </si>
  <si>
    <t>Pit Builder - Modify</t>
  </si>
  <si>
    <t>Plumber</t>
  </si>
  <si>
    <t>Pot Holes R Us</t>
  </si>
  <si>
    <t>Power</t>
  </si>
  <si>
    <t>Pram Ramps</t>
  </si>
  <si>
    <t>Profiling Subbie</t>
  </si>
  <si>
    <t>SAMI Seal</t>
  </si>
  <si>
    <t>Safety Rails</t>
  </si>
  <si>
    <t>Sand Replacements</t>
  </si>
  <si>
    <t>Seal Visit Eight</t>
  </si>
  <si>
    <t>Seal Visit Five</t>
  </si>
  <si>
    <t>Seal Visit Four</t>
  </si>
  <si>
    <t>Seal Visit Seven</t>
  </si>
  <si>
    <t>Seal Visit Six</t>
  </si>
  <si>
    <t>Seal Visit Three</t>
  </si>
  <si>
    <t>Security Fence</t>
  </si>
  <si>
    <t>Sewer Subbie</t>
  </si>
  <si>
    <t>Soil Tests</t>
  </si>
  <si>
    <t>Steel Fixing</t>
  </si>
  <si>
    <t>Stone Pitching</t>
  </si>
  <si>
    <t>Survey - Boundary Pegs</t>
  </si>
  <si>
    <t>Temporary Fencing</t>
  </si>
  <si>
    <t>Traffic Control Crew</t>
  </si>
  <si>
    <t>Traffic Ute</t>
  </si>
  <si>
    <t>Turf Subbie</t>
  </si>
  <si>
    <t>WHS</t>
  </si>
  <si>
    <t>Water Subbie</t>
  </si>
  <si>
    <t>DG10</t>
  </si>
  <si>
    <t>Cost</t>
  </si>
  <si>
    <t>Duration</t>
  </si>
  <si>
    <t xml:space="preserve"> </t>
  </si>
  <si>
    <r>
      <t>Area of Pavement: qty = 2000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</si>
  <si>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sqm of invert = 517 m</t>
    </r>
    <r>
      <rPr>
        <vertAlign val="superscript"/>
        <sz val="11"/>
        <color theme="1"/>
        <rFont val="Calibri"/>
        <family val="2"/>
        <scheme val="minor"/>
      </rPr>
      <t>2</t>
    </r>
  </si>
  <si>
    <t>Non-Working Calendar 2011 - 2015 (Queensland - Australia)</t>
  </si>
  <si>
    <t>Christmas Day</t>
  </si>
  <si>
    <t>Boxing Day</t>
  </si>
  <si>
    <t>New Years Day</t>
  </si>
  <si>
    <t>Australia Day</t>
  </si>
  <si>
    <t>Good Friday</t>
  </si>
  <si>
    <t>Easter Monday</t>
  </si>
  <si>
    <t>ANZAC Day</t>
  </si>
  <si>
    <t>Labour Day</t>
  </si>
  <si>
    <t>Queen's Birthday</t>
  </si>
  <si>
    <t>Xmas S/D</t>
  </si>
  <si>
    <t>Work Hours Per Day</t>
  </si>
  <si>
    <t>Two days to clear &amp; grub &amp; 100 tonnes to the tip</t>
  </si>
  <si>
    <t>Allow 4 days for the crew to complete this task</t>
  </si>
  <si>
    <t>Gravel MDD (tonnes per compacted cubic metre)</t>
  </si>
  <si>
    <t>Wastage Factor (% wastage in tonnes)</t>
  </si>
  <si>
    <t>Gravel OMC (% water at OMC in tonnes)</t>
  </si>
  <si>
    <t>Gravel Conversion Factor (Sum of above)</t>
  </si>
  <si>
    <t>Gravel to be hauled in tonnes. (QTY*Gravel Conversion Factor)</t>
  </si>
  <si>
    <t>Gravel to be hauled in tonnes = QTY*Gravel Conversion Factor</t>
  </si>
  <si>
    <t>Gravel to be hauled in tonnes = QTY * Gravel Conversion Factor</t>
  </si>
  <si>
    <t>Use Kerb Subbie. Allciv to supply sand &amp; cement for slurry. 8.6 lineal metres per CUM of concrete; 75 m of kerb per tonne of sand; 8:1 mix of sand cement for slurry.</t>
  </si>
  <si>
    <t>Final Trim (Layer thickness = 150mm)</t>
  </si>
  <si>
    <r>
      <t>m</t>
    </r>
    <r>
      <rPr>
        <vertAlign val="superscript"/>
        <sz val="11"/>
        <color theme="1"/>
        <rFont val="Calibri"/>
        <family val="2"/>
        <scheme val="minor"/>
      </rPr>
      <t xml:space="preserve">2   </t>
    </r>
  </si>
  <si>
    <r>
      <t>Stabilise (12kg /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spread rate)</t>
    </r>
  </si>
  <si>
    <t>CBR45 - m3*Gravel Conversion Factor = tonnes to Haul &amp; Place - Principal suplied material</t>
  </si>
  <si>
    <r>
      <t>CBR80 -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*Gravel Conversion Factor = tonnes to Haul &amp; Place - Principal suplied material</t>
    </r>
  </si>
  <si>
    <t>Portfolio WBS</t>
  </si>
  <si>
    <t>UOM</t>
  </si>
  <si>
    <t>TYPE</t>
  </si>
  <si>
    <t>Install Only New RCP:</t>
  </si>
  <si>
    <t>Install Only 375 Sloping Head Wall:</t>
  </si>
  <si>
    <t>Place Only Type 2.1 Gravel:</t>
  </si>
  <si>
    <t>Haul, place, spread, compac680:691t &amp; trim (No supply). Round trip of one hour to Foxdale &amp; back to Proserpine. Haul in T&amp;D.</t>
  </si>
  <si>
    <t>Primer Seal:</t>
  </si>
  <si>
    <t>Second Seal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</si>
  <si>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</si>
  <si>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</si>
  <si>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Place Only 2.3</t>
  </si>
  <si>
    <t>Special Item - Take Up &amp; Stabilise &amp; Relay as Working Platform</t>
  </si>
  <si>
    <r>
      <t>Stabilise (12kg / 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spread rate)</t>
    </r>
  </si>
  <si>
    <t>m</t>
  </si>
  <si>
    <t>Geotextiles:</t>
  </si>
  <si>
    <t>VARIATIONS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</si>
  <si>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</si>
  <si>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CKM</t>
  </si>
  <si>
    <t>QMS</t>
  </si>
  <si>
    <t>CSA</t>
  </si>
  <si>
    <t>C25</t>
  </si>
  <si>
    <t>RSM</t>
  </si>
  <si>
    <t>SWP</t>
  </si>
  <si>
    <t>C32</t>
  </si>
  <si>
    <t>SWC</t>
  </si>
  <si>
    <t>SWH</t>
  </si>
  <si>
    <t>MODEL INPUT</t>
  </si>
  <si>
    <t>DESCRIPTION</t>
  </si>
  <si>
    <t>Hand Placed Backfill</t>
  </si>
  <si>
    <t>Box Units to Stand</t>
  </si>
  <si>
    <t>Area</t>
  </si>
  <si>
    <t>Area Pavement</t>
  </si>
  <si>
    <t>m3</t>
  </si>
  <si>
    <t>ea</t>
  </si>
  <si>
    <t>m2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</si>
  <si>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</si>
  <si>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Q</t>
  </si>
  <si>
    <t>Date</t>
  </si>
  <si>
    <t>Resource</t>
  </si>
  <si>
    <t>Survey Team Inv No - SI 3632332</t>
  </si>
  <si>
    <t xml:space="preserve">Field Survey             </t>
  </si>
  <si>
    <t xml:space="preserve">     </t>
  </si>
  <si>
    <t>Inv No - SI3633890</t>
  </si>
  <si>
    <t>Field Survey.  Inv No - SI3638505</t>
  </si>
  <si>
    <t>Field Survey.  Inv No - SI3638696</t>
  </si>
  <si>
    <t>Inv No - SI3641201</t>
  </si>
  <si>
    <t>Field Survey,.  Inv No - SI3643635</t>
  </si>
  <si>
    <t>Inv No - SI3644748</t>
  </si>
  <si>
    <t xml:space="preserve">Survey - Construction    </t>
  </si>
  <si>
    <t xml:space="preserve">Subtotal for 011                   </t>
  </si>
  <si>
    <t>Survey Team  Inv - SI36314511</t>
  </si>
  <si>
    <t>Field Survey.  Inv No - SI3639263</t>
  </si>
  <si>
    <t>Field Survey.  Inv No SI3644749</t>
  </si>
  <si>
    <t>Survey Team  Inv - CBW 69121779</t>
  </si>
  <si>
    <t xml:space="preserve">Surveyor                 </t>
  </si>
  <si>
    <t>Inv 69122014</t>
  </si>
  <si>
    <t xml:space="preserve">Field Density            </t>
  </si>
  <si>
    <t>Inv No - 106834</t>
  </si>
  <si>
    <t>Inv No CBW: 69122458</t>
  </si>
  <si>
    <t xml:space="preserve">Moisture Density         </t>
  </si>
  <si>
    <t>Inv No - 107485</t>
  </si>
  <si>
    <t>Inv No - 108207</t>
  </si>
  <si>
    <t xml:space="preserve">Subtotal for 013                   </t>
  </si>
  <si>
    <t>Inv - 102663</t>
  </si>
  <si>
    <t xml:space="preserve">Service Locator          </t>
  </si>
  <si>
    <t>Sevice Locator &amp; Labour.  Inv No - 0153</t>
  </si>
  <si>
    <t xml:space="preserve">Copp &amp; Co                </t>
  </si>
  <si>
    <t xml:space="preserve">Subtotal for 015                   </t>
  </si>
  <si>
    <t>Leading Hand</t>
  </si>
  <si>
    <t>( Grader Hire )</t>
  </si>
  <si>
    <t xml:space="preserve">Scott Mackenzie          </t>
  </si>
  <si>
    <t>Labour Hire</t>
  </si>
  <si>
    <t>Backhoe ( Wet )</t>
  </si>
  <si>
    <t xml:space="preserve">Tom Hurst                </t>
  </si>
  <si>
    <t>Tipper/ Water Cart</t>
  </si>
  <si>
    <t>Tipper Hire</t>
  </si>
  <si>
    <t xml:space="preserve">Michael Biles            </t>
  </si>
  <si>
    <t xml:space="preserve">Bomag 124DH              </t>
  </si>
  <si>
    <t xml:space="preserve">Ford Utility             </t>
  </si>
  <si>
    <t>Body Truck</t>
  </si>
  <si>
    <t>Backhoe ( Dry )</t>
  </si>
  <si>
    <t xml:space="preserve">Backhoe ( Wet ) </t>
  </si>
  <si>
    <t>Tipper ( standown )</t>
  </si>
  <si>
    <t>Bobcat/Tipper Hire</t>
  </si>
  <si>
    <t xml:space="preserve">Mcdowall Earthmoving     </t>
  </si>
  <si>
    <t>Backhoe ( Wet)</t>
  </si>
  <si>
    <t xml:space="preserve">Subtotal for 022                   </t>
  </si>
  <si>
    <t>Labour HIre</t>
  </si>
  <si>
    <t>T/Trailor Met Area</t>
  </si>
  <si>
    <t>140 G Grader</t>
  </si>
  <si>
    <t xml:space="preserve">Berry Excavations        </t>
  </si>
  <si>
    <t>11T Excavator</t>
  </si>
  <si>
    <t xml:space="preserve">Shannons Excavations     </t>
  </si>
  <si>
    <t>truck Hire</t>
  </si>
  <si>
    <t xml:space="preserve">Tipper </t>
  </si>
  <si>
    <t>Hire of Traffic Lights</t>
  </si>
  <si>
    <t xml:space="preserve">Traffic lights           </t>
  </si>
  <si>
    <t>Bobcat - Wet Hire  From the 8/09/2011  to 30/09/2011</t>
  </si>
  <si>
    <t xml:space="preserve">Bobcat                   </t>
  </si>
  <si>
    <t>Truck Hire  /  Water Cart</t>
  </si>
  <si>
    <t xml:space="preserve">Doyawanna Truck Hire     </t>
  </si>
  <si>
    <t xml:space="preserve">Bernie Currey            </t>
  </si>
  <si>
    <t>( Bobcat Hire )</t>
  </si>
  <si>
    <t xml:space="preserve">Subtotal for 031                   </t>
  </si>
  <si>
    <t xml:space="preserve">   Lovell Earthmoving       ( 10m Tipper)</t>
  </si>
  <si>
    <t xml:space="preserve">Lovell Earthmoving       </t>
  </si>
  <si>
    <t>( 7 Tonne Excavator )</t>
  </si>
  <si>
    <t xml:space="preserve">Subtotal for 041                   </t>
  </si>
  <si>
    <t>standby</t>
  </si>
  <si>
    <t>Truck Hire</t>
  </si>
  <si>
    <t>11T Excavator - Labour Rate Float excavator from Dysart</t>
  </si>
  <si>
    <t>Water Tipper</t>
  </si>
  <si>
    <t xml:space="preserve">Humphries                </t>
  </si>
  <si>
    <t xml:space="preserve">(10  tipper ) </t>
  </si>
  <si>
    <t xml:space="preserve">Pollards Earthmoving     </t>
  </si>
  <si>
    <t>21 Tonne Excavator</t>
  </si>
  <si>
    <t>(10  tipper )</t>
  </si>
  <si>
    <t xml:space="preserve">    Lovell Earthmoving      ( 10m Tipper )  (2)</t>
  </si>
  <si>
    <t>Lovell Earthmoving ( 10 m Tipper )   (2)</t>
  </si>
  <si>
    <t>Taylors Earthmoving   ( 25t Excavator )</t>
  </si>
  <si>
    <t xml:space="preserve">Taylors Earthmoving      </t>
  </si>
  <si>
    <t>Backhoe Hire</t>
  </si>
  <si>
    <t>8t Excavator Hire</t>
  </si>
  <si>
    <t xml:space="preserve">Subtotal for 053                   </t>
  </si>
  <si>
    <t>Cart Concrete from Airport   Inv - 698</t>
  </si>
  <si>
    <t xml:space="preserve">Truck - RATE ONLY        </t>
  </si>
  <si>
    <t>Truck &amp; Dog - Wet Hire  Cart Concrete From Airport to Walls</t>
  </si>
  <si>
    <t xml:space="preserve">Truck &amp; Dog              </t>
  </si>
  <si>
    <t>Plant Hire Tractor Profiler</t>
  </si>
  <si>
    <t xml:space="preserve">Tractor Profiler         </t>
  </si>
  <si>
    <t xml:space="preserve">Tipper Hire </t>
  </si>
  <si>
    <t>Semi Side Tipper Hire</t>
  </si>
  <si>
    <t xml:space="preserve">Raymond s Truck Hire     </t>
  </si>
  <si>
    <t xml:space="preserve"> Tipper Hire standown</t>
  </si>
  <si>
    <t xml:space="preserve">Subtotal for 061                   </t>
  </si>
  <si>
    <t>Excavator 5.5 t  Inv - 258231</t>
  </si>
  <si>
    <t xml:space="preserve">Excavator - 8T           </t>
  </si>
  <si>
    <t xml:space="preserve">bcm  </t>
  </si>
  <si>
    <t>BackHoe</t>
  </si>
  <si>
    <t>Plate Compactor - Dry Hire  Inv - 258806</t>
  </si>
  <si>
    <t xml:space="preserve">Plate Compactor          </t>
  </si>
  <si>
    <t>12 T Excavator</t>
  </si>
  <si>
    <t>Truck Hire / Water Cart - Brad</t>
  </si>
  <si>
    <t xml:space="preserve"> ( Tipper )</t>
  </si>
  <si>
    <t>Water Cart Hire  20/10/2011 Inv - 124232</t>
  </si>
  <si>
    <t xml:space="preserve">Water Cart - Hire        </t>
  </si>
  <si>
    <t xml:space="preserve">Talbots                  </t>
  </si>
  <si>
    <t>Tipper  (  Bernie driver )</t>
  </si>
  <si>
    <t xml:space="preserve"> ( Water Truck )</t>
  </si>
  <si>
    <t>From the 3/10/2011 to the 24/10/2011              Inv - 259535</t>
  </si>
  <si>
    <t xml:space="preserve">  ( Truck &amp; Dog )</t>
  </si>
  <si>
    <t>11 Tonne Excavator</t>
  </si>
  <si>
    <t>Tom Hurst ( Backhoe )</t>
  </si>
  <si>
    <t xml:space="preserve">CAT297 Stabiliser        </t>
  </si>
  <si>
    <t>Backhoe (Dry)</t>
  </si>
  <si>
    <t xml:space="preserve"> (  MoultyTyres  Roller ) </t>
  </si>
  <si>
    <t xml:space="preserve">Tutt Bryant              </t>
  </si>
  <si>
    <t xml:space="preserve">Body Truck </t>
  </si>
  <si>
    <t>Plate Compactor - Dry Hire From the 28/09/2011 to the 31/10/2011 Inv - 260724</t>
  </si>
  <si>
    <t>Multi Roller  ( Flexi Hire ) (16 Tonne) From the 19/10/2011 to the 31/10/2011                            Inv - 260722</t>
  </si>
  <si>
    <t xml:space="preserve">Multi Roller             </t>
  </si>
  <si>
    <t>Bobcat - Wet Hire Fro mthe 30/09/2011 to the 31/10/2011  Inv- 260720</t>
  </si>
  <si>
    <t>Double Drum Roller (8 Tonne)  From the 13/10/2011 to the 31/10/2011                      Inv - 260723</t>
  </si>
  <si>
    <t>Fuel for Multi Tyre Roller Inv No 261472</t>
  </si>
  <si>
    <t xml:space="preserve">Diesel Fuel              </t>
  </si>
  <si>
    <t>Tipper (Wet Hire)  Docket No 7825  Inv - 6780</t>
  </si>
  <si>
    <t xml:space="preserve">Tipper                   </t>
  </si>
  <si>
    <t>Concrete Saw From the 3/11/2011 to the 3/11/2011 Inv - 261733</t>
  </si>
  <si>
    <t xml:space="preserve">Sawcut                   </t>
  </si>
  <si>
    <t>Hire from  the 2/11/2011 to the 4/11/2011   Inv- 262359</t>
  </si>
  <si>
    <t xml:space="preserve">Vibrating Rammer         </t>
  </si>
  <si>
    <t>Hired From the 8/11/2011 to the 9/11/2011   Inv - 262428</t>
  </si>
  <si>
    <t xml:space="preserve">Generator                </t>
  </si>
  <si>
    <t>Skid Steer Loader  ( Flexi Hire ) From the 31/10/2011 to the 10/11/2011</t>
  </si>
  <si>
    <t xml:space="preserve">Skid Steer Loader        </t>
  </si>
  <si>
    <t>Hired form the 31/10/2011 to the 10/11/2011</t>
  </si>
  <si>
    <t>Plate Compactor - Dry Hire From the 31/10/2011 to the 10/11/2011 Inv - 262883</t>
  </si>
  <si>
    <t>Vibrating Plate  ( Flexi Hire )</t>
  </si>
  <si>
    <t>Hire from the 31/10/2011 to the 30/11/2011 Inv No - 265609</t>
  </si>
  <si>
    <t xml:space="preserve">Double Drum Roller       </t>
  </si>
  <si>
    <t>Bedding Sand Inv No- 4428</t>
  </si>
  <si>
    <t xml:space="preserve">Sand                     </t>
  </si>
  <si>
    <t>Hire from  the 21/12/2011 to the 22/12/2011  Inv No 268438</t>
  </si>
  <si>
    <t>Water Cart Hire 27/12/11 to 1/1/12 - Inv 2013</t>
  </si>
  <si>
    <t>Double Drum Roller  ( Flexi Hire )  Hired from the 30/11/2011 to the 31/12/2011                       Inv No 269588</t>
  </si>
  <si>
    <t>Micheal Biles  ( Truck &amp; Dog )</t>
  </si>
  <si>
    <t>Labour Hire.    ( Concrete Supervisor )</t>
  </si>
  <si>
    <t>Truck &amp; Dog  Hire</t>
  </si>
  <si>
    <t>S.A &amp; M.L Mackenzie Grader Hire</t>
  </si>
  <si>
    <t xml:space="preserve">Mackenzie Grader Hire    </t>
  </si>
  <si>
    <t>SD Roller - Dry . Hired from the 02/01/2012 to the 26/01/2012.  Inv No - 272213</t>
  </si>
  <si>
    <t xml:space="preserve">SD Roller                </t>
  </si>
  <si>
    <t>Water Truck Hire</t>
  </si>
  <si>
    <t>Pollard ( Truck &amp; Dog )</t>
  </si>
  <si>
    <t>Humphries  ( Grader Hire )</t>
  </si>
  <si>
    <t xml:space="preserve">Subtotal for 062                   </t>
  </si>
  <si>
    <t>Labour Hire  ( People Resourcing )</t>
  </si>
  <si>
    <t>Excavator 7 Tonne</t>
  </si>
  <si>
    <t xml:space="preserve">Subtotal for 063                   </t>
  </si>
  <si>
    <t xml:space="preserve"> Primer Seal - Inv 265044 Wrights Rd</t>
  </si>
  <si>
    <t xml:space="preserve">Seal Visit               </t>
  </si>
  <si>
    <t>10mm Aggregate</t>
  </si>
  <si>
    <t>Inv No - AQMKB4009-001</t>
  </si>
  <si>
    <t xml:space="preserve">Primerseal               </t>
  </si>
  <si>
    <t xml:space="preserve">NH Grader                </t>
  </si>
  <si>
    <t xml:space="preserve">Subtotal for 064                   </t>
  </si>
  <si>
    <t>Asphalt.  Inv No - 6053291  RI</t>
  </si>
  <si>
    <t xml:space="preserve">Asphalt                  </t>
  </si>
  <si>
    <t>Inv No - 6053291  RI</t>
  </si>
  <si>
    <t xml:space="preserve">Subtotal for 065                   </t>
  </si>
  <si>
    <t>Inv No - 20422</t>
  </si>
  <si>
    <t xml:space="preserve">Line Marking             </t>
  </si>
  <si>
    <t xml:space="preserve">Subtotal for 066                   </t>
  </si>
  <si>
    <t>( Truck Hire )</t>
  </si>
  <si>
    <t>Excavator  P &amp; H Gourlay</t>
  </si>
  <si>
    <t xml:space="preserve">Hyundai Excavator        </t>
  </si>
  <si>
    <t xml:space="preserve">Labour Hire </t>
  </si>
  <si>
    <t xml:space="preserve">Subtotal for 067                   </t>
  </si>
  <si>
    <t xml:space="preserve">UD Spreader              </t>
  </si>
  <si>
    <t>Grader - Wet Hire  Inv - 8942199</t>
  </si>
  <si>
    <t xml:space="preserve">Grader                   </t>
  </si>
  <si>
    <t>Hire from the 4/11/2011 to the 4/11/2011     Inv - 261914</t>
  </si>
  <si>
    <t>Pad Foot Roller - Dry From the 3/11/2011 to the 4/11/2011 Inv - 262005</t>
  </si>
  <si>
    <t xml:space="preserve">PF Roller                </t>
  </si>
  <si>
    <t>Forklift Inv - 21118</t>
  </si>
  <si>
    <t xml:space="preserve">Forklift                 </t>
  </si>
  <si>
    <t>Ecavator  (7 Tonne )</t>
  </si>
  <si>
    <t>Inv - 263194</t>
  </si>
  <si>
    <t xml:space="preserve">Quick Cut Saw            </t>
  </si>
  <si>
    <t>Pad Foot Roller  Inv- 263716</t>
  </si>
  <si>
    <t>Stabilised Sand.  Inv No - 67145154</t>
  </si>
  <si>
    <t xml:space="preserve">Stabilised Sand          </t>
  </si>
  <si>
    <t xml:space="preserve">Subtotal for 068                   </t>
  </si>
  <si>
    <t>Inv 49</t>
  </si>
  <si>
    <t xml:space="preserve">Concrete Subbie          </t>
  </si>
  <si>
    <t xml:space="preserve">hole </t>
  </si>
  <si>
    <t>Set Pharr &amp; Finish Drain. Drain outlet outside McDowells. Inv No - 956521</t>
  </si>
  <si>
    <t>Crossovers &amp; Driveway.  Inv No - 956521</t>
  </si>
  <si>
    <t>Inv No - 198339</t>
  </si>
  <si>
    <t xml:space="preserve">Kerb Subbie              </t>
  </si>
  <si>
    <t xml:space="preserve">Subtotal for 071                   </t>
  </si>
  <si>
    <t>N32 Concrete  Inv No 8787</t>
  </si>
  <si>
    <t xml:space="preserve">N32                      </t>
  </si>
  <si>
    <t>N32 Concrete   Inv No 8844</t>
  </si>
  <si>
    <t>N32 Concrete Inv No - 66998739</t>
  </si>
  <si>
    <t>Set Place &amp; Finish of Concrete Driveway.  Inv No - 956535</t>
  </si>
  <si>
    <t xml:space="preserve">Subtotal for 072                   </t>
  </si>
  <si>
    <t>Set &amp; Place Pram Rämp.  Inv No - 956521</t>
  </si>
  <si>
    <t xml:space="preserve">Set &amp; Place Driveways.  Inv No - 956525 </t>
  </si>
  <si>
    <t xml:space="preserve">Subtotal for 073                   </t>
  </si>
  <si>
    <t>Concrete Sub-contractor (Slab on Ground)  Saw Cutting 30.6m - 80mm Deep  Inv - 1403</t>
  </si>
  <si>
    <t xml:space="preserve">Concrete Sub-contract    </t>
  </si>
  <si>
    <t>Fuel .Hired on the 15/02/2012. Inv No - 274134</t>
  </si>
  <si>
    <t>Breaker Points &amp; Fuel.  &amp;  Damage Waiver.   Hired from the 20/02/12 - 22/02/12.  Inv No - 274731</t>
  </si>
  <si>
    <t>Humphries  ( Grader )  Dry Hire</t>
  </si>
  <si>
    <t>Hired on the 15/02/2012.  Inv No - 274134</t>
  </si>
  <si>
    <t xml:space="preserve">Drill Hammer             </t>
  </si>
  <si>
    <t xml:space="preserve">Subtotal for 075                   </t>
  </si>
  <si>
    <t>Plate Compactor - Dry Hire  Inv -  254219</t>
  </si>
  <si>
    <t xml:space="preserve">  Concrete saw Qui,  Diamond Blade 14IN         Inv - 255016</t>
  </si>
  <si>
    <t>Backhoe (Wet)</t>
  </si>
  <si>
    <t xml:space="preserve">Terry Flanagan           </t>
  </si>
  <si>
    <t xml:space="preserve">Subtotal for 081                   </t>
  </si>
  <si>
    <t>Drainage Aggregate Docket No 14916                Inv 19789</t>
  </si>
  <si>
    <t xml:space="preserve">Drainage Agg             </t>
  </si>
  <si>
    <t>Berry Excavator  ( 7 t Excavator )</t>
  </si>
  <si>
    <t>Drainage Aggregate.  Inv No - 20487</t>
  </si>
  <si>
    <t xml:space="preserve">Subtotal for 087                   </t>
  </si>
  <si>
    <t>Inv 132</t>
  </si>
  <si>
    <t xml:space="preserve">Water Subbie             </t>
  </si>
  <si>
    <t xml:space="preserve">Subtotal for 103                   </t>
  </si>
  <si>
    <t>XH  Stackable Barriers  Inv - 259020</t>
  </si>
  <si>
    <t xml:space="preserve">Traffic Controller       </t>
  </si>
  <si>
    <t xml:space="preserve">Subtotal for 141                   </t>
  </si>
  <si>
    <t xml:space="preserve"> Tipper    ( standown )</t>
  </si>
  <si>
    <t>11 T Excavator</t>
  </si>
  <si>
    <t>tipper ( standown)</t>
  </si>
  <si>
    <t xml:space="preserve"> Labour Hire      ( Driving own car )</t>
  </si>
  <si>
    <t>Standown</t>
  </si>
  <si>
    <t>Set &amp; Pour Culverts</t>
  </si>
  <si>
    <t>Tipper Hire Standby</t>
  </si>
  <si>
    <t xml:space="preserve"> 24 *       75MM * 10 MTR  Denso Tape   24RL/CRRRTN,  18 *  100MM * 10 MTR Denso Tape   Inv - 1578224</t>
  </si>
  <si>
    <t xml:space="preserve">Tapping Band - 100 x 25  </t>
  </si>
  <si>
    <t xml:space="preserve"> 5.5 T Excavator  Inv - 256406</t>
  </si>
  <si>
    <t>Concrete Saw Qui, Diamond Blade 14 In                Inv 258875</t>
  </si>
  <si>
    <t xml:space="preserve">Conduit Subbie           </t>
  </si>
  <si>
    <t>Wrights Rd - Inv 956506</t>
  </si>
  <si>
    <t>Labour Hire (Achieve Group)</t>
  </si>
  <si>
    <t>Concrete Sub-Contractor</t>
  </si>
  <si>
    <t>Over Time Hours</t>
  </si>
  <si>
    <t xml:space="preserve">Subtotal for 181                   </t>
  </si>
  <si>
    <t>Slab on Ground - Inv 49</t>
  </si>
  <si>
    <t xml:space="preserve">Subtotal for 182                   </t>
  </si>
  <si>
    <t>Broken Cables</t>
  </si>
  <si>
    <t xml:space="preserve">Telstra                  </t>
  </si>
  <si>
    <t>Supervisor</t>
  </si>
  <si>
    <t xml:space="preserve">WHSO                     </t>
  </si>
  <si>
    <t>Project supervisor</t>
  </si>
  <si>
    <t xml:space="preserve"> Supervisor</t>
  </si>
  <si>
    <t xml:space="preserve">  (Foreman )</t>
  </si>
  <si>
    <t xml:space="preserve">Subtotal for 902                   </t>
  </si>
  <si>
    <t xml:space="preserve">Inv - 33292388 Notice of road Works </t>
  </si>
  <si>
    <t xml:space="preserve">site establishment       </t>
  </si>
  <si>
    <t>Generator  17 KVA  Inv - 256405</t>
  </si>
  <si>
    <t>Site Office &amp; Tiolet, 1 Pump out during project.  Inv 256402</t>
  </si>
  <si>
    <t xml:space="preserve">Crib Facilities          </t>
  </si>
  <si>
    <t>Bottled Water</t>
  </si>
  <si>
    <t xml:space="preserve">Water                    </t>
  </si>
  <si>
    <t>Site Office &amp; Tiolet, 1 Pump out during project. From the 30/09/2011 to the 31/10/2011         Inv - 260719</t>
  </si>
  <si>
    <t>Lunch Room Inv - 8942189.</t>
  </si>
  <si>
    <t>17KVA GEN From the 30/08/2011m to the 25/10/2011 
20 KVA GEN From the 25/10/2011 ton thev 31/10/2011 Plus Fuel   Inv 260721</t>
  </si>
  <si>
    <t>From the 7/11/2011 to jthe 7/11/2011 Inv 262126</t>
  </si>
  <si>
    <t>Luch Rooms Hire from the 31/10/2011 to the 4/11/2011 Inv No - 9066665</t>
  </si>
  <si>
    <t>Inv No - 4428</t>
  </si>
  <si>
    <t xml:space="preserve">Float                    </t>
  </si>
  <si>
    <t>Float from Wrights Road to 52 Kookaburra Drive Inv no 4428</t>
  </si>
  <si>
    <t xml:space="preserve">Subtotal for 903                   </t>
  </si>
  <si>
    <t>Construction Risk Insurance</t>
  </si>
  <si>
    <t xml:space="preserve">Insurances               </t>
  </si>
  <si>
    <t>Multityre Roller 16 Tonne From the 19/10/2011 to the 31/10/2011  Damage Waiver               Inv - 260722</t>
  </si>
  <si>
    <t>Double Drum( 8 Tonne)  Roller Damage Waiver Inv - 260723</t>
  </si>
  <si>
    <t>Damage Waiver From the 30/09/2011 to the 31/10/2011 Inv - 260720</t>
  </si>
  <si>
    <t xml:space="preserve">Subtotal for 904                   </t>
  </si>
  <si>
    <t>Inv - 08244843  Tripod Builders 1830mm</t>
  </si>
  <si>
    <t xml:space="preserve">Small Tools              </t>
  </si>
  <si>
    <t xml:space="preserve"> Inv- 8467/23690  Level Spirit Stanley, Marker Artline, Bar Crow Mumme.</t>
  </si>
  <si>
    <t>Inv 349-132720 2 x UHF Hand held radios</t>
  </si>
  <si>
    <t>Inv - 7932  Lifting Chain</t>
  </si>
  <si>
    <t>Inv - 8467/23921</t>
  </si>
  <si>
    <t xml:space="preserve"> Docket No 8467/24055</t>
  </si>
  <si>
    <t>Docket No 8237479</t>
  </si>
  <si>
    <t>Docket No 8467/24101  (  Star Pickets )</t>
  </si>
  <si>
    <t xml:space="preserve">  Hessian Sandbag  140Z  Inv - 8276828</t>
  </si>
  <si>
    <t>Barrow,Protecta.Toilet Roll                               Inv - 8276816</t>
  </si>
  <si>
    <t>concrete Saw, Diamond Blade, Vibrating Rammer  Inv - 256404</t>
  </si>
  <si>
    <t>Tape Duct, Shackles, Chain   Inv - 8467/24375</t>
  </si>
  <si>
    <t xml:space="preserve"> Spray &amp; Mark Pink Inv - 8285404</t>
  </si>
  <si>
    <t>First Aid Kit Protector (2)  Inv - 8467/24412</t>
  </si>
  <si>
    <t xml:space="preserve">Tape Duct,Spray Paint  Inv - 8467/24721      </t>
  </si>
  <si>
    <t>Inv - 8467/25013</t>
  </si>
  <si>
    <t>Hessian SandBags Inv No 8325336</t>
  </si>
  <si>
    <t>BrickLayers Line Tape measure Inv No - 21263879</t>
  </si>
  <si>
    <t>Denso Tape  Inv No - 1588189</t>
  </si>
  <si>
    <t>Knife Machette Inv No 21263960</t>
  </si>
  <si>
    <t>Earmuffs Bolster Brickies Inv No - 21264074</t>
  </si>
  <si>
    <t>Spray &amp; Mark White Inv - 8308013</t>
  </si>
  <si>
    <t>Poly Guyco Line Inv No - 212641001</t>
  </si>
  <si>
    <t>DWV PVC Test Opening, Connector Jenco           Inv No-8467/26778</t>
  </si>
  <si>
    <t>DWV Juntion.  Inv No - 21266184</t>
  </si>
  <si>
    <t>Tape Measure, Fence Posts.  Inv No 21266259</t>
  </si>
  <si>
    <t>Cement. Inv No - 21266266</t>
  </si>
  <si>
    <t>Medalist Club Hammer, Mattock, Shovel, Star Picket ect. Inv No - 21256664</t>
  </si>
  <si>
    <t>Clean wipes, Cable Ties, Tape Measur, Cleaner, Steel Round Dowel.  Inv No - 21267018</t>
  </si>
  <si>
    <t>PVC Pipe, PVC Fittings,Tape Duct, Cable Ties.  Inv No - 21267574</t>
  </si>
  <si>
    <t>PVC Pipe Non Pressure DWV.  Inv No 21267620</t>
  </si>
  <si>
    <t>Rain Coats, Star Pickets.  Inv No - 21268078</t>
  </si>
  <si>
    <t>Mortar Cement.  Inv No -  21275783</t>
  </si>
  <si>
    <t xml:space="preserve">Subtotal for 905                   </t>
  </si>
  <si>
    <t>Float Excavator &amp; Roller from Dysart to Wrights Rd - Inv 36191</t>
  </si>
  <si>
    <t>Inv - 1311  Container Tropic</t>
  </si>
  <si>
    <t>2 Weeks Accommodation - Tom Dalton</t>
  </si>
  <si>
    <t xml:space="preserve">Accommodation            </t>
  </si>
  <si>
    <t>Labour, Cart Agg pipe from Townsville</t>
  </si>
  <si>
    <t xml:space="preserve"> Advertising Notice to Wrights Road                                             Inv  73924</t>
  </si>
  <si>
    <t xml:space="preserve"> Inv- 8817829  Lunch Room 17/08/9/2011  to the 30/09/2011</t>
  </si>
  <si>
    <t>Saddle Pipe Galv Inv - 21262929</t>
  </si>
  <si>
    <t>21 Tonne Excavator Inv - 4827</t>
  </si>
  <si>
    <t>White Knight Squirts , Tape Jointing, Cable Ties Inv - 21262925</t>
  </si>
  <si>
    <t>Screws Tex Hd, Nut Setter Inv - 21262934</t>
  </si>
  <si>
    <t>Saddle Pipe Galv Inv - 20429569</t>
  </si>
  <si>
    <t>Oil Premium 2 stroke Inv 21263048</t>
  </si>
  <si>
    <t>5.5 T Digger Inv - 258686</t>
  </si>
  <si>
    <t>Saddles Pipe Galv Inv - 20429751</t>
  </si>
  <si>
    <t>12 H Grader Inv - 0037050</t>
  </si>
  <si>
    <t xml:space="preserve"> Tractor Mixer Inv - 37049</t>
  </si>
  <si>
    <t>DWV Level Invert Taper  Inv- 21263405</t>
  </si>
  <si>
    <t>Accommodation &amp; 3 meals Rate From the 26/10/2011 to the 27/10/2011  Inv - 56446</t>
  </si>
  <si>
    <t xml:space="preserve">Tipper - Allciv          </t>
  </si>
  <si>
    <t>Float Steel Roller from Kelsey Crk to Nich Str.  Inv N o - 4474</t>
  </si>
  <si>
    <t>Folat Excavator from Bloomsbury to Nicol St.  Inv No- 4474</t>
  </si>
  <si>
    <t>Pick up of Roller  ( Wright Rd - Bowen ).  Inv No - 1534</t>
  </si>
  <si>
    <t xml:space="preserve">Subtotal for 907                   </t>
  </si>
  <si>
    <t xml:space="preserve">Bulk GP / GB Cement  Inv - 8003   </t>
  </si>
  <si>
    <t xml:space="preserve">Cement                   </t>
  </si>
  <si>
    <t>Bulk GP / GB Cement  Inv 8041</t>
  </si>
  <si>
    <t xml:space="preserve"> Docket No 54662729 Inv- 66918006</t>
  </si>
  <si>
    <t xml:space="preserve">C25                      </t>
  </si>
  <si>
    <t>N25 Concrete. Inv No - 670179822</t>
  </si>
  <si>
    <t xml:space="preserve">N25                      </t>
  </si>
  <si>
    <t>N25 Concrete.  Inv No - 67213404</t>
  </si>
  <si>
    <t xml:space="preserve">Subtotal for C25                   </t>
  </si>
  <si>
    <t>Docket No  -  03294/03293</t>
  </si>
  <si>
    <t xml:space="preserve">  Inv - 66854343</t>
  </si>
  <si>
    <t xml:space="preserve">C32                      </t>
  </si>
  <si>
    <t xml:space="preserve">  Inv - 66854344</t>
  </si>
  <si>
    <t xml:space="preserve"> Inv - 66860218</t>
  </si>
  <si>
    <t xml:space="preserve">  Inv - 66865430</t>
  </si>
  <si>
    <t xml:space="preserve"> Inv - 66865431</t>
  </si>
  <si>
    <t xml:space="preserve"> Inv - 66865432</t>
  </si>
  <si>
    <t xml:space="preserve"> Inv - 66865429</t>
  </si>
  <si>
    <t>Inv - 66872219</t>
  </si>
  <si>
    <t xml:space="preserve">  Inv - 66876691</t>
  </si>
  <si>
    <t xml:space="preserve">  Inv - 66876690</t>
  </si>
  <si>
    <t xml:space="preserve"> Inv - 66884900</t>
  </si>
  <si>
    <t>Adjustment U/Charge (  Inv -7979 on the 3/10/2011 )   Inv - 8183</t>
  </si>
  <si>
    <t>Adjustment of ( U/Charge Inv 7920  on the 27/09/2011 )  Inv - 81821</t>
  </si>
  <si>
    <t>Bulk GP / GB Cement    Dock 3548                               Inv - 8184</t>
  </si>
  <si>
    <t>Bulk GP / GB CementDocket No 3566                Inv - 8200</t>
  </si>
  <si>
    <t>Inv - 66901114</t>
  </si>
  <si>
    <t xml:space="preserve">  Inv - 66905030</t>
  </si>
  <si>
    <t xml:space="preserve"> Dock No 54687885     Inv -  66918007</t>
  </si>
  <si>
    <t>N32 Concrete - Inv QM7984285</t>
  </si>
  <si>
    <t>Bulk GP / GB Cement  Docket No 3783              Inv - 8402</t>
  </si>
  <si>
    <t xml:space="preserve">  Docket No 54715802   Inv - 66929927</t>
  </si>
  <si>
    <t>Bulk GP / GB CementDocket No 54747683   Inv - 66937484</t>
  </si>
  <si>
    <t>Bulk GP / GB Cement Dock No 3825 Inv- 8506</t>
  </si>
  <si>
    <t>Inv No 66955608</t>
  </si>
  <si>
    <t>Inv No 66955609</t>
  </si>
  <si>
    <t>N32 Concrete  Inv No - 66983957</t>
  </si>
  <si>
    <t>N32 Concrete.  Inv No 67052229</t>
  </si>
  <si>
    <t>N32 Concrete. Inv No - 67054144</t>
  </si>
  <si>
    <t>N32 Concrete.  Dock No 55176067,55477003,55179257,55184537,55185299,55187388,55188248,55193256,55194038,55194627,55195603.  Inv No 67071217</t>
  </si>
  <si>
    <t>N32 Concrete.Inv No - QM8185005</t>
  </si>
  <si>
    <t>32 Mpa.  Inv No - 67085711</t>
  </si>
  <si>
    <t>32 Mpa.  Inv No - 67085713</t>
  </si>
  <si>
    <t>N32 Concrete.  Inv No - 67093069</t>
  </si>
  <si>
    <t>Inv No 67098839</t>
  </si>
  <si>
    <t>N32 Concrete.  Inv No - 93
87</t>
  </si>
  <si>
    <t>N32 Concrete.   Inv No - 67444211</t>
  </si>
  <si>
    <t>N32 Concrete.  Inv No - QM8467653</t>
  </si>
  <si>
    <t>N32 Concrete.  Inv No 010412</t>
  </si>
  <si>
    <t xml:space="preserve">Subtotal for C32                   </t>
  </si>
  <si>
    <t>Bulk GP / GB Cement  Inv - 8276816</t>
  </si>
  <si>
    <t>Inv  No -  QM8136150</t>
  </si>
  <si>
    <t xml:space="preserve">Kerb Machine             </t>
  </si>
  <si>
    <t xml:space="preserve">Subtotal for CKM                   </t>
  </si>
  <si>
    <t>Cement Builders  Inv - 94498393</t>
  </si>
  <si>
    <t xml:space="preserve">Cement - GP Bulk         </t>
  </si>
  <si>
    <t xml:space="preserve">Subtotal for CSA                   </t>
  </si>
  <si>
    <t>Inv No - 9056</t>
  </si>
  <si>
    <t xml:space="preserve">N20                      </t>
  </si>
  <si>
    <t>80.66 T 2.3 Road Base.  Inv No - 5107</t>
  </si>
  <si>
    <t xml:space="preserve">Roadbase                 </t>
  </si>
  <si>
    <t xml:space="preserve">Subtotal for QM2.3                 </t>
  </si>
  <si>
    <t>Bedding Sand Docket No 35602  Inv - 4225</t>
  </si>
  <si>
    <t>Bedding Sand Dock No 35598 Inv - 4225</t>
  </si>
  <si>
    <t>Bedding Sand Docket No 35645 Inv - 4225</t>
  </si>
  <si>
    <t>Dock 3491     Inv - 8118</t>
  </si>
  <si>
    <t>Bedding Sand For Nicole Street Docket No 35854  Inv - 4225</t>
  </si>
  <si>
    <t>Docket No 35869  Inv - 4225</t>
  </si>
  <si>
    <t>Bedding Sand Docket No 35879  Inv - 4225</t>
  </si>
  <si>
    <t>Bedding Sand   Dock 3555  Inv - 8181</t>
  </si>
  <si>
    <t>Bedding Sand Docket No 35929  Inv 4225</t>
  </si>
  <si>
    <t>Bedding Sand Inv - 66905031</t>
  </si>
  <si>
    <t>Bedding Sand for Nicol Street Docket No 35940 Inv - 4225</t>
  </si>
  <si>
    <t>Stabilised Sand - Inv 8867</t>
  </si>
  <si>
    <t>Bedding Sand.  Inv No - 4474</t>
  </si>
  <si>
    <t>Bedding Sand. Inv No - 4474</t>
  </si>
  <si>
    <t xml:space="preserve">Subtotal for QMS                   </t>
  </si>
  <si>
    <t>General signs &amp; delineation for traffic control. Inv- 8193019</t>
  </si>
  <si>
    <t xml:space="preserve">Signs - General          </t>
  </si>
  <si>
    <t>General signs &amp; delineation for traffic control.        Inv - IN-8196974</t>
  </si>
  <si>
    <t>General signs &amp; delineation for traffic control.  Inv   -  8194707</t>
  </si>
  <si>
    <t>General signs &amp; delineation for traffic control.       Inv - IN-8196973</t>
  </si>
  <si>
    <t>General signs &amp; delineation for traffic control.        Inv - IN-81498139</t>
  </si>
  <si>
    <t>General signs &amp; delineation for traffic control.        Inv - In-8198707</t>
  </si>
  <si>
    <t>General signs &amp; delineation for traffic control  . Inv No - 8207984</t>
  </si>
  <si>
    <t>General signs &amp; delineation for traffic control.  Inv No - 8208844</t>
  </si>
  <si>
    <t>Inv No - 8212900</t>
  </si>
  <si>
    <t>Inv - 20428288</t>
  </si>
  <si>
    <t xml:space="preserve">Reinforcing Steel        </t>
  </si>
  <si>
    <t>Inv - 20428832</t>
  </si>
  <si>
    <t xml:space="preserve">Steel Fixing             </t>
  </si>
  <si>
    <t xml:space="preserve">  Inv - </t>
  </si>
  <si>
    <t>inv - 20428967</t>
  </si>
  <si>
    <t>Inv - 19656</t>
  </si>
  <si>
    <t>NF 72 Ribmesh &amp; Delivery Fee.  Inv 20286</t>
  </si>
  <si>
    <t xml:space="preserve">Ribmesh                  </t>
  </si>
  <si>
    <t>NF 82 Quare Ribmesh.  Inv No - 20354</t>
  </si>
  <si>
    <t>NF 82 Suare Ribmesh.  Inv No - 20380</t>
  </si>
  <si>
    <t>Inv No - 20424</t>
  </si>
  <si>
    <t xml:space="preserve">Subtotal for RSM                   </t>
  </si>
  <si>
    <t xml:space="preserve"> RCBC - 1200 x 450.   Inv No - 21342</t>
  </si>
  <si>
    <t xml:space="preserve">RCBC - 1200 x 450        </t>
  </si>
  <si>
    <t xml:space="preserve">Subtotal for SWC                   </t>
  </si>
  <si>
    <t>Inv No - 00236844</t>
  </si>
  <si>
    <t xml:space="preserve">375 Sloping Headwall     </t>
  </si>
  <si>
    <t>Inv No - 21056</t>
  </si>
  <si>
    <t xml:space="preserve">Subtotal for SWH                   </t>
  </si>
  <si>
    <t>Drainage Aggregate  Inv   -    CD  201205677</t>
  </si>
  <si>
    <t>Bulk GP / GB Cement   2.4m - 375mm 2 FJ RC Pipies</t>
  </si>
  <si>
    <t>375mm RCP Docket No 14944  Inv 19818</t>
  </si>
  <si>
    <t xml:space="preserve">Wing Walls               </t>
  </si>
  <si>
    <t xml:space="preserve">Subtotal for SWP                   </t>
  </si>
  <si>
    <t>Grand Total</t>
  </si>
  <si>
    <t>QM2.3</t>
  </si>
  <si>
    <t>TOTAL</t>
  </si>
  <si>
    <t>Portfolio WBS 011</t>
  </si>
  <si>
    <t>Portfolio WBS 013</t>
  </si>
  <si>
    <t>Portfolio WBS 015</t>
  </si>
  <si>
    <t>Portfolio WBS 022</t>
  </si>
  <si>
    <t>Portfolio WBS 031</t>
  </si>
  <si>
    <t>Portfolio WBS 041</t>
  </si>
  <si>
    <t>Portfolio WBS 053</t>
  </si>
  <si>
    <t>Portfolio WBS 061</t>
  </si>
  <si>
    <t>Portfolio WBS 062</t>
  </si>
  <si>
    <t>Portfolio WBS 063</t>
  </si>
  <si>
    <t>Portfolio WBS 064</t>
  </si>
  <si>
    <t>Portfolio WBS 065</t>
  </si>
  <si>
    <t>Portfolio WBS 066</t>
  </si>
  <si>
    <t>Portfolio WBS 067</t>
  </si>
  <si>
    <t>Portfolio WBS 068</t>
  </si>
  <si>
    <t>Portfolio WBS 071</t>
  </si>
  <si>
    <t>Portfolio WBS 072</t>
  </si>
  <si>
    <t>Portfolio WBS 073</t>
  </si>
  <si>
    <t>Portfolio WBS 075</t>
  </si>
  <si>
    <t>Portfolio WBS 081</t>
  </si>
  <si>
    <t>Portfolio WBS 087</t>
  </si>
  <si>
    <t>Portfolio WBS 103</t>
  </si>
  <si>
    <t>Portfolio WBS 141</t>
  </si>
  <si>
    <t>Portfolio WBS 181</t>
  </si>
  <si>
    <t>Portfolio WBS 182</t>
  </si>
  <si>
    <t>Portfolio WBS 902</t>
  </si>
  <si>
    <t>Portfolio WBS 903</t>
  </si>
  <si>
    <t>Portfolio WBS 904</t>
  </si>
  <si>
    <t>Portfolio WBS 905</t>
  </si>
  <si>
    <t>Portfolio WBS 907</t>
  </si>
  <si>
    <t>Portfolio WBS C25</t>
  </si>
  <si>
    <t>Portfolio WBS C32</t>
  </si>
  <si>
    <t>Portfolio WBS CKM</t>
  </si>
  <si>
    <t>Portfolio WBS CSA</t>
  </si>
  <si>
    <t>Portfolio WBS QM2.3</t>
  </si>
  <si>
    <t>Portfolio WBS QMS</t>
  </si>
  <si>
    <t>Portfolio WBS RSM</t>
  </si>
  <si>
    <t>Portfolio WBS SWC</t>
  </si>
  <si>
    <t>Portfolio WBS SWH</t>
  </si>
  <si>
    <t>Portfolio WBS SWP</t>
  </si>
  <si>
    <t>Item No</t>
  </si>
  <si>
    <t>Tender Quantity</t>
  </si>
  <si>
    <t>Contract Quantity</t>
  </si>
  <si>
    <t>Tender Rate</t>
  </si>
  <si>
    <t>Tender Total</t>
  </si>
  <si>
    <t>Contract Total</t>
  </si>
  <si>
    <t>Contract Items</t>
  </si>
  <si>
    <t xml:space="preserve">            </t>
  </si>
  <si>
    <t xml:space="preserve">QCP1        </t>
  </si>
  <si>
    <t xml:space="preserve">C101(b)     </t>
  </si>
  <si>
    <t xml:space="preserve">C201 (a)    </t>
  </si>
  <si>
    <t xml:space="preserve">C201 (b)    </t>
  </si>
  <si>
    <t xml:space="preserve">C211(a)     </t>
  </si>
  <si>
    <t xml:space="preserve">C212 (a)    </t>
  </si>
  <si>
    <t xml:space="preserve">C213(a)     </t>
  </si>
  <si>
    <t xml:space="preserve">C213(b)     </t>
  </si>
  <si>
    <t xml:space="preserve">C213(d)     </t>
  </si>
  <si>
    <t xml:space="preserve">C224(h)     </t>
  </si>
  <si>
    <t xml:space="preserve">C232(b)     </t>
  </si>
  <si>
    <t xml:space="preserve">C232(c)     </t>
  </si>
  <si>
    <t xml:space="preserve">C241(a)     </t>
  </si>
  <si>
    <t xml:space="preserve">C242(b)     </t>
  </si>
  <si>
    <t xml:space="preserve">C242        </t>
  </si>
  <si>
    <t xml:space="preserve">C244(a)     </t>
  </si>
  <si>
    <t xml:space="preserve">C245(c)     </t>
  </si>
  <si>
    <t xml:space="preserve">C271(c)     </t>
  </si>
  <si>
    <t xml:space="preserve">C273(a)     </t>
  </si>
  <si>
    <t xml:space="preserve">C306(a)     </t>
  </si>
  <si>
    <t xml:space="preserve">C306(b)     </t>
  </si>
  <si>
    <t>TOTAL NICOL ST</t>
  </si>
  <si>
    <t xml:space="preserve">QP1         </t>
  </si>
  <si>
    <t xml:space="preserve">C212(a)     </t>
  </si>
  <si>
    <t xml:space="preserve">C213(c)     </t>
  </si>
  <si>
    <t xml:space="preserve">C213(e)     </t>
  </si>
  <si>
    <t xml:space="preserve">C223(a)     </t>
  </si>
  <si>
    <t xml:space="preserve">C220(a)     </t>
  </si>
  <si>
    <t xml:space="preserve">C221(a)     </t>
  </si>
  <si>
    <t xml:space="preserve">C222(a)     </t>
  </si>
  <si>
    <t xml:space="preserve">C222(b)     </t>
  </si>
  <si>
    <t xml:space="preserve">C231(b)     </t>
  </si>
  <si>
    <t xml:space="preserve">C244        </t>
  </si>
  <si>
    <t xml:space="preserve">C261(a)     </t>
  </si>
  <si>
    <t xml:space="preserve">C261(b)     </t>
  </si>
  <si>
    <t xml:space="preserve">C262(g)     </t>
  </si>
  <si>
    <t xml:space="preserve">C262        </t>
  </si>
  <si>
    <t xml:space="preserve">C263(a)     </t>
  </si>
  <si>
    <t>TOTAL WRIGHTS ROAD</t>
  </si>
  <si>
    <t>Variations</t>
  </si>
  <si>
    <t xml:space="preserve">Nicol St - Removal of Unsuitable - Telstra Cable </t>
  </si>
  <si>
    <t>Total, all contract items and variations</t>
  </si>
  <si>
    <t>Tender Budget</t>
  </si>
  <si>
    <t>Claim 01</t>
  </si>
  <si>
    <t>Claim 02</t>
  </si>
  <si>
    <t>Claim 03</t>
  </si>
  <si>
    <t>Claim 04</t>
  </si>
  <si>
    <t>Claim 05</t>
  </si>
  <si>
    <t>Claim 06</t>
  </si>
  <si>
    <t>Claim 07</t>
  </si>
  <si>
    <t>Claim 08</t>
  </si>
  <si>
    <t>Claim 09</t>
  </si>
  <si>
    <t>Claim 10</t>
  </si>
  <si>
    <t>Revenue Sep-11</t>
  </si>
  <si>
    <t>Revenue Oct -11</t>
  </si>
  <si>
    <t>Revenue Nov-11</t>
  </si>
  <si>
    <t>Revenue Dec-11</t>
  </si>
  <si>
    <t>Revenue Jan-12</t>
  </si>
  <si>
    <t>Revenue Feb-12</t>
  </si>
  <si>
    <t>Revenue Mar-12</t>
  </si>
  <si>
    <t>Revenue May-12</t>
  </si>
  <si>
    <t>Revenue Jul-12</t>
  </si>
  <si>
    <t>Revenue Dec-12</t>
  </si>
  <si>
    <t>% C - Claim 01</t>
  </si>
  <si>
    <t>Wright Road - Scour Protection</t>
  </si>
  <si>
    <t>Wright Road - Drain Widening - Lot 130</t>
  </si>
  <si>
    <t>Wright Road - Batter Protection - Lot 130</t>
  </si>
  <si>
    <t>% C - Claim 02</t>
  </si>
  <si>
    <t>% C - Claim 03</t>
  </si>
  <si>
    <t>% C - Claim 04</t>
  </si>
  <si>
    <t>% C - Claim 05</t>
  </si>
  <si>
    <t>% C - Claim 06</t>
  </si>
  <si>
    <t>% C - Claim 07</t>
  </si>
  <si>
    <t>% C - Claim 08</t>
  </si>
  <si>
    <t>% C - Claim 09</t>
  </si>
  <si>
    <t>% C - Claim 10</t>
  </si>
  <si>
    <t>TOTALS</t>
  </si>
  <si>
    <t>BAC</t>
  </si>
  <si>
    <t>BAC Rate</t>
  </si>
  <si>
    <t>Final Qty</t>
  </si>
  <si>
    <t>Final Cost</t>
  </si>
  <si>
    <t>Final Rate</t>
  </si>
  <si>
    <t>Totals, all cost codes</t>
  </si>
  <si>
    <t>SQ</t>
  </si>
  <si>
    <t>AQ</t>
  </si>
  <si>
    <t>AC</t>
  </si>
  <si>
    <t>PQ</t>
  </si>
  <si>
    <t>PV</t>
  </si>
  <si>
    <t>EV</t>
  </si>
  <si>
    <t>Survey - Construction</t>
  </si>
  <si>
    <t>hrs</t>
  </si>
  <si>
    <t>QA Testing</t>
  </si>
  <si>
    <t>item</t>
  </si>
  <si>
    <t>Service Locations</t>
  </si>
  <si>
    <t>Disposal offsite - Clearing waste</t>
  </si>
  <si>
    <t>Strip Topsoil to Stockpile</t>
  </si>
  <si>
    <t>Demolition works</t>
  </si>
  <si>
    <t>Cut to Spoil</t>
  </si>
  <si>
    <t>Place General Fill</t>
  </si>
  <si>
    <t>Subgrade Preparation</t>
  </si>
  <si>
    <t>Place &amp; Compact Gravel</t>
  </si>
  <si>
    <t>Trim All Layers</t>
  </si>
  <si>
    <t>Sweep &amp; Prime / Primer seal or Seal</t>
  </si>
  <si>
    <t>Asphalt</t>
  </si>
  <si>
    <t>Linemarking</t>
  </si>
  <si>
    <t>Install Road Furniture</t>
  </si>
  <si>
    <t>Insitu Stabilisation of Subgrade</t>
  </si>
  <si>
    <t>Place Kerb &amp; Channel / Inverts</t>
  </si>
  <si>
    <t>Form &amp; Pour Headwalls</t>
  </si>
  <si>
    <t>Form &amp; Place Footpath</t>
  </si>
  <si>
    <t>Saw Cutting/Joint sealing</t>
  </si>
  <si>
    <t>&gt; 450</t>
  </si>
  <si>
    <t>Supply &amp; Place Subsoil Drainage</t>
  </si>
  <si>
    <t>Water Sub-Contractor</t>
  </si>
  <si>
    <t>Landscaping Sub-contractors</t>
  </si>
  <si>
    <t>Traffic Controllers</t>
  </si>
  <si>
    <t>Supply &amp; Place Silt fences</t>
  </si>
  <si>
    <t>Supply &amp; Place Box Culverts</t>
  </si>
  <si>
    <t>Supply Base Slabs</t>
  </si>
  <si>
    <t>week</t>
  </si>
  <si>
    <t>Project Facilities</t>
  </si>
  <si>
    <t>Project Insurance, Fees &amp; Levies</t>
  </si>
  <si>
    <t>small tools</t>
  </si>
  <si>
    <t>Site Establishment</t>
  </si>
  <si>
    <t>25 Mpa</t>
  </si>
  <si>
    <t>32 Mpa</t>
  </si>
  <si>
    <t>Kerb Mix</t>
  </si>
  <si>
    <t>Cement Powder (Stabilising)</t>
  </si>
  <si>
    <t>Mesh</t>
  </si>
  <si>
    <t>RCBC</t>
  </si>
  <si>
    <t>each</t>
  </si>
  <si>
    <t>Headwalls</t>
  </si>
  <si>
    <t>RCP</t>
  </si>
  <si>
    <t>TASK</t>
  </si>
  <si>
    <t>Contract Award</t>
  </si>
  <si>
    <t>Practical Completion</t>
  </si>
  <si>
    <t>Predecessors</t>
  </si>
  <si>
    <t>Successors</t>
  </si>
  <si>
    <t>Budget</t>
  </si>
  <si>
    <t>Start Date</t>
  </si>
  <si>
    <t>8,7</t>
  </si>
  <si>
    <t>11,12,31,10</t>
  </si>
  <si>
    <t>8,31</t>
  </si>
  <si>
    <t>8,9</t>
  </si>
  <si>
    <t>15,17</t>
  </si>
  <si>
    <t>16,30SS</t>
  </si>
  <si>
    <t>15,30</t>
  </si>
  <si>
    <t>22,19,17</t>
  </si>
  <si>
    <t>23,27</t>
  </si>
  <si>
    <t>16SS</t>
  </si>
  <si>
    <t>24,21</t>
  </si>
  <si>
    <t>18,19</t>
  </si>
  <si>
    <t>26FS+5 days,28,29</t>
  </si>
  <si>
    <t>25FS+5 days,29</t>
  </si>
  <si>
    <t>15SS</t>
  </si>
  <si>
    <t>39,38,41</t>
  </si>
  <si>
    <t>70FS+3 days,55</t>
  </si>
  <si>
    <t>80FS+3 days,57</t>
  </si>
  <si>
    <t>72FS+3 days,59</t>
  </si>
  <si>
    <t>73FS+3 days,60</t>
  </si>
  <si>
    <t>74FS+3 days,61</t>
  </si>
  <si>
    <t>83FS+3 days,65</t>
  </si>
  <si>
    <t>54FS+3 days,69</t>
  </si>
  <si>
    <t>57FS+3 days,80</t>
  </si>
  <si>
    <t>59FS+3 days,72</t>
  </si>
  <si>
    <t>60FS+3 days,73</t>
  </si>
  <si>
    <t>65FS+3 days,83</t>
  </si>
  <si>
    <t>61FS+3 days,74</t>
  </si>
  <si>
    <t>96FS+5 days</t>
  </si>
  <si>
    <t>95FS+5 days</t>
  </si>
  <si>
    <t>27FF</t>
  </si>
  <si>
    <t>6,9,33,34,37,107</t>
  </si>
  <si>
    <t>32,106,103,7,10,11,28,35,38,39</t>
  </si>
  <si>
    <t>24,20SS,111,113,119</t>
  </si>
  <si>
    <t>25,118FF</t>
  </si>
  <si>
    <t>36,109,35</t>
  </si>
  <si>
    <t>34,37,107</t>
  </si>
  <si>
    <t>45,44</t>
  </si>
  <si>
    <t>45FF</t>
  </si>
  <si>
    <t>43,44FF</t>
  </si>
  <si>
    <t>46,49,53</t>
  </si>
  <si>
    <t>91FF,104</t>
  </si>
  <si>
    <t>48,50</t>
  </si>
  <si>
    <t>51,86,108</t>
  </si>
  <si>
    <t>54,69</t>
  </si>
  <si>
    <t>71FS+3 days,56</t>
  </si>
  <si>
    <t>81FS+3 days,58</t>
  </si>
  <si>
    <t>75FS+3 days,62</t>
  </si>
  <si>
    <t>82FS+3 days,63</t>
  </si>
  <si>
    <t>76FS+3 days,64</t>
  </si>
  <si>
    <t>84FS+3 days,66</t>
  </si>
  <si>
    <t>77FS+3 days,67</t>
  </si>
  <si>
    <t>78FS+3 days</t>
  </si>
  <si>
    <t>55FS+3 days,70</t>
  </si>
  <si>
    <t>58FS+3 days,81</t>
  </si>
  <si>
    <t>63FS+3 days,82</t>
  </si>
  <si>
    <t>66FS+3 days,84</t>
  </si>
  <si>
    <t>67FS+3 days,77</t>
  </si>
  <si>
    <t>56FS+3 days,79,71</t>
  </si>
  <si>
    <t>62FS+3 days,75</t>
  </si>
  <si>
    <t>64FS+3 days,76</t>
  </si>
  <si>
    <t>78,88FF</t>
  </si>
  <si>
    <t>87,51</t>
  </si>
  <si>
    <t>85FF</t>
  </si>
  <si>
    <t>91,47</t>
  </si>
  <si>
    <t>47FF,89,104FF</t>
  </si>
  <si>
    <t>46,85</t>
  </si>
  <si>
    <t>99,96FS+5 days,103</t>
  </si>
  <si>
    <t>97FS+5 days</t>
  </si>
  <si>
    <t>91FF</t>
  </si>
  <si>
    <t>%C Claim 01</t>
  </si>
  <si>
    <t>%C Claim 02</t>
  </si>
  <si>
    <t>%C Claim 03</t>
  </si>
  <si>
    <t>%C Claim 04</t>
  </si>
  <si>
    <t>%C Claim 05</t>
  </si>
  <si>
    <t>%C Claim 06</t>
  </si>
  <si>
    <t>%C Claim 07</t>
  </si>
  <si>
    <t>%C Claim 08</t>
  </si>
  <si>
    <t>%C Claim 09</t>
  </si>
  <si>
    <t>%C Claim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</si>
</sst>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;[Red]\-#,##0.000"/>
    <numFmt numFmtId="165" formatCode="ddd"/>
    <numFmt numFmtId="166" formatCode="yyyy"/>
    <numFmt numFmtId="167" formatCode="#,##0_ ;\-#,##0\ "/>
    <numFmt numFmtId="168" formatCode="dd\ mmm\ yyyy"/>
    <numFmt numFmtId="169" formatCode="#,##0.00_ ;[Red]\-#,##0.0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BF5B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80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164" fontId="1" fillId="2" borderId="0" xfId="0" applyNumberFormat="1" applyFont="1" applyFill="1" applyAlignment="1">
      <alignment vertical="top"/>
    </xf>
    <xf numFmtId="164" fontId="0" fillId="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/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164" fontId="1" fillId="2" borderId="0" xfId="0" applyNumberFormat="1" applyFont="1" applyFill="1" applyAlignment="1">
      <alignment vertical="top"/>
    </xf>
    <xf numFmtId="164" fontId="0" fillId="3" borderId="0" xfId="0" applyNumberFormat="1" applyFill="1" applyAlignment="1">
      <alignment vertical="top"/>
    </xf>
    <xf numFmtId="164" fontId="0" fillId="0" borderId="0" xfId="0" applyNumberFormat="1" applyAlignment="1">
      <alignment vertical="top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 textRotation="90"/>
    </xf>
    <xf numFmtId="0" fontId="1" fillId="0" borderId="1" xfId="0" applyFont="1" applyBorder="1" applyAlignment="1">
      <alignment vertical="center" textRotation="9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/>
    </xf>
    <xf numFmtId="0" fontId="0" fillId="4" borderId="5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" fontId="0" fillId="4" borderId="3" xfId="0" applyNumberFormat="1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4" borderId="4" xfId="0" applyFill="1" applyBorder="1" applyAlignment="1">
      <alignment vertical="top" wrapText="1"/>
    </xf>
    <xf numFmtId="0" fontId="0" fillId="4" borderId="4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0" fillId="5" borderId="2" xfId="0" applyFill="1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5" borderId="3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4" fontId="0" fillId="5" borderId="3" xfId="0" applyNumberFormat="1" applyFill="1" applyBorder="1" applyAlignment="1">
      <alignment vertical="top"/>
    </xf>
    <xf numFmtId="0" fontId="0" fillId="5" borderId="7" xfId="0" applyFill="1" applyBorder="1" applyAlignment="1">
      <alignment vertical="top"/>
    </xf>
    <xf numFmtId="0" fontId="0" fillId="5" borderId="4" xfId="0" applyFill="1" applyBorder="1" applyAlignment="1">
      <alignment vertical="top" wrapText="1"/>
    </xf>
    <xf numFmtId="0" fontId="0" fillId="5" borderId="4" xfId="0" applyFill="1" applyBorder="1" applyAlignment="1">
      <alignment vertical="top"/>
    </xf>
    <xf numFmtId="4" fontId="0" fillId="5" borderId="4" xfId="0" applyNumberFormat="1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4" fontId="0" fillId="6" borderId="3" xfId="0" applyNumberFormat="1" applyFill="1" applyBorder="1" applyAlignment="1">
      <alignment vertical="top"/>
    </xf>
    <xf numFmtId="0" fontId="0" fillId="6" borderId="7" xfId="0" applyFill="1" applyBorder="1" applyAlignment="1">
      <alignment vertical="top"/>
    </xf>
    <xf numFmtId="0" fontId="0" fillId="6" borderId="4" xfId="0" applyFill="1" applyBorder="1" applyAlignment="1">
      <alignment vertical="top" wrapText="1"/>
    </xf>
    <xf numFmtId="0" fontId="0" fillId="6" borderId="4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7" borderId="2" xfId="0" applyFill="1" applyBorder="1" applyAlignment="1">
      <alignment vertical="top" wrapText="1"/>
    </xf>
    <xf numFmtId="0" fontId="0" fillId="7" borderId="2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7" borderId="3" xfId="0" applyFill="1" applyBorder="1" applyAlignment="1">
      <alignment vertical="top" wrapText="1"/>
    </xf>
    <xf numFmtId="0" fontId="0" fillId="7" borderId="3" xfId="0" applyFill="1" applyBorder="1" applyAlignment="1">
      <alignment vertical="top"/>
    </xf>
    <xf numFmtId="4" fontId="0" fillId="7" borderId="3" xfId="0" applyNumberFormat="1" applyFill="1" applyBorder="1" applyAlignment="1">
      <alignment vertical="top"/>
    </xf>
    <xf numFmtId="0" fontId="0" fillId="7" borderId="7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/>
    <xf numFmtId="0" fontId="1" fillId="0" borderId="0" xfId="0" applyFont="1"/>
    <xf numFmtId="0" fontId="0" fillId="3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1" fillId="9" borderId="0" xfId="0" applyNumberFormat="1" applyFont="1" applyFill="1" applyAlignment="1">
      <alignment vertical="top"/>
    </xf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8" borderId="9" xfId="0" applyNumberFormat="1" applyFill="1" applyBorder="1" applyAlignment="1">
      <alignment horizontal="center"/>
    </xf>
    <xf numFmtId="15" fontId="0" fillId="8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8" borderId="14" xfId="0" applyNumberFormat="1" applyFill="1" applyBorder="1" applyAlignment="1">
      <alignment horizontal="center"/>
    </xf>
    <xf numFmtId="15" fontId="0" fillId="8" borderId="15" xfId="0" applyNumberFormat="1" applyFill="1" applyBorder="1" applyAlignment="1">
      <alignment horizontal="center"/>
    </xf>
    <xf numFmtId="15" fontId="0" fillId="0" borderId="16" xfId="0" applyNumberFormat="1" applyBorder="1" applyAlignment="1">
      <alignment horizontal="center"/>
    </xf>
    <xf numFmtId="15" fontId="0" fillId="8" borderId="1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15" fontId="0" fillId="8" borderId="10" xfId="0" applyNumberFormat="1" applyFill="1" applyBorder="1" applyAlignment="1">
      <alignment horizontal="center"/>
    </xf>
    <xf numFmtId="15" fontId="0" fillId="8" borderId="2" xfId="0" applyNumberFormat="1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5" fontId="0" fillId="8" borderId="18" xfId="0" applyNumberFormat="1" applyFill="1" applyBorder="1" applyAlignment="1">
      <alignment horizontal="center"/>
    </xf>
    <xf numFmtId="15" fontId="0" fillId="8" borderId="19" xfId="0" applyNumberFormat="1" applyFill="1" applyBorder="1" applyAlignment="1">
      <alignment horizontal="center"/>
    </xf>
    <xf numFmtId="15" fontId="0" fillId="8" borderId="20" xfId="0" applyNumberFormat="1" applyFill="1" applyBorder="1" applyAlignment="1">
      <alignment horizontal="center"/>
    </xf>
    <xf numFmtId="15" fontId="0" fillId="0" borderId="20" xfId="0" applyNumberFormat="1" applyBorder="1" applyAlignment="1">
      <alignment horizontal="center"/>
    </xf>
    <xf numFmtId="15" fontId="0" fillId="8" borderId="21" xfId="0" applyNumberFormat="1" applyFill="1" applyBorder="1" applyAlignment="1">
      <alignment horizontal="center"/>
    </xf>
    <xf numFmtId="15" fontId="4" fillId="8" borderId="16" xfId="0" applyNumberFormat="1" applyFont="1" applyFill="1" applyBorder="1" applyAlignment="1">
      <alignment horizontal="center"/>
    </xf>
    <xf numFmtId="165" fontId="1" fillId="8" borderId="9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8" borderId="14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6" fillId="0" borderId="0" xfId="0" applyFont="1"/>
    <xf numFmtId="15" fontId="4" fillId="8" borderId="17" xfId="0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9" fontId="0" fillId="0" borderId="0" xfId="0" applyNumberFormat="1" applyAlignment="1">
      <alignment horizontal="center" vertical="top" wrapText="1"/>
    </xf>
    <xf numFmtId="164" fontId="0" fillId="0" borderId="0" xfId="0" applyNumberForma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/>
    </xf>
    <xf numFmtId="43" fontId="1" fillId="0" borderId="0" xfId="1" applyFont="1" applyAlignment="1">
      <alignment horizontal="right" vertical="top"/>
    </xf>
    <xf numFmtId="43" fontId="1" fillId="2" borderId="0" xfId="1" applyFont="1" applyFill="1" applyAlignment="1">
      <alignment vertical="top"/>
    </xf>
    <xf numFmtId="43" fontId="0" fillId="3" borderId="0" xfId="1" applyFont="1" applyFill="1" applyAlignment="1">
      <alignment vertical="top"/>
    </xf>
    <xf numFmtId="43" fontId="0" fillId="0" borderId="0" xfId="1" applyFont="1" applyAlignment="1">
      <alignment vertical="top"/>
    </xf>
    <xf numFmtId="0" fontId="6" fillId="3" borderId="0" xfId="0" applyFont="1" applyFill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43" fontId="0" fillId="0" borderId="0" xfId="1" applyFont="1" applyFill="1" applyAlignment="1">
      <alignment vertical="top"/>
    </xf>
    <xf numFmtId="0" fontId="0" fillId="0" borderId="0" xfId="0" applyFill="1"/>
    <xf numFmtId="0" fontId="4" fillId="3" borderId="0" xfId="0" applyFont="1" applyFill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164" fontId="1" fillId="0" borderId="0" xfId="0" applyNumberFormat="1" applyFont="1" applyFill="1" applyAlignment="1">
      <alignment vertical="top"/>
    </xf>
    <xf numFmtId="0" fontId="1" fillId="0" borderId="0" xfId="0" applyFont="1" applyFill="1" applyAlignment="1">
      <alignment vertical="top"/>
    </xf>
    <xf numFmtId="43" fontId="1" fillId="0" borderId="0" xfId="1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167" fontId="1" fillId="0" borderId="0" xfId="1" applyNumberFormat="1" applyFont="1" applyAlignment="1">
      <alignment horizontal="center" vertical="top"/>
    </xf>
    <xf numFmtId="167" fontId="1" fillId="2" borderId="0" xfId="1" applyNumberFormat="1" applyFont="1" applyFill="1" applyAlignment="1">
      <alignment horizontal="center" vertical="top"/>
    </xf>
    <xf numFmtId="167" fontId="0" fillId="3" borderId="0" xfId="1" applyNumberFormat="1" applyFont="1" applyFill="1" applyAlignment="1">
      <alignment horizontal="center" vertical="top"/>
    </xf>
    <xf numFmtId="167" fontId="0" fillId="0" borderId="0" xfId="1" applyNumberFormat="1" applyFont="1" applyAlignment="1">
      <alignment horizontal="center" vertical="top"/>
    </xf>
    <xf numFmtId="167" fontId="0" fillId="0" borderId="0" xfId="1" applyNumberFormat="1" applyFont="1" applyFill="1" applyAlignment="1">
      <alignment horizontal="center" vertical="top"/>
    </xf>
    <xf numFmtId="167" fontId="1" fillId="0" borderId="0" xfId="1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168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  <xf numFmtId="168" fontId="0" fillId="0" borderId="0" xfId="0" applyNumberFormat="1"/>
    <xf numFmtId="164" fontId="0" fillId="0" borderId="0" xfId="0" applyNumberFormat="1"/>
    <xf numFmtId="40" fontId="0" fillId="0" borderId="0" xfId="0" applyNumberFormat="1"/>
    <xf numFmtId="168" fontId="1" fillId="0" borderId="23" xfId="0" applyNumberFormat="1" applyFont="1" applyBorder="1"/>
    <xf numFmtId="0" fontId="1" fillId="0" borderId="23" xfId="0" applyFont="1" applyBorder="1" applyAlignment="1">
      <alignment wrapText="1"/>
    </xf>
    <xf numFmtId="0" fontId="1" fillId="0" borderId="23" xfId="0" applyFont="1" applyBorder="1"/>
    <xf numFmtId="164" fontId="1" fillId="0" borderId="23" xfId="0" applyNumberFormat="1" applyFont="1" applyBorder="1"/>
    <xf numFmtId="40" fontId="1" fillId="0" borderId="23" xfId="0" applyNumberFormat="1" applyFont="1" applyBorder="1"/>
    <xf numFmtId="168" fontId="1" fillId="0" borderId="24" xfId="0" applyNumberFormat="1" applyFont="1" applyBorder="1"/>
    <xf numFmtId="0" fontId="1" fillId="0" borderId="24" xfId="0" applyFont="1" applyBorder="1" applyAlignment="1">
      <alignment wrapText="1"/>
    </xf>
    <xf numFmtId="0" fontId="1" fillId="0" borderId="24" xfId="0" applyFont="1" applyBorder="1"/>
    <xf numFmtId="164" fontId="1" fillId="0" borderId="24" xfId="0" applyNumberFormat="1" applyFont="1" applyBorder="1"/>
    <xf numFmtId="40" fontId="1" fillId="0" borderId="24" xfId="0" applyNumberFormat="1" applyFont="1" applyBorder="1"/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43" fontId="0" fillId="0" borderId="0" xfId="1" applyFont="1"/>
    <xf numFmtId="17" fontId="1" fillId="0" borderId="0" xfId="0" applyNumberFormat="1" applyFont="1"/>
    <xf numFmtId="43" fontId="0" fillId="0" borderId="0" xfId="0" applyNumberFormat="1"/>
    <xf numFmtId="0" fontId="1" fillId="0" borderId="25" xfId="0" applyFont="1" applyBorder="1" applyAlignment="1">
      <alignment horizontal="center" wrapText="1"/>
    </xf>
    <xf numFmtId="43" fontId="1" fillId="0" borderId="25" xfId="1" applyFont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1" fillId="10" borderId="25" xfId="0" applyFont="1" applyFill="1" applyBorder="1" applyAlignment="1">
      <alignment horizontal="center"/>
    </xf>
    <xf numFmtId="0" fontId="1" fillId="10" borderId="25" xfId="0" applyFont="1" applyFill="1" applyBorder="1"/>
    <xf numFmtId="0" fontId="1" fillId="10" borderId="25" xfId="0" applyFont="1" applyFill="1" applyBorder="1" applyAlignment="1">
      <alignment wrapText="1"/>
    </xf>
    <xf numFmtId="43" fontId="1" fillId="10" borderId="25" xfId="1" applyFont="1" applyFill="1" applyBorder="1"/>
    <xf numFmtId="164" fontId="1" fillId="10" borderId="25" xfId="0" applyNumberFormat="1" applyFont="1" applyFill="1" applyBorder="1"/>
    <xf numFmtId="40" fontId="1" fillId="10" borderId="25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wrapText="1"/>
    </xf>
    <xf numFmtId="43" fontId="0" fillId="0" borderId="25" xfId="1" applyFont="1" applyBorder="1"/>
    <xf numFmtId="164" fontId="0" fillId="0" borderId="25" xfId="0" applyNumberFormat="1" applyBorder="1"/>
    <xf numFmtId="40" fontId="0" fillId="0" borderId="25" xfId="0" applyNumberFormat="1" applyBorder="1"/>
    <xf numFmtId="10" fontId="0" fillId="0" borderId="25" xfId="3" applyNumberFormat="1" applyFont="1" applyBorder="1"/>
    <xf numFmtId="0" fontId="4" fillId="0" borderId="25" xfId="0" applyFont="1" applyBorder="1"/>
    <xf numFmtId="0" fontId="4" fillId="0" borderId="25" xfId="0" applyFont="1" applyBorder="1" applyAlignment="1">
      <alignment wrapText="1"/>
    </xf>
    <xf numFmtId="164" fontId="4" fillId="0" borderId="25" xfId="0" applyNumberFormat="1" applyFont="1" applyBorder="1"/>
    <xf numFmtId="40" fontId="4" fillId="0" borderId="25" xfId="0" applyNumberFormat="1" applyFont="1" applyBorder="1"/>
    <xf numFmtId="0" fontId="1" fillId="0" borderId="25" xfId="0" applyFont="1" applyBorder="1"/>
    <xf numFmtId="0" fontId="1" fillId="0" borderId="25" xfId="0" applyFont="1" applyBorder="1" applyAlignment="1">
      <alignment wrapText="1"/>
    </xf>
    <xf numFmtId="43" fontId="1" fillId="0" borderId="25" xfId="1" applyFont="1" applyBorder="1"/>
    <xf numFmtId="164" fontId="1" fillId="0" borderId="25" xfId="0" applyNumberFormat="1" applyFont="1" applyBorder="1"/>
    <xf numFmtId="40" fontId="1" fillId="0" borderId="25" xfId="0" applyNumberFormat="1" applyFont="1" applyBorder="1"/>
    <xf numFmtId="0" fontId="1" fillId="0" borderId="1" xfId="0" applyFont="1" applyBorder="1" applyAlignment="1">
      <alignment horizontal="center"/>
    </xf>
    <xf numFmtId="43" fontId="1" fillId="0" borderId="1" xfId="1" applyFont="1" applyBorder="1"/>
    <xf numFmtId="43" fontId="0" fillId="0" borderId="1" xfId="1" applyFont="1" applyBorder="1"/>
    <xf numFmtId="43" fontId="1" fillId="0" borderId="1" xfId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17" fontId="1" fillId="0" borderId="26" xfId="0" applyNumberFormat="1" applyFont="1" applyBorder="1" applyAlignment="1">
      <alignment wrapText="1"/>
    </xf>
    <xf numFmtId="17" fontId="1" fillId="0" borderId="0" xfId="0" applyNumberFormat="1" applyFont="1" applyAlignment="1">
      <alignment wrapText="1"/>
    </xf>
    <xf numFmtId="17" fontId="1" fillId="0" borderId="27" xfId="0" applyNumberFormat="1" applyFont="1" applyBorder="1" applyAlignment="1">
      <alignment wrapText="1"/>
    </xf>
    <xf numFmtId="164" fontId="1" fillId="0" borderId="24" xfId="0" applyNumberFormat="1" applyFont="1" applyBorder="1" applyAlignment="1">
      <alignment horizontal="center"/>
    </xf>
    <xf numFmtId="38" fontId="1" fillId="0" borderId="24" xfId="0" applyNumberFormat="1" applyFont="1" applyBorder="1"/>
    <xf numFmtId="0" fontId="1" fillId="0" borderId="28" xfId="0" applyFont="1" applyBorder="1" applyAlignment="1">
      <alignment horizontal="center"/>
    </xf>
    <xf numFmtId="38" fontId="1" fillId="0" borderId="24" xfId="0" applyNumberFormat="1" applyFont="1" applyBorder="1" applyAlignment="1">
      <alignment horizontal="center"/>
    </xf>
    <xf numFmtId="38" fontId="1" fillId="0" borderId="28" xfId="0" applyNumberFormat="1" applyFont="1" applyBorder="1" applyAlignment="1">
      <alignment horizontal="center"/>
    </xf>
    <xf numFmtId="38" fontId="1" fillId="0" borderId="29" xfId="0" applyNumberFormat="1" applyFont="1" applyBorder="1" applyAlignment="1">
      <alignment horizontal="center"/>
    </xf>
    <xf numFmtId="169" fontId="0" fillId="0" borderId="0" xfId="0" applyNumberFormat="1"/>
    <xf numFmtId="38" fontId="0" fillId="0" borderId="0" xfId="0" applyNumberFormat="1"/>
    <xf numFmtId="38" fontId="0" fillId="0" borderId="0" xfId="0" applyNumberFormat="1" applyAlignment="1">
      <alignment horizontal="right"/>
    </xf>
    <xf numFmtId="4" fontId="0" fillId="0" borderId="26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38" fontId="0" fillId="0" borderId="24" xfId="0" applyNumberFormat="1" applyBorder="1"/>
    <xf numFmtId="38" fontId="1" fillId="0" borderId="24" xfId="0" applyNumberFormat="1" applyFont="1" applyBorder="1" applyAlignment="1">
      <alignment horizontal="right"/>
    </xf>
    <xf numFmtId="4" fontId="0" fillId="0" borderId="24" xfId="0" applyNumberFormat="1" applyBorder="1"/>
    <xf numFmtId="38" fontId="1" fillId="0" borderId="28" xfId="0" applyNumberFormat="1" applyFont="1" applyBorder="1"/>
    <xf numFmtId="38" fontId="1" fillId="0" borderId="29" xfId="0" applyNumberFormat="1" applyFont="1" applyBorder="1" applyAlignment="1">
      <alignment horizontal="right"/>
    </xf>
    <xf numFmtId="17" fontId="0" fillId="0" borderId="0" xfId="0" applyNumberFormat="1" applyAlignment="1">
      <alignment horizontal="right"/>
    </xf>
    <xf numFmtId="0" fontId="11" fillId="0" borderId="0" xfId="0" applyFont="1" applyAlignment="1">
      <alignment horizontal="center"/>
    </xf>
    <xf numFmtId="38" fontId="0" fillId="0" borderId="27" xfId="0" applyNumberFormat="1" applyBorder="1" applyAlignment="1">
      <alignment horizontal="right"/>
    </xf>
    <xf numFmtId="0" fontId="3" fillId="0" borderId="0" xfId="0" applyFont="1"/>
    <xf numFmtId="15" fontId="3" fillId="0" borderId="0" xfId="0" applyNumberFormat="1" applyFont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right" vertical="top"/>
    </xf>
    <xf numFmtId="0" fontId="0" fillId="11" borderId="1" xfId="0" applyFill="1" applyBorder="1" applyAlignment="1">
      <alignment vertical="center" wrapText="1"/>
    </xf>
    <xf numFmtId="0" fontId="12" fillId="11" borderId="1" xfId="0" applyFont="1" applyFill="1" applyBorder="1" applyAlignment="1">
      <alignment vertical="center" wrapText="1"/>
    </xf>
    <xf numFmtId="3" fontId="12" fillId="11" borderId="1" xfId="0" applyNumberFormat="1" applyFont="1" applyFill="1" applyBorder="1" applyAlignment="1">
      <alignment vertical="center" wrapText="1"/>
    </xf>
    <xf numFmtId="44" fontId="0" fillId="0" borderId="1" xfId="2" applyFont="1" applyBorder="1"/>
    <xf numFmtId="44" fontId="0" fillId="0" borderId="0" xfId="2" applyFont="1"/>
    <xf numFmtId="10" fontId="8" fillId="0" borderId="0" xfId="3" applyNumberFormat="1" applyFont="1"/>
    <xf numFmtId="10" fontId="8" fillId="0" borderId="0" xfId="3" applyNumberFormat="1" applyFont="1" applyAlignment="1">
      <alignment vertical="top"/>
    </xf>
    <xf numFmtId="0" fontId="1" fillId="12" borderId="1" xfId="0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vertical="top"/>
    </xf>
    <xf numFmtId="44" fontId="1" fillId="12" borderId="1" xfId="2" applyFont="1" applyFill="1" applyBorder="1" applyAlignment="1">
      <alignment horizontal="center" vertical="top"/>
    </xf>
    <xf numFmtId="10" fontId="1" fillId="12" borderId="1" xfId="3" applyNumberFormat="1" applyFont="1" applyFill="1" applyBorder="1" applyAlignment="1">
      <alignment horizontal="center" vertical="top"/>
    </xf>
    <xf numFmtId="10" fontId="8" fillId="0" borderId="1" xfId="3" applyNumberFormat="1" applyFont="1" applyBorder="1"/>
    <xf numFmtId="10" fontId="8" fillId="0" borderId="1" xfId="3" applyNumberFormat="1" applyFont="1" applyBorder="1" applyAlignment="1">
      <alignment vertical="top"/>
    </xf>
    <xf numFmtId="43" fontId="3" fillId="0" borderId="1" xfId="1" applyFont="1" applyBorder="1" applyAlignment="1">
      <alignment horizontal="center" vertical="top" wrapText="1"/>
    </xf>
    <xf numFmtId="43" fontId="3" fillId="0" borderId="1" xfId="1" applyFont="1" applyBorder="1" applyAlignment="1">
      <alignment horizontal="center" wrapText="1"/>
    </xf>
    <xf numFmtId="43" fontId="3" fillId="0" borderId="1" xfId="1" applyFont="1" applyBorder="1" applyAlignment="1">
      <alignment horizontal="right" wrapText="1"/>
    </xf>
    <xf numFmtId="43" fontId="3" fillId="0" borderId="0" xfId="1" applyFont="1" applyAlignment="1">
      <alignment horizontal="center" wrapText="1"/>
    </xf>
    <xf numFmtId="0" fontId="1" fillId="0" borderId="1" xfId="0" applyFont="1" applyBorder="1" applyAlignment="1">
      <alignment horizontal="center" vertical="center" textRotation="90"/>
    </xf>
    <xf numFmtId="15" fontId="1" fillId="0" borderId="22" xfId="0" applyNumberFormat="1" applyFont="1" applyFill="1" applyBorder="1" applyAlignment="1">
      <alignment horizontal="center"/>
    </xf>
    <xf numFmtId="166" fontId="1" fillId="8" borderId="11" xfId="0" applyNumberFormat="1" applyFont="1" applyFill="1" applyBorder="1" applyAlignment="1">
      <alignment horizontal="center"/>
    </xf>
    <xf numFmtId="166" fontId="1" fillId="8" borderId="12" xfId="0" applyNumberFormat="1" applyFont="1" applyFill="1" applyBorder="1" applyAlignment="1">
      <alignment horizontal="center"/>
    </xf>
    <xf numFmtId="166" fontId="1" fillId="0" borderId="12" xfId="0" applyNumberFormat="1" applyFont="1" applyBorder="1" applyAlignment="1">
      <alignment horizontal="center"/>
    </xf>
    <xf numFmtId="166" fontId="1" fillId="8" borderId="13" xfId="0" applyNumberFormat="1" applyFont="1" applyFill="1" applyBorder="1" applyAlignment="1">
      <alignment horizontal="center"/>
    </xf>
    <xf numFmtId="43" fontId="8" fillId="0" borderId="0" xfId="1" applyFont="1"/>
    <xf numFmtId="43" fontId="8" fillId="0" borderId="0" xfId="1" applyFont="1" applyFill="1"/>
    <xf numFmtId="38" fontId="0" fillId="0" borderId="30" xfId="0" applyNumberForma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8"/>
  <sheetViews>
    <sheetView topLeftCell="B1" zoomScale="70" zoomScaleNormal="70" workbookViewId="0">
      <pane ySplit="1" topLeftCell="A2" activePane="bottomLeft" state="frozen"/>
      <selection pane="bottomLeft" activeCell="U1" sqref="U1:V1048576"/>
    </sheetView>
  </sheetViews>
  <sheetFormatPr defaultRowHeight="23.25" x14ac:dyDescent="0.35"/>
  <cols>
    <col min="1" max="1" width="7.85546875" style="28" customWidth="1"/>
    <col min="2" max="2" width="20.7109375" style="95" customWidth="1"/>
    <col min="3" max="3" width="59.28515625" style="6" bestFit="1" customWidth="1"/>
    <col min="4" max="4" width="12" style="4" customWidth="1"/>
    <col min="5" max="5" width="6.28515625" style="28" customWidth="1"/>
    <col min="6" max="6" width="10.5703125" style="4" customWidth="1"/>
    <col min="7" max="7" width="10.85546875" style="4" customWidth="1"/>
    <col min="8" max="8" width="10.5703125" style="4" customWidth="1"/>
    <col min="9" max="9" width="11.140625" style="4" customWidth="1"/>
    <col min="10" max="10" width="18.85546875" style="140" bestFit="1" customWidth="1"/>
    <col min="11" max="11" width="12.85546875" style="140" bestFit="1" customWidth="1"/>
    <col min="12" max="12" width="13.85546875" style="140" bestFit="1" customWidth="1"/>
    <col min="13" max="13" width="17.42578125" style="140" bestFit="1" customWidth="1"/>
    <col min="14" max="15" width="17.140625" style="140" bestFit="1" customWidth="1"/>
    <col min="16" max="16" width="18.5703125" style="140" bestFit="1" customWidth="1"/>
    <col min="17" max="17" width="18.85546875" style="140" bestFit="1" customWidth="1"/>
    <col min="18" max="18" width="17.42578125" style="157" bestFit="1" customWidth="1"/>
    <col min="20" max="20" width="9.140625" style="247"/>
    <col min="22" max="22" width="16.7109375" style="277" bestFit="1" customWidth="1"/>
  </cols>
  <sheetData>
    <row r="1" spans="1:22" s="10" customFormat="1" x14ac:dyDescent="0.35">
      <c r="A1" s="25" t="s">
        <v>257</v>
      </c>
      <c r="B1" s="93" t="s">
        <v>0</v>
      </c>
      <c r="C1" s="18" t="s">
        <v>2</v>
      </c>
      <c r="D1" s="12" t="s">
        <v>3</v>
      </c>
      <c r="E1" s="25" t="s">
        <v>258</v>
      </c>
      <c r="F1" s="13" t="s">
        <v>4</v>
      </c>
      <c r="G1" s="13" t="s">
        <v>259</v>
      </c>
      <c r="H1" s="13" t="s">
        <v>6</v>
      </c>
      <c r="I1" s="13" t="s">
        <v>7</v>
      </c>
      <c r="J1" s="137" t="s">
        <v>641</v>
      </c>
      <c r="K1" s="137" t="s">
        <v>260</v>
      </c>
      <c r="L1" s="137" t="s">
        <v>642</v>
      </c>
      <c r="M1" s="137" t="s">
        <v>8</v>
      </c>
      <c r="N1" s="137" t="s">
        <v>9</v>
      </c>
      <c r="O1" s="137" t="s">
        <v>10</v>
      </c>
      <c r="P1" s="137" t="s">
        <v>11</v>
      </c>
      <c r="Q1" s="137" t="s">
        <v>12</v>
      </c>
      <c r="R1" s="154" t="s">
        <v>673</v>
      </c>
      <c r="T1" s="247"/>
      <c r="U1" s="98"/>
      <c r="V1" s="277"/>
    </row>
    <row r="2" spans="1:22" s="91" customFormat="1" x14ac:dyDescent="0.35">
      <c r="A2" s="25"/>
      <c r="B2" s="93"/>
      <c r="C2" s="18"/>
      <c r="D2" s="12"/>
      <c r="E2" s="25"/>
      <c r="F2" s="13"/>
      <c r="G2" s="13"/>
      <c r="H2" s="13"/>
      <c r="I2" s="13"/>
      <c r="J2" s="137">
        <f>SUBTOTAL(9,J4:J968)</f>
        <v>1122698.2044609347</v>
      </c>
      <c r="K2" s="137"/>
      <c r="L2" s="137"/>
      <c r="M2" s="137">
        <f>SUBTOTAL(9,M4:M968)</f>
        <v>248940.0553633149</v>
      </c>
      <c r="N2" s="137">
        <f>SUBTOTAL(9,N4:N968)</f>
        <v>187943.66428556797</v>
      </c>
      <c r="O2" s="137">
        <f>SUBTOTAL(9,O4:O968)</f>
        <v>377197.47823205212</v>
      </c>
      <c r="P2" s="137">
        <f>SUBTOTAL(9,P4:P968)</f>
        <v>308617.00657999999</v>
      </c>
      <c r="Q2" s="137">
        <f>SUM(M2:P2)</f>
        <v>1122698.204460935</v>
      </c>
      <c r="R2" s="154"/>
      <c r="T2" s="247"/>
      <c r="U2" s="98"/>
      <c r="V2" s="277"/>
    </row>
    <row r="3" spans="1:22" ht="30" x14ac:dyDescent="0.35">
      <c r="A3" s="26">
        <v>5</v>
      </c>
      <c r="B3" s="94" t="s">
        <v>13</v>
      </c>
      <c r="C3" s="1" t="s">
        <v>14</v>
      </c>
      <c r="D3" s="2"/>
      <c r="E3" s="24"/>
      <c r="F3" s="7"/>
      <c r="G3" s="7"/>
      <c r="H3" s="7"/>
      <c r="I3" s="7"/>
      <c r="J3" s="138"/>
      <c r="K3" s="138"/>
      <c r="L3" s="138"/>
      <c r="M3" s="138"/>
      <c r="N3" s="138"/>
      <c r="O3" s="138"/>
      <c r="P3" s="138"/>
      <c r="Q3" s="138"/>
      <c r="R3" s="155"/>
      <c r="U3" s="98"/>
    </row>
    <row r="4" spans="1:22" ht="30" x14ac:dyDescent="0.35">
      <c r="A4" s="26">
        <v>6</v>
      </c>
      <c r="B4" s="94" t="s">
        <v>15</v>
      </c>
      <c r="C4" s="1" t="s">
        <v>16</v>
      </c>
      <c r="D4" s="2" t="s">
        <v>17</v>
      </c>
      <c r="E4" s="24"/>
      <c r="F4" s="7"/>
      <c r="G4" s="7"/>
      <c r="H4" s="97">
        <f>VLOOKUP($A4,'Model Inputs'!$A:$D,4,FALSE)</f>
        <v>1</v>
      </c>
      <c r="I4" s="7"/>
      <c r="J4" s="138">
        <f>SUBTOTAL(9,J5)</f>
        <v>3250</v>
      </c>
      <c r="K4" s="138"/>
      <c r="L4" s="138">
        <f>L5</f>
        <v>5</v>
      </c>
      <c r="M4" s="138">
        <f>SUBTOTAL(9,M5)</f>
        <v>3250</v>
      </c>
      <c r="N4" s="138">
        <f t="shared" ref="N4:Q4" si="0">SUBTOTAL(9,N5)</f>
        <v>0</v>
      </c>
      <c r="O4" s="138">
        <f t="shared" si="0"/>
        <v>0</v>
      </c>
      <c r="P4" s="138">
        <f t="shared" si="0"/>
        <v>0</v>
      </c>
      <c r="Q4" s="138">
        <f t="shared" si="0"/>
        <v>3250</v>
      </c>
      <c r="R4" s="155"/>
    </row>
    <row r="5" spans="1:22" x14ac:dyDescent="0.35">
      <c r="A5" s="27"/>
      <c r="B5" s="92">
        <v>1</v>
      </c>
      <c r="C5" s="5" t="s">
        <v>18</v>
      </c>
      <c r="D5" s="3" t="s">
        <v>19</v>
      </c>
      <c r="E5" s="27" t="str">
        <f>VLOOKUP(C5,Resources!B:D,3,FALSE)</f>
        <v>L</v>
      </c>
      <c r="F5" s="8">
        <v>1</v>
      </c>
      <c r="G5" s="8">
        <v>1</v>
      </c>
      <c r="H5" s="8">
        <f>H4</f>
        <v>1</v>
      </c>
      <c r="I5" s="8">
        <f>VLOOKUP(C5,Resources!B:G,6,FALSE)</f>
        <v>3250</v>
      </c>
      <c r="J5" s="139">
        <f t="shared" ref="J5" si="1">(H5/(G5/F5))*I5</f>
        <v>3250</v>
      </c>
      <c r="K5" s="139">
        <f t="shared" ref="K5" si="2">IF(E5="M",H5,(H5/(G5)*F5))</f>
        <v>1</v>
      </c>
      <c r="L5" s="139">
        <f>K5*5</f>
        <v>5</v>
      </c>
      <c r="M5" s="139">
        <f t="shared" ref="M5" si="3">IF($E5="L",$J5,0)</f>
        <v>3250</v>
      </c>
      <c r="N5" s="139">
        <f t="shared" ref="N5" si="4">IF($E5="M",$J5,0)</f>
        <v>0</v>
      </c>
      <c r="O5" s="139">
        <f t="shared" ref="O5" si="5">IF($E5="P",$J5,0)</f>
        <v>0</v>
      </c>
      <c r="P5" s="139">
        <f>IF($E5="S",$J5,0)</f>
        <v>0</v>
      </c>
      <c r="Q5" s="139">
        <f t="shared" ref="Q5" si="6">SUM(M5:P5)</f>
        <v>3250</v>
      </c>
      <c r="R5" s="156">
        <v>13</v>
      </c>
    </row>
    <row r="6" spans="1:22" x14ac:dyDescent="0.35">
      <c r="C6" s="6" t="s">
        <v>402</v>
      </c>
      <c r="F6" s="9"/>
      <c r="G6" s="9"/>
      <c r="H6" s="9"/>
      <c r="I6" s="9"/>
    </row>
    <row r="7" spans="1:22" ht="30" x14ac:dyDescent="0.35">
      <c r="A7" s="26">
        <v>7</v>
      </c>
      <c r="B7" s="94" t="s">
        <v>20</v>
      </c>
      <c r="C7" s="1" t="s">
        <v>21</v>
      </c>
      <c r="D7" s="2" t="s">
        <v>17</v>
      </c>
      <c r="E7" s="24"/>
      <c r="F7" s="7"/>
      <c r="G7" s="7"/>
      <c r="H7" s="97">
        <f>VLOOKUP($A7,'Model Inputs'!$A:$D,4,FALSE)</f>
        <v>1</v>
      </c>
      <c r="I7" s="7"/>
      <c r="J7" s="138">
        <f>SUBTOTAL(9,J9:J13)</f>
        <v>11750</v>
      </c>
      <c r="K7" s="138"/>
      <c r="L7" s="138">
        <v>0</v>
      </c>
      <c r="M7" s="138">
        <f t="shared" ref="M7:Q7" si="7">SUBTOTAL(9,M9:M13)</f>
        <v>8060</v>
      </c>
      <c r="N7" s="138">
        <f t="shared" si="7"/>
        <v>0</v>
      </c>
      <c r="O7" s="138">
        <f t="shared" si="7"/>
        <v>0</v>
      </c>
      <c r="P7" s="138">
        <f t="shared" si="7"/>
        <v>3690</v>
      </c>
      <c r="Q7" s="138">
        <f t="shared" si="7"/>
        <v>11750</v>
      </c>
      <c r="R7" s="155"/>
    </row>
    <row r="8" spans="1:22" x14ac:dyDescent="0.35">
      <c r="A8" s="27"/>
      <c r="B8" s="92">
        <v>1</v>
      </c>
      <c r="C8" s="5" t="s">
        <v>644</v>
      </c>
      <c r="D8" s="16" t="s">
        <v>110</v>
      </c>
      <c r="E8" s="27"/>
      <c r="F8" s="8"/>
      <c r="G8" s="8"/>
      <c r="H8" s="8">
        <f>H7*2000</f>
        <v>2000</v>
      </c>
      <c r="I8" s="8"/>
      <c r="J8" s="139"/>
      <c r="K8" s="139"/>
      <c r="L8" s="139"/>
      <c r="M8" s="139"/>
      <c r="N8" s="139"/>
      <c r="O8" s="139"/>
      <c r="P8" s="139"/>
      <c r="Q8" s="139"/>
      <c r="R8" s="156"/>
    </row>
    <row r="9" spans="1:22" x14ac:dyDescent="0.35">
      <c r="A9" s="27"/>
      <c r="B9" s="92">
        <v>2</v>
      </c>
      <c r="C9" s="19" t="s">
        <v>22</v>
      </c>
      <c r="D9" s="3" t="s">
        <v>23</v>
      </c>
      <c r="E9" s="27" t="str">
        <f>VLOOKUP(C9,Resources!B:D,3,FALSE)</f>
        <v>S</v>
      </c>
      <c r="F9" s="8">
        <v>3</v>
      </c>
      <c r="G9" s="8">
        <f>500/3</f>
        <v>166.66666666666666</v>
      </c>
      <c r="H9" s="8">
        <f>H8</f>
        <v>2000</v>
      </c>
      <c r="I9" s="22">
        <f>VLOOKUP(C9,Resources!B:G,6,FALSE)</f>
        <v>45</v>
      </c>
      <c r="J9" s="139">
        <f t="shared" ref="J9:J13" si="8">(H9/(G9/F9))*I9</f>
        <v>1620.0000000000002</v>
      </c>
      <c r="K9" s="139">
        <f t="shared" ref="K9:K13" si="9">IF(E9="M",H9,(H9/(G9)*F9))</f>
        <v>36</v>
      </c>
      <c r="L9" s="139">
        <f t="shared" ref="L9:L13" si="10">IF(E9="M"," ",H9/(G9*F9))</f>
        <v>4</v>
      </c>
      <c r="M9" s="139">
        <f t="shared" ref="M9:M13" si="11">IF($E9="L",$J9,0)</f>
        <v>0</v>
      </c>
      <c r="N9" s="139">
        <f t="shared" ref="N9:N13" si="12">IF($E9="M",$J9,0)</f>
        <v>0</v>
      </c>
      <c r="O9" s="139">
        <f t="shared" ref="O9:O13" si="13">IF($E9="P",$J9,0)</f>
        <v>0</v>
      </c>
      <c r="P9" s="139">
        <f>IF($E9="S",$J9,0)</f>
        <v>1620.0000000000002</v>
      </c>
      <c r="Q9" s="139">
        <f t="shared" ref="Q9:Q13" si="14">SUM(M9:P9)</f>
        <v>1620.0000000000002</v>
      </c>
      <c r="R9" s="156">
        <v>13</v>
      </c>
    </row>
    <row r="10" spans="1:22" x14ac:dyDescent="0.35">
      <c r="A10" s="27"/>
      <c r="B10" s="92">
        <v>3</v>
      </c>
      <c r="C10" s="19" t="s">
        <v>24</v>
      </c>
      <c r="D10" s="3" t="s">
        <v>23</v>
      </c>
      <c r="E10" s="27" t="str">
        <f>VLOOKUP(C10,Resources!B:D,3,FALSE)</f>
        <v>S</v>
      </c>
      <c r="F10" s="8">
        <v>1</v>
      </c>
      <c r="G10" s="8">
        <v>1</v>
      </c>
      <c r="H10" s="8">
        <f>3*H7</f>
        <v>3</v>
      </c>
      <c r="I10" s="22">
        <f>VLOOKUP(C10,Resources!B:G,6,FALSE)</f>
        <v>390</v>
      </c>
      <c r="J10" s="139">
        <f t="shared" si="8"/>
        <v>1170</v>
      </c>
      <c r="K10" s="139">
        <f t="shared" si="9"/>
        <v>3</v>
      </c>
      <c r="L10" s="139">
        <f t="shared" si="10"/>
        <v>3</v>
      </c>
      <c r="M10" s="139">
        <f t="shared" si="11"/>
        <v>0</v>
      </c>
      <c r="N10" s="139">
        <f t="shared" si="12"/>
        <v>0</v>
      </c>
      <c r="O10" s="139">
        <f t="shared" si="13"/>
        <v>0</v>
      </c>
      <c r="P10" s="139">
        <f>IF($E10="S",$J10,0)</f>
        <v>1170</v>
      </c>
      <c r="Q10" s="139">
        <f t="shared" si="14"/>
        <v>1170</v>
      </c>
      <c r="R10" s="156">
        <v>13</v>
      </c>
    </row>
    <row r="11" spans="1:22" x14ac:dyDescent="0.35">
      <c r="A11" s="27"/>
      <c r="B11" s="92">
        <v>4</v>
      </c>
      <c r="C11" s="19" t="s">
        <v>18</v>
      </c>
      <c r="D11" s="3" t="s">
        <v>19</v>
      </c>
      <c r="E11" s="27" t="str">
        <f>VLOOKUP(C11,Resources!B:D,3,FALSE)</f>
        <v>L</v>
      </c>
      <c r="F11" s="8">
        <v>1</v>
      </c>
      <c r="G11" s="8">
        <v>1</v>
      </c>
      <c r="H11" s="8">
        <f>H7</f>
        <v>1</v>
      </c>
      <c r="I11" s="22">
        <f>VLOOKUP(C11,Resources!B:G,6,FALSE)</f>
        <v>3250</v>
      </c>
      <c r="J11" s="139">
        <f t="shared" si="8"/>
        <v>3250</v>
      </c>
      <c r="K11" s="139">
        <f t="shared" si="9"/>
        <v>1</v>
      </c>
      <c r="L11" s="139">
        <f t="shared" si="10"/>
        <v>1</v>
      </c>
      <c r="M11" s="139">
        <f t="shared" si="11"/>
        <v>3250</v>
      </c>
      <c r="N11" s="139">
        <f t="shared" si="12"/>
        <v>0</v>
      </c>
      <c r="O11" s="139">
        <f t="shared" si="13"/>
        <v>0</v>
      </c>
      <c r="P11" s="139">
        <f>IF($E11="S",$J11,0)</f>
        <v>0</v>
      </c>
      <c r="Q11" s="139">
        <f t="shared" si="14"/>
        <v>3250</v>
      </c>
      <c r="R11" s="156">
        <v>13</v>
      </c>
    </row>
    <row r="12" spans="1:22" x14ac:dyDescent="0.35">
      <c r="A12" s="27"/>
      <c r="B12" s="92">
        <v>5</v>
      </c>
      <c r="C12" s="19" t="s">
        <v>25</v>
      </c>
      <c r="D12" s="3" t="s">
        <v>26</v>
      </c>
      <c r="E12" s="27" t="str">
        <f>VLOOKUP(C12,Resources!B:D,3,FALSE)</f>
        <v>L</v>
      </c>
      <c r="F12" s="8">
        <v>1</v>
      </c>
      <c r="G12" s="8">
        <v>1</v>
      </c>
      <c r="H12" s="8">
        <f>H7*26</f>
        <v>26</v>
      </c>
      <c r="I12" s="22">
        <f>VLOOKUP(C12,Resources!B:G,6,FALSE)</f>
        <v>185</v>
      </c>
      <c r="J12" s="139">
        <f t="shared" si="8"/>
        <v>4810</v>
      </c>
      <c r="K12" s="139">
        <f t="shared" si="9"/>
        <v>26</v>
      </c>
      <c r="L12" s="139">
        <f t="shared" si="10"/>
        <v>26</v>
      </c>
      <c r="M12" s="139">
        <f t="shared" si="11"/>
        <v>4810</v>
      </c>
      <c r="N12" s="139">
        <f t="shared" si="12"/>
        <v>0</v>
      </c>
      <c r="O12" s="139">
        <f t="shared" si="13"/>
        <v>0</v>
      </c>
      <c r="P12" s="139">
        <f>IF($E12="S",$J12,0)</f>
        <v>0</v>
      </c>
      <c r="Q12" s="139">
        <f t="shared" si="14"/>
        <v>4810</v>
      </c>
      <c r="R12" s="156">
        <v>11</v>
      </c>
    </row>
    <row r="13" spans="1:22" x14ac:dyDescent="0.35">
      <c r="A13" s="27"/>
      <c r="B13" s="92">
        <v>6</v>
      </c>
      <c r="C13" s="19" t="s">
        <v>27</v>
      </c>
      <c r="D13" s="3" t="s">
        <v>23</v>
      </c>
      <c r="E13" s="27" t="str">
        <f>VLOOKUP(C13,Resources!B:D,3,FALSE)</f>
        <v>S</v>
      </c>
      <c r="F13" s="8">
        <v>1</v>
      </c>
      <c r="G13" s="8">
        <v>1</v>
      </c>
      <c r="H13" s="8">
        <f>H7*6</f>
        <v>6</v>
      </c>
      <c r="I13" s="22">
        <f>VLOOKUP(C13,Resources!B:G,6,FALSE)</f>
        <v>150</v>
      </c>
      <c r="J13" s="139">
        <f t="shared" si="8"/>
        <v>900</v>
      </c>
      <c r="K13" s="139">
        <f t="shared" si="9"/>
        <v>6</v>
      </c>
      <c r="L13" s="139">
        <f t="shared" si="10"/>
        <v>6</v>
      </c>
      <c r="M13" s="139">
        <f t="shared" si="11"/>
        <v>0</v>
      </c>
      <c r="N13" s="139">
        <f t="shared" si="12"/>
        <v>0</v>
      </c>
      <c r="O13" s="139">
        <f t="shared" si="13"/>
        <v>0</v>
      </c>
      <c r="P13" s="139">
        <f>IF($E13="S",$J13,0)</f>
        <v>900</v>
      </c>
      <c r="Q13" s="139">
        <f t="shared" si="14"/>
        <v>900</v>
      </c>
      <c r="R13" s="156">
        <v>13</v>
      </c>
    </row>
    <row r="14" spans="1:22" x14ac:dyDescent="0.35">
      <c r="C14" s="6" t="s">
        <v>402</v>
      </c>
      <c r="F14" s="9"/>
      <c r="G14" s="9"/>
      <c r="H14" s="9"/>
      <c r="I14" s="9"/>
    </row>
    <row r="15" spans="1:22" ht="30" x14ac:dyDescent="0.35">
      <c r="A15" s="26">
        <v>8</v>
      </c>
      <c r="B15" s="94" t="s">
        <v>28</v>
      </c>
      <c r="C15" s="1" t="s">
        <v>29</v>
      </c>
      <c r="D15" s="2" t="s">
        <v>17</v>
      </c>
      <c r="E15" s="24"/>
      <c r="F15" s="7"/>
      <c r="G15" s="7"/>
      <c r="H15" s="97">
        <f>VLOOKUP($A15,'Model Inputs'!$A:$D,4,FALSE)</f>
        <v>1</v>
      </c>
      <c r="I15" s="7"/>
      <c r="J15" s="138">
        <f>SUBTOTAL(9,J16:J25)</f>
        <v>13900</v>
      </c>
      <c r="K15" s="138"/>
      <c r="L15" s="138">
        <f>L23*5</f>
        <v>5</v>
      </c>
      <c r="M15" s="138">
        <f>SUBTOTAL(9,M16:M25)</f>
        <v>8700</v>
      </c>
      <c r="N15" s="138">
        <f t="shared" ref="N15:Q15" si="15">SUBTOTAL(9,N16:N25)</f>
        <v>0</v>
      </c>
      <c r="O15" s="138">
        <f t="shared" si="15"/>
        <v>5200</v>
      </c>
      <c r="P15" s="138">
        <f t="shared" si="15"/>
        <v>0</v>
      </c>
      <c r="Q15" s="138">
        <f t="shared" si="15"/>
        <v>13900</v>
      </c>
      <c r="R15" s="155"/>
    </row>
    <row r="16" spans="1:22" s="90" customFormat="1" x14ac:dyDescent="0.35">
      <c r="A16" s="27"/>
      <c r="B16" s="92">
        <v>1</v>
      </c>
      <c r="C16" s="19" t="s">
        <v>78</v>
      </c>
      <c r="D16" s="16" t="s">
        <v>17</v>
      </c>
      <c r="E16" s="27" t="str">
        <f>VLOOKUP(C16,Resources!B:D,3,FALSE)</f>
        <v>P</v>
      </c>
      <c r="F16" s="22">
        <v>800</v>
      </c>
      <c r="G16" s="22">
        <v>1</v>
      </c>
      <c r="H16" s="22">
        <f>H15</f>
        <v>1</v>
      </c>
      <c r="I16" s="22">
        <f>VLOOKUP(C16,Resources!B:G,6,FALSE)</f>
        <v>1</v>
      </c>
      <c r="J16" s="139">
        <f t="shared" ref="J16:J17" si="16">(H16/(G16/F16))*I16</f>
        <v>800</v>
      </c>
      <c r="K16" s="139">
        <f t="shared" ref="K16:K25" si="17">IF(E16="M",H16,(H16/(G16)*F16))</f>
        <v>800</v>
      </c>
      <c r="L16" s="139">
        <f>H16</f>
        <v>1</v>
      </c>
      <c r="M16" s="139">
        <f t="shared" ref="M16:M25" si="18">IF($E16="L",$J16,0)</f>
        <v>0</v>
      </c>
      <c r="N16" s="139">
        <f t="shared" ref="N16:N25" si="19">IF($E16="M",$J16,0)</f>
        <v>0</v>
      </c>
      <c r="O16" s="139">
        <f>IF($E16="P",$J16,0)</f>
        <v>800</v>
      </c>
      <c r="P16" s="139">
        <f t="shared" ref="P16:P25" si="20">IF($E16="S",$J16,0)</f>
        <v>0</v>
      </c>
      <c r="Q16" s="139">
        <f>SUM(M16:P16)</f>
        <v>800</v>
      </c>
      <c r="R16" s="156">
        <v>907</v>
      </c>
      <c r="T16" s="247"/>
      <c r="U16"/>
      <c r="V16" s="277"/>
    </row>
    <row r="17" spans="1:22" s="90" customFormat="1" x14ac:dyDescent="0.35">
      <c r="A17" s="27"/>
      <c r="B17" s="92">
        <v>2</v>
      </c>
      <c r="C17" s="19" t="s">
        <v>78</v>
      </c>
      <c r="D17" s="16" t="s">
        <v>17</v>
      </c>
      <c r="E17" s="27" t="str">
        <f>VLOOKUP(C17,Resources!B:D,3,FALSE)</f>
        <v>P</v>
      </c>
      <c r="F17" s="22">
        <v>600</v>
      </c>
      <c r="G17" s="22">
        <v>1</v>
      </c>
      <c r="H17" s="22">
        <f>H15</f>
        <v>1</v>
      </c>
      <c r="I17" s="22">
        <f>VLOOKUP(C17,Resources!B:G,6,FALSE)</f>
        <v>1</v>
      </c>
      <c r="J17" s="139">
        <f t="shared" si="16"/>
        <v>600</v>
      </c>
      <c r="K17" s="139">
        <f t="shared" si="17"/>
        <v>600</v>
      </c>
      <c r="L17" s="139">
        <f t="shared" ref="L17:L22" si="21">H17</f>
        <v>1</v>
      </c>
      <c r="M17" s="139">
        <f t="shared" si="18"/>
        <v>0</v>
      </c>
      <c r="N17" s="139">
        <f t="shared" si="19"/>
        <v>0</v>
      </c>
      <c r="O17" s="139">
        <f t="shared" ref="O17:O25" si="22">IF($E17="P",$J17,0)</f>
        <v>600</v>
      </c>
      <c r="P17" s="139">
        <f t="shared" si="20"/>
        <v>0</v>
      </c>
      <c r="Q17" s="139">
        <f t="shared" ref="Q17:Q25" si="23">SUM(M17:P17)</f>
        <v>600</v>
      </c>
      <c r="R17" s="156">
        <v>907</v>
      </c>
      <c r="T17" s="247"/>
      <c r="V17" s="277"/>
    </row>
    <row r="18" spans="1:22" s="90" customFormat="1" x14ac:dyDescent="0.35">
      <c r="A18" s="27"/>
      <c r="B18" s="92">
        <v>3</v>
      </c>
      <c r="C18" s="19" t="s">
        <v>78</v>
      </c>
      <c r="D18" s="16" t="s">
        <v>17</v>
      </c>
      <c r="E18" s="27" t="str">
        <f>VLOOKUP(C18,Resources!B:D,3,FALSE)</f>
        <v>P</v>
      </c>
      <c r="F18" s="22">
        <v>600</v>
      </c>
      <c r="G18" s="22">
        <v>1</v>
      </c>
      <c r="H18" s="22">
        <f>H15</f>
        <v>1</v>
      </c>
      <c r="I18" s="22">
        <f>VLOOKUP(C18,Resources!B:G,6,FALSE)</f>
        <v>1</v>
      </c>
      <c r="J18" s="139">
        <f>(H18/(G18/F18))*I18</f>
        <v>600</v>
      </c>
      <c r="K18" s="139">
        <f t="shared" si="17"/>
        <v>600</v>
      </c>
      <c r="L18" s="139">
        <f t="shared" si="21"/>
        <v>1</v>
      </c>
      <c r="M18" s="139">
        <f t="shared" si="18"/>
        <v>0</v>
      </c>
      <c r="N18" s="139">
        <f t="shared" si="19"/>
        <v>0</v>
      </c>
      <c r="O18" s="139">
        <f t="shared" si="22"/>
        <v>600</v>
      </c>
      <c r="P18" s="139">
        <f t="shared" si="20"/>
        <v>0</v>
      </c>
      <c r="Q18" s="139">
        <f t="shared" si="23"/>
        <v>600</v>
      </c>
      <c r="R18" s="156">
        <v>907</v>
      </c>
      <c r="T18" s="247"/>
      <c r="V18" s="277"/>
    </row>
    <row r="19" spans="1:22" s="90" customFormat="1" x14ac:dyDescent="0.35">
      <c r="A19" s="27"/>
      <c r="B19" s="92">
        <v>4</v>
      </c>
      <c r="C19" s="19" t="s">
        <v>78</v>
      </c>
      <c r="D19" s="16" t="s">
        <v>17</v>
      </c>
      <c r="E19" s="27" t="str">
        <f>VLOOKUP(C19,Resources!B:D,3,FALSE)</f>
        <v>P</v>
      </c>
      <c r="F19" s="22">
        <v>600</v>
      </c>
      <c r="G19" s="22">
        <v>1</v>
      </c>
      <c r="H19" s="22">
        <f>H15</f>
        <v>1</v>
      </c>
      <c r="I19" s="22">
        <f>VLOOKUP(C19,Resources!B:G,6,FALSE)</f>
        <v>1</v>
      </c>
      <c r="J19" s="139">
        <f t="shared" ref="J19:J25" si="24">(H19/(G19/F19))*I19</f>
        <v>600</v>
      </c>
      <c r="K19" s="139">
        <f t="shared" si="17"/>
        <v>600</v>
      </c>
      <c r="L19" s="139">
        <f t="shared" si="21"/>
        <v>1</v>
      </c>
      <c r="M19" s="139">
        <f t="shared" si="18"/>
        <v>0</v>
      </c>
      <c r="N19" s="139">
        <f t="shared" si="19"/>
        <v>0</v>
      </c>
      <c r="O19" s="139">
        <f t="shared" si="22"/>
        <v>600</v>
      </c>
      <c r="P19" s="139">
        <f t="shared" si="20"/>
        <v>0</v>
      </c>
      <c r="Q19" s="139">
        <f t="shared" si="23"/>
        <v>600</v>
      </c>
      <c r="R19" s="156">
        <v>907</v>
      </c>
      <c r="T19" s="247"/>
      <c r="V19" s="277"/>
    </row>
    <row r="20" spans="1:22" s="90" customFormat="1" x14ac:dyDescent="0.35">
      <c r="A20" s="27"/>
      <c r="B20" s="92">
        <v>5</v>
      </c>
      <c r="C20" s="19" t="s">
        <v>78</v>
      </c>
      <c r="D20" s="16" t="s">
        <v>17</v>
      </c>
      <c r="E20" s="27" t="str">
        <f>VLOOKUP(C20,Resources!B:D,3,FALSE)</f>
        <v>P</v>
      </c>
      <c r="F20" s="22">
        <v>800</v>
      </c>
      <c r="G20" s="22">
        <v>1</v>
      </c>
      <c r="H20" s="22">
        <f>H15</f>
        <v>1</v>
      </c>
      <c r="I20" s="22">
        <f>VLOOKUP(C20,Resources!B:G,6,FALSE)</f>
        <v>1</v>
      </c>
      <c r="J20" s="139">
        <f t="shared" si="24"/>
        <v>800</v>
      </c>
      <c r="K20" s="139">
        <f t="shared" si="17"/>
        <v>800</v>
      </c>
      <c r="L20" s="139">
        <f t="shared" si="21"/>
        <v>1</v>
      </c>
      <c r="M20" s="139">
        <f t="shared" si="18"/>
        <v>0</v>
      </c>
      <c r="N20" s="139">
        <f t="shared" si="19"/>
        <v>0</v>
      </c>
      <c r="O20" s="139">
        <f t="shared" si="22"/>
        <v>800</v>
      </c>
      <c r="P20" s="139">
        <f t="shared" si="20"/>
        <v>0</v>
      </c>
      <c r="Q20" s="139">
        <f t="shared" si="23"/>
        <v>800</v>
      </c>
      <c r="R20" s="156">
        <v>907</v>
      </c>
      <c r="T20" s="247"/>
      <c r="V20" s="277"/>
    </row>
    <row r="21" spans="1:22" s="90" customFormat="1" x14ac:dyDescent="0.35">
      <c r="A21" s="27"/>
      <c r="B21" s="92">
        <v>6</v>
      </c>
      <c r="C21" s="19" t="s">
        <v>78</v>
      </c>
      <c r="D21" s="16" t="s">
        <v>17</v>
      </c>
      <c r="E21" s="27" t="str">
        <f>VLOOKUP(C21,Resources!B:D,3,FALSE)</f>
        <v>P</v>
      </c>
      <c r="F21" s="22">
        <v>1200</v>
      </c>
      <c r="G21" s="22">
        <v>1</v>
      </c>
      <c r="H21" s="22">
        <f>H15</f>
        <v>1</v>
      </c>
      <c r="I21" s="22">
        <f>VLOOKUP(C21,Resources!B:G,6,FALSE)</f>
        <v>1</v>
      </c>
      <c r="J21" s="139">
        <f t="shared" si="24"/>
        <v>1200</v>
      </c>
      <c r="K21" s="139">
        <f t="shared" si="17"/>
        <v>1200</v>
      </c>
      <c r="L21" s="139">
        <f t="shared" si="21"/>
        <v>1</v>
      </c>
      <c r="M21" s="139">
        <f t="shared" si="18"/>
        <v>0</v>
      </c>
      <c r="N21" s="139">
        <f t="shared" si="19"/>
        <v>0</v>
      </c>
      <c r="O21" s="139">
        <f t="shared" si="22"/>
        <v>1200</v>
      </c>
      <c r="P21" s="139">
        <f t="shared" si="20"/>
        <v>0</v>
      </c>
      <c r="Q21" s="139">
        <f t="shared" si="23"/>
        <v>1200</v>
      </c>
      <c r="R21" s="156">
        <v>907</v>
      </c>
      <c r="T21" s="247"/>
      <c r="V21" s="277"/>
    </row>
    <row r="22" spans="1:22" s="90" customFormat="1" x14ac:dyDescent="0.35">
      <c r="A22" s="27"/>
      <c r="B22" s="92">
        <v>7</v>
      </c>
      <c r="C22" s="19" t="s">
        <v>78</v>
      </c>
      <c r="D22" s="16" t="s">
        <v>17</v>
      </c>
      <c r="E22" s="27" t="str">
        <f>VLOOKUP(C22,Resources!B:D,3,FALSE)</f>
        <v>P</v>
      </c>
      <c r="F22" s="22">
        <v>600</v>
      </c>
      <c r="G22" s="22">
        <v>1</v>
      </c>
      <c r="H22" s="22">
        <f>H15</f>
        <v>1</v>
      </c>
      <c r="I22" s="22">
        <f>VLOOKUP(C22,Resources!B:G,6,FALSE)</f>
        <v>1</v>
      </c>
      <c r="J22" s="139">
        <f t="shared" si="24"/>
        <v>600</v>
      </c>
      <c r="K22" s="139">
        <f t="shared" si="17"/>
        <v>600</v>
      </c>
      <c r="L22" s="139">
        <f t="shared" si="21"/>
        <v>1</v>
      </c>
      <c r="M22" s="139">
        <f t="shared" si="18"/>
        <v>0</v>
      </c>
      <c r="N22" s="139">
        <f t="shared" si="19"/>
        <v>0</v>
      </c>
      <c r="O22" s="139">
        <f t="shared" si="22"/>
        <v>600</v>
      </c>
      <c r="P22" s="139">
        <f t="shared" si="20"/>
        <v>0</v>
      </c>
      <c r="Q22" s="139">
        <f t="shared" si="23"/>
        <v>600</v>
      </c>
      <c r="R22" s="156">
        <v>907</v>
      </c>
      <c r="T22" s="247"/>
      <c r="V22" s="277"/>
    </row>
    <row r="23" spans="1:22" s="90" customFormat="1" x14ac:dyDescent="0.35">
      <c r="A23" s="27"/>
      <c r="B23" s="92">
        <v>8</v>
      </c>
      <c r="C23" s="19" t="s">
        <v>30</v>
      </c>
      <c r="D23" s="16" t="s">
        <v>19</v>
      </c>
      <c r="E23" s="27" t="str">
        <f>VLOOKUP(C23,Resources!B:D,3,FALSE)</f>
        <v>L</v>
      </c>
      <c r="F23" s="22">
        <v>1</v>
      </c>
      <c r="G23" s="22">
        <v>1</v>
      </c>
      <c r="H23" s="22">
        <f>H15</f>
        <v>1</v>
      </c>
      <c r="I23" s="22">
        <f>VLOOKUP(C23,Resources!B:G,6,FALSE)</f>
        <v>3350</v>
      </c>
      <c r="J23" s="139">
        <f t="shared" si="24"/>
        <v>3350</v>
      </c>
      <c r="K23" s="139">
        <f t="shared" si="17"/>
        <v>1</v>
      </c>
      <c r="L23" s="139">
        <f t="shared" ref="L23:L25" si="25">IF(E23="M"," ",H23/(G23*F23))</f>
        <v>1</v>
      </c>
      <c r="M23" s="139">
        <f t="shared" si="18"/>
        <v>3350</v>
      </c>
      <c r="N23" s="139">
        <f t="shared" si="19"/>
        <v>0</v>
      </c>
      <c r="O23" s="139">
        <f t="shared" si="22"/>
        <v>0</v>
      </c>
      <c r="P23" s="139">
        <f t="shared" si="20"/>
        <v>0</v>
      </c>
      <c r="Q23" s="139">
        <f t="shared" si="23"/>
        <v>3350</v>
      </c>
      <c r="R23" s="156">
        <v>902</v>
      </c>
      <c r="T23" s="247"/>
      <c r="V23" s="277"/>
    </row>
    <row r="24" spans="1:22" s="90" customFormat="1" x14ac:dyDescent="0.35">
      <c r="A24" s="27"/>
      <c r="B24" s="92">
        <v>9</v>
      </c>
      <c r="C24" s="19" t="s">
        <v>18</v>
      </c>
      <c r="D24" s="16" t="s">
        <v>19</v>
      </c>
      <c r="E24" s="27" t="str">
        <f>VLOOKUP(C24,Resources!B:D,3,FALSE)</f>
        <v>L</v>
      </c>
      <c r="F24" s="22">
        <v>1</v>
      </c>
      <c r="G24" s="22">
        <v>1</v>
      </c>
      <c r="H24" s="22">
        <f>H15</f>
        <v>1</v>
      </c>
      <c r="I24" s="22">
        <f>VLOOKUP(C24,Resources!B:G,6,FALSE)</f>
        <v>3250</v>
      </c>
      <c r="J24" s="139">
        <f t="shared" si="24"/>
        <v>3250</v>
      </c>
      <c r="K24" s="139">
        <f t="shared" si="17"/>
        <v>1</v>
      </c>
      <c r="L24" s="139">
        <f t="shared" si="25"/>
        <v>1</v>
      </c>
      <c r="M24" s="139">
        <f t="shared" si="18"/>
        <v>3250</v>
      </c>
      <c r="N24" s="139">
        <f t="shared" si="19"/>
        <v>0</v>
      </c>
      <c r="O24" s="139">
        <f t="shared" si="22"/>
        <v>0</v>
      </c>
      <c r="P24" s="139">
        <f t="shared" si="20"/>
        <v>0</v>
      </c>
      <c r="Q24" s="139">
        <f t="shared" si="23"/>
        <v>3250</v>
      </c>
      <c r="R24" s="156">
        <v>902</v>
      </c>
      <c r="T24" s="247"/>
      <c r="V24" s="277"/>
    </row>
    <row r="25" spans="1:22" s="90" customFormat="1" x14ac:dyDescent="0.35">
      <c r="A25" s="27"/>
      <c r="B25" s="92">
        <v>10</v>
      </c>
      <c r="C25" s="19" t="s">
        <v>8</v>
      </c>
      <c r="D25" s="16" t="s">
        <v>26</v>
      </c>
      <c r="E25" s="27" t="str">
        <f>VLOOKUP(C25,Resources!B:D,3,FALSE)</f>
        <v>L</v>
      </c>
      <c r="F25" s="22">
        <v>5</v>
      </c>
      <c r="G25" s="22">
        <f>1/10</f>
        <v>0.1</v>
      </c>
      <c r="H25" s="22">
        <f>H15</f>
        <v>1</v>
      </c>
      <c r="I25" s="22">
        <f>VLOOKUP(C25,Resources!B:G,6,FALSE)</f>
        <v>42</v>
      </c>
      <c r="J25" s="139">
        <f t="shared" si="24"/>
        <v>2100</v>
      </c>
      <c r="K25" s="139">
        <f t="shared" si="17"/>
        <v>50</v>
      </c>
      <c r="L25" s="139">
        <f t="shared" si="25"/>
        <v>2</v>
      </c>
      <c r="M25" s="139">
        <f t="shared" si="18"/>
        <v>2100</v>
      </c>
      <c r="N25" s="139">
        <f t="shared" si="19"/>
        <v>0</v>
      </c>
      <c r="O25" s="139">
        <f t="shared" si="22"/>
        <v>0</v>
      </c>
      <c r="P25" s="139">
        <f t="shared" si="20"/>
        <v>0</v>
      </c>
      <c r="Q25" s="139">
        <f t="shared" si="23"/>
        <v>2100</v>
      </c>
      <c r="R25" s="156">
        <v>907</v>
      </c>
      <c r="T25" s="247"/>
      <c r="V25" s="277"/>
    </row>
    <row r="26" spans="1:22" x14ac:dyDescent="0.35">
      <c r="C26" s="6" t="s">
        <v>402</v>
      </c>
      <c r="F26" s="9">
        <v>1</v>
      </c>
      <c r="G26" s="9"/>
      <c r="H26" s="9"/>
      <c r="I26" s="9"/>
      <c r="U26" s="90"/>
    </row>
    <row r="27" spans="1:22" ht="30" x14ac:dyDescent="0.35">
      <c r="A27" s="26">
        <v>9</v>
      </c>
      <c r="B27" s="94" t="s">
        <v>31</v>
      </c>
      <c r="C27" s="1" t="s">
        <v>32</v>
      </c>
      <c r="D27" s="2" t="s">
        <v>17</v>
      </c>
      <c r="E27" s="24"/>
      <c r="F27" s="7"/>
      <c r="G27" s="7"/>
      <c r="H27" s="97">
        <f>VLOOKUP($A27,'Model Inputs'!$A:$D,4,FALSE)</f>
        <v>1</v>
      </c>
      <c r="I27" s="7"/>
      <c r="J27" s="138">
        <f>SUBTOTAL(9,J28)</f>
        <v>3250</v>
      </c>
      <c r="K27" s="138"/>
      <c r="L27" s="138">
        <f>L28*5</f>
        <v>5</v>
      </c>
      <c r="M27" s="138">
        <f>SUBTOTAL(9,M28)</f>
        <v>3250</v>
      </c>
      <c r="N27" s="138">
        <f t="shared" ref="N27" si="26">SUBTOTAL(9,N28)</f>
        <v>0</v>
      </c>
      <c r="O27" s="138">
        <f t="shared" ref="O27" si="27">SUBTOTAL(9,O28)</f>
        <v>0</v>
      </c>
      <c r="P27" s="138">
        <f t="shared" ref="P27" si="28">SUBTOTAL(9,P28)</f>
        <v>0</v>
      </c>
      <c r="Q27" s="138">
        <f t="shared" ref="Q27" si="29">SUBTOTAL(9,Q28)</f>
        <v>3250</v>
      </c>
      <c r="R27" s="155"/>
    </row>
    <row r="28" spans="1:22" x14ac:dyDescent="0.35">
      <c r="A28" s="27"/>
      <c r="B28" s="92">
        <v>1</v>
      </c>
      <c r="C28" s="19" t="s">
        <v>18</v>
      </c>
      <c r="D28" s="3" t="s">
        <v>19</v>
      </c>
      <c r="E28" s="27" t="str">
        <f>VLOOKUP(C28,Resources!B:D,3,FALSE)</f>
        <v>L</v>
      </c>
      <c r="F28" s="8">
        <v>1</v>
      </c>
      <c r="G28" s="8">
        <v>1</v>
      </c>
      <c r="H28" s="8">
        <f>H27</f>
        <v>1</v>
      </c>
      <c r="I28" s="22">
        <f>VLOOKUP(C28,Resources!B:G,6,FALSE)</f>
        <v>3250</v>
      </c>
      <c r="J28" s="139">
        <f t="shared" ref="J28" si="30">(H28/(G28/F28))*I28</f>
        <v>3250</v>
      </c>
      <c r="K28" s="139">
        <f t="shared" ref="K28" si="31">IF(E28="M",H28,(H28/(G28)*F28))</f>
        <v>1</v>
      </c>
      <c r="L28" s="139">
        <f>IF(E28="M"," ",H28/(G28*F28))</f>
        <v>1</v>
      </c>
      <c r="M28" s="139">
        <f t="shared" ref="M28" si="32">IF($E28="L",$J28,0)</f>
        <v>3250</v>
      </c>
      <c r="N28" s="139">
        <f t="shared" ref="N28" si="33">IF($E28="M",$J28,0)</f>
        <v>0</v>
      </c>
      <c r="O28" s="139">
        <f>IF($E28="P",$J28,0)</f>
        <v>0</v>
      </c>
      <c r="P28" s="139">
        <f>IF($E28="S",$J28,0)</f>
        <v>0</v>
      </c>
      <c r="Q28" s="139">
        <f>SUM(M28:P28)</f>
        <v>3250</v>
      </c>
      <c r="R28" s="156">
        <v>13</v>
      </c>
    </row>
    <row r="29" spans="1:22" x14ac:dyDescent="0.35">
      <c r="C29" s="6" t="s">
        <v>402</v>
      </c>
      <c r="F29" s="9"/>
      <c r="G29" s="9"/>
      <c r="H29" s="9"/>
      <c r="I29" s="9"/>
    </row>
    <row r="30" spans="1:22" ht="30" x14ac:dyDescent="0.35">
      <c r="A30" s="26"/>
      <c r="B30" s="94" t="s">
        <v>33</v>
      </c>
      <c r="C30" s="1" t="s">
        <v>34</v>
      </c>
      <c r="D30" s="2"/>
      <c r="E30" s="24"/>
      <c r="F30" s="7"/>
      <c r="G30" s="7"/>
      <c r="H30" s="7"/>
      <c r="I30" s="7"/>
      <c r="J30" s="138"/>
      <c r="K30" s="138"/>
      <c r="L30" s="138"/>
      <c r="M30" s="138"/>
      <c r="N30" s="138"/>
      <c r="O30" s="138"/>
      <c r="P30" s="138"/>
      <c r="Q30" s="138"/>
      <c r="R30" s="155"/>
    </row>
    <row r="31" spans="1:22" ht="30" x14ac:dyDescent="0.35">
      <c r="A31" s="26">
        <v>10</v>
      </c>
      <c r="B31" s="94" t="s">
        <v>35</v>
      </c>
      <c r="C31" s="1" t="s">
        <v>36</v>
      </c>
      <c r="D31" s="2" t="s">
        <v>17</v>
      </c>
      <c r="E31" s="24"/>
      <c r="F31" s="7"/>
      <c r="G31" s="7"/>
      <c r="H31" s="97">
        <f>VLOOKUP($A31,'Model Inputs'!$A:$D,4,FALSE)</f>
        <v>1</v>
      </c>
      <c r="I31" s="7"/>
      <c r="J31" s="138">
        <f>SUBTOTAL(9,J33:J34)</f>
        <v>15829.545454545456</v>
      </c>
      <c r="K31" s="138"/>
      <c r="L31" s="138">
        <f>ROUNDUP(L34,0)</f>
        <v>35</v>
      </c>
      <c r="M31" s="138">
        <f t="shared" ref="M31:Q31" si="34">SUBTOTAL(9,M33:M34)</f>
        <v>11454.545454545456</v>
      </c>
      <c r="N31" s="138">
        <f t="shared" si="34"/>
        <v>0</v>
      </c>
      <c r="O31" s="138">
        <f t="shared" si="34"/>
        <v>4375</v>
      </c>
      <c r="P31" s="138">
        <f t="shared" si="34"/>
        <v>0</v>
      </c>
      <c r="Q31" s="138">
        <f t="shared" si="34"/>
        <v>15829.545454545456</v>
      </c>
      <c r="R31" s="155"/>
    </row>
    <row r="32" spans="1:22" x14ac:dyDescent="0.35">
      <c r="B32" s="95">
        <v>1</v>
      </c>
      <c r="C32" s="6" t="s">
        <v>37</v>
      </c>
      <c r="F32" s="9">
        <v>1</v>
      </c>
      <c r="G32" s="9">
        <v>1</v>
      </c>
      <c r="H32" s="9"/>
      <c r="I32" s="9"/>
    </row>
    <row r="33" spans="1:22" x14ac:dyDescent="0.35">
      <c r="A33" s="27">
        <v>10.1</v>
      </c>
      <c r="B33" s="92">
        <v>2</v>
      </c>
      <c r="C33" s="19" t="s">
        <v>38</v>
      </c>
      <c r="D33" s="3" t="s">
        <v>26</v>
      </c>
      <c r="E33" s="27" t="str">
        <f>VLOOKUP(C33,Resources!B:D,3,FALSE)</f>
        <v>L</v>
      </c>
      <c r="F33" s="8">
        <v>1</v>
      </c>
      <c r="G33" s="97">
        <f>VLOOKUP($A33,'Model Inputs'!$A:$D,4,FALSE)</f>
        <v>0.11</v>
      </c>
      <c r="H33" s="8">
        <f>H31*30</f>
        <v>30</v>
      </c>
      <c r="I33" s="22">
        <f>VLOOKUP(C33,Resources!B:G,6,FALSE)</f>
        <v>42</v>
      </c>
      <c r="J33" s="139">
        <f t="shared" ref="J33:J34" si="35">(H33/(G33/F33))*I33</f>
        <v>11454.545454545456</v>
      </c>
      <c r="K33" s="139">
        <f t="shared" ref="K33:K34" si="36">IF(E33="M",H33,(H33/(G33)*F33))</f>
        <v>272.72727272727275</v>
      </c>
      <c r="L33" s="139">
        <f>IF(E33="M"," ",K33/F33)/Workhrs</f>
        <v>30.303030303030305</v>
      </c>
      <c r="M33" s="139">
        <f t="shared" ref="M33:M34" si="37">IF($E33="L",$J33,0)</f>
        <v>11454.545454545456</v>
      </c>
      <c r="N33" s="139">
        <f t="shared" ref="N33:N34" si="38">IF($E33="M",$J33,0)</f>
        <v>0</v>
      </c>
      <c r="O33" s="139">
        <f t="shared" ref="O33:O34" si="39">IF($E33="P",$J33,0)</f>
        <v>0</v>
      </c>
      <c r="P33" s="139">
        <f>IF($E33="S",$J33,0)</f>
        <v>0</v>
      </c>
      <c r="Q33" s="139">
        <f t="shared" ref="Q33:Q34" si="40">SUM(M33:P33)</f>
        <v>11454.545454545456</v>
      </c>
      <c r="R33" s="156">
        <v>141</v>
      </c>
    </row>
    <row r="34" spans="1:22" x14ac:dyDescent="0.35">
      <c r="A34" s="27"/>
      <c r="B34" s="92">
        <v>3</v>
      </c>
      <c r="C34" s="19" t="s">
        <v>146</v>
      </c>
      <c r="D34" s="3" t="s">
        <v>39</v>
      </c>
      <c r="E34" s="27" t="str">
        <f>VLOOKUP(C34,Resources!B:D,3,FALSE)</f>
        <v>P</v>
      </c>
      <c r="F34" s="8">
        <v>1</v>
      </c>
      <c r="G34" s="8">
        <v>1</v>
      </c>
      <c r="H34" s="8">
        <f>H31*35</f>
        <v>35</v>
      </c>
      <c r="I34" s="22">
        <f>VLOOKUP(C34,Resources!B:G,6,FALSE)</f>
        <v>125</v>
      </c>
      <c r="J34" s="139">
        <f t="shared" si="35"/>
        <v>4375</v>
      </c>
      <c r="K34" s="139">
        <f t="shared" si="36"/>
        <v>35</v>
      </c>
      <c r="L34" s="139">
        <f t="shared" ref="L34" si="41">IF(E34="M"," ",H34/(G34*F34))</f>
        <v>35</v>
      </c>
      <c r="M34" s="139">
        <f t="shared" si="37"/>
        <v>0</v>
      </c>
      <c r="N34" s="139">
        <f t="shared" si="38"/>
        <v>0</v>
      </c>
      <c r="O34" s="139">
        <f t="shared" si="39"/>
        <v>4375</v>
      </c>
      <c r="P34" s="139">
        <f>IF($E34="S",$J34,0)</f>
        <v>0</v>
      </c>
      <c r="Q34" s="139">
        <f t="shared" si="40"/>
        <v>4375</v>
      </c>
      <c r="R34" s="156">
        <v>141</v>
      </c>
    </row>
    <row r="35" spans="1:22" x14ac:dyDescent="0.35">
      <c r="C35" s="6" t="s">
        <v>402</v>
      </c>
      <c r="F35" s="9"/>
      <c r="G35" s="9"/>
      <c r="H35" s="9"/>
      <c r="I35" s="9"/>
    </row>
    <row r="36" spans="1:22" ht="30" x14ac:dyDescent="0.35">
      <c r="A36" s="26">
        <v>11</v>
      </c>
      <c r="B36" s="94" t="s">
        <v>40</v>
      </c>
      <c r="C36" s="1" t="s">
        <v>41</v>
      </c>
      <c r="D36" s="2" t="s">
        <v>17</v>
      </c>
      <c r="E36" s="24"/>
      <c r="F36" s="7"/>
      <c r="G36" s="7"/>
      <c r="H36" s="97">
        <f>VLOOKUP($A36,'Model Inputs'!$A:$D,4,FALSE)</f>
        <v>1</v>
      </c>
      <c r="I36" s="7"/>
      <c r="J36" s="138">
        <f>SUBTOTAL(9,J37:J38)</f>
        <v>6600</v>
      </c>
      <c r="K36" s="138"/>
      <c r="L36" s="138">
        <v>0</v>
      </c>
      <c r="M36" s="138">
        <f t="shared" ref="M36:Q36" si="42">SUBTOTAL(9,M37:M38)</f>
        <v>6600</v>
      </c>
      <c r="N36" s="138">
        <f t="shared" si="42"/>
        <v>0</v>
      </c>
      <c r="O36" s="138">
        <f t="shared" si="42"/>
        <v>0</v>
      </c>
      <c r="P36" s="138">
        <f t="shared" si="42"/>
        <v>0</v>
      </c>
      <c r="Q36" s="138">
        <f t="shared" si="42"/>
        <v>6600</v>
      </c>
      <c r="R36" s="155"/>
    </row>
    <row r="37" spans="1:22" x14ac:dyDescent="0.35">
      <c r="A37" s="27"/>
      <c r="B37" s="92">
        <v>1</v>
      </c>
      <c r="C37" s="5" t="s">
        <v>30</v>
      </c>
      <c r="D37" s="3" t="s">
        <v>19</v>
      </c>
      <c r="E37" s="27" t="str">
        <f>VLOOKUP(C37,Resources!B:D,3,FALSE)</f>
        <v>L</v>
      </c>
      <c r="F37" s="8">
        <v>1</v>
      </c>
      <c r="G37" s="8">
        <v>1</v>
      </c>
      <c r="H37" s="8">
        <f>H36</f>
        <v>1</v>
      </c>
      <c r="I37" s="22">
        <f>VLOOKUP(C37,Resources!B:G,6,FALSE)</f>
        <v>3350</v>
      </c>
      <c r="J37" s="139">
        <f t="shared" ref="J37:J38" si="43">(H37/(G37/F37))*I37</f>
        <v>3350</v>
      </c>
      <c r="K37" s="139">
        <f t="shared" ref="K37:K38" si="44">IF(E37="M",H37,(H37/(G37)*F37))</f>
        <v>1</v>
      </c>
      <c r="L37" s="139">
        <f t="shared" ref="L37:L38" si="45">IF(E37="M"," ",H37/(G37*F37))</f>
        <v>1</v>
      </c>
      <c r="M37" s="139">
        <f t="shared" ref="M37:M38" si="46">IF($E37="L",$J37,0)</f>
        <v>3350</v>
      </c>
      <c r="N37" s="139">
        <f t="shared" ref="N37:N38" si="47">IF($E37="M",$J37,0)</f>
        <v>0</v>
      </c>
      <c r="O37" s="139">
        <f t="shared" ref="O37:O38" si="48">IF($E37="P",$J37,0)</f>
        <v>0</v>
      </c>
      <c r="P37" s="139">
        <f>IF($E37="S",$J37,0)</f>
        <v>0</v>
      </c>
      <c r="Q37" s="139">
        <f t="shared" ref="Q37:Q38" si="49">SUM(M37:P37)</f>
        <v>3350</v>
      </c>
      <c r="R37" s="156">
        <v>902</v>
      </c>
    </row>
    <row r="38" spans="1:22" x14ac:dyDescent="0.35">
      <c r="A38" s="27"/>
      <c r="B38" s="92">
        <v>2</v>
      </c>
      <c r="C38" s="19" t="s">
        <v>18</v>
      </c>
      <c r="D38" s="3" t="s">
        <v>19</v>
      </c>
      <c r="E38" s="27" t="str">
        <f>VLOOKUP(C38,Resources!B:D,3,FALSE)</f>
        <v>L</v>
      </c>
      <c r="F38" s="8">
        <v>1</v>
      </c>
      <c r="G38" s="8">
        <v>1</v>
      </c>
      <c r="H38" s="8">
        <f>H36</f>
        <v>1</v>
      </c>
      <c r="I38" s="22">
        <f>VLOOKUP(C38,Resources!B:G,6,FALSE)</f>
        <v>3250</v>
      </c>
      <c r="J38" s="139">
        <f t="shared" si="43"/>
        <v>3250</v>
      </c>
      <c r="K38" s="139">
        <f t="shared" si="44"/>
        <v>1</v>
      </c>
      <c r="L38" s="139">
        <f t="shared" si="45"/>
        <v>1</v>
      </c>
      <c r="M38" s="139">
        <f t="shared" si="46"/>
        <v>3250</v>
      </c>
      <c r="N38" s="139">
        <f t="shared" si="47"/>
        <v>0</v>
      </c>
      <c r="O38" s="139">
        <f t="shared" si="48"/>
        <v>0</v>
      </c>
      <c r="P38" s="139">
        <f>IF($E38="S",$J38,0)</f>
        <v>0</v>
      </c>
      <c r="Q38" s="139">
        <f t="shared" si="49"/>
        <v>3250</v>
      </c>
      <c r="R38" s="156">
        <v>902</v>
      </c>
    </row>
    <row r="39" spans="1:22" x14ac:dyDescent="0.35">
      <c r="C39" s="6" t="s">
        <v>402</v>
      </c>
      <c r="F39" s="9"/>
      <c r="G39" s="9"/>
      <c r="H39" s="9"/>
      <c r="I39" s="9"/>
    </row>
    <row r="40" spans="1:22" ht="30" x14ac:dyDescent="0.35">
      <c r="A40" s="26">
        <v>12</v>
      </c>
      <c r="B40" s="94" t="s">
        <v>42</v>
      </c>
      <c r="C40" s="1" t="s">
        <v>43</v>
      </c>
      <c r="D40" s="2" t="s">
        <v>17</v>
      </c>
      <c r="E40" s="24"/>
      <c r="F40" s="7"/>
      <c r="G40" s="7"/>
      <c r="H40" s="97">
        <f>VLOOKUP($A40,'Model Inputs'!$A:$D,4,FALSE)</f>
        <v>1</v>
      </c>
      <c r="I40" s="7"/>
      <c r="J40" s="138">
        <f>SUBTOTAL(9,J41:J44)</f>
        <v>5050</v>
      </c>
      <c r="K40" s="138"/>
      <c r="L40" s="138">
        <f>ROUNDUP(MAX(L43:L44),0)</f>
        <v>2</v>
      </c>
      <c r="M40" s="138">
        <f t="shared" ref="M40:Q40" si="50">SUBTOTAL(9,M41:M44)</f>
        <v>2100</v>
      </c>
      <c r="N40" s="138">
        <f t="shared" si="50"/>
        <v>2000</v>
      </c>
      <c r="O40" s="138">
        <f t="shared" si="50"/>
        <v>950</v>
      </c>
      <c r="P40" s="138">
        <f t="shared" si="50"/>
        <v>0</v>
      </c>
      <c r="Q40" s="138">
        <f t="shared" si="50"/>
        <v>5050</v>
      </c>
      <c r="R40" s="155"/>
    </row>
    <row r="41" spans="1:22" x14ac:dyDescent="0.35">
      <c r="A41" s="27">
        <v>12.1</v>
      </c>
      <c r="B41" s="92">
        <v>1</v>
      </c>
      <c r="C41" s="19" t="s">
        <v>44</v>
      </c>
      <c r="D41" s="3" t="s">
        <v>45</v>
      </c>
      <c r="E41" s="27" t="str">
        <f>VLOOKUP(C41,Resources!B:D,3,FALSE)</f>
        <v>M</v>
      </c>
      <c r="F41" s="8">
        <v>1</v>
      </c>
      <c r="G41" s="8">
        <v>1</v>
      </c>
      <c r="H41" s="97">
        <f>VLOOKUP($A41,'Model Inputs'!$A:$D,4,FALSE)</f>
        <v>500</v>
      </c>
      <c r="I41" s="22">
        <f>VLOOKUP(C41,Resources!B:G,6,FALSE)</f>
        <v>2</v>
      </c>
      <c r="J41" s="139">
        <f t="shared" ref="J41:J44" si="51">(H41/(G41/F41))*I41</f>
        <v>1000</v>
      </c>
      <c r="K41" s="139">
        <f t="shared" ref="K41:K42" si="52">IF(E41="M",H41,(H41/(G41)*F41))</f>
        <v>500</v>
      </c>
      <c r="L41" s="139" t="str">
        <f>IF(E41="M"," ",K41/F41/Workhrs)</f>
        <v xml:space="preserve"> </v>
      </c>
      <c r="M41" s="139">
        <f t="shared" ref="M41:M44" si="53">IF($E41="L",$J41,0)</f>
        <v>0</v>
      </c>
      <c r="N41" s="139">
        <f t="shared" ref="N41:N44" si="54">IF($E41="M",$J41,0)</f>
        <v>1000</v>
      </c>
      <c r="O41" s="139">
        <f t="shared" ref="O41:O44" si="55">IF($E41="P",$J41,0)</f>
        <v>0</v>
      </c>
      <c r="P41" s="139">
        <f>IF($E41="S",$J41,0)</f>
        <v>0</v>
      </c>
      <c r="Q41" s="139">
        <f t="shared" ref="Q41:Q44" si="56">SUM(M41:P41)</f>
        <v>1000</v>
      </c>
      <c r="R41" s="156">
        <v>151</v>
      </c>
    </row>
    <row r="42" spans="1:22" x14ac:dyDescent="0.35">
      <c r="A42" s="27"/>
      <c r="B42" s="92">
        <v>2</v>
      </c>
      <c r="C42" s="19" t="s">
        <v>46</v>
      </c>
      <c r="D42" s="3" t="s">
        <v>23</v>
      </c>
      <c r="E42" s="27" t="str">
        <f>VLOOKUP(C42,Resources!B:D,3,FALSE)</f>
        <v>M</v>
      </c>
      <c r="F42" s="8">
        <v>1</v>
      </c>
      <c r="G42" s="8">
        <v>1</v>
      </c>
      <c r="H42" s="8">
        <f>H41/3</f>
        <v>166.66666666666666</v>
      </c>
      <c r="I42" s="22">
        <f>VLOOKUP(C42,Resources!B:G,6,FALSE)</f>
        <v>6</v>
      </c>
      <c r="J42" s="139">
        <f t="shared" si="51"/>
        <v>1000</v>
      </c>
      <c r="K42" s="139">
        <f t="shared" si="52"/>
        <v>166.66666666666666</v>
      </c>
      <c r="L42" s="139" t="str">
        <f>IF(E42="M"," ",K42/F42/Workhrs)</f>
        <v xml:space="preserve"> </v>
      </c>
      <c r="M42" s="139">
        <f t="shared" si="53"/>
        <v>0</v>
      </c>
      <c r="N42" s="139">
        <f t="shared" si="54"/>
        <v>1000</v>
      </c>
      <c r="O42" s="139">
        <f t="shared" si="55"/>
        <v>0</v>
      </c>
      <c r="P42" s="139">
        <f>IF($E42="S",$J42,0)</f>
        <v>0</v>
      </c>
      <c r="Q42" s="139">
        <f t="shared" si="56"/>
        <v>1000</v>
      </c>
      <c r="R42" s="156">
        <v>151</v>
      </c>
    </row>
    <row r="43" spans="1:22" x14ac:dyDescent="0.35">
      <c r="A43" s="27">
        <v>12.2</v>
      </c>
      <c r="B43" s="92">
        <v>3</v>
      </c>
      <c r="C43" s="19" t="s">
        <v>8</v>
      </c>
      <c r="D43" s="3" t="s">
        <v>26</v>
      </c>
      <c r="E43" s="27" t="str">
        <f>VLOOKUP(C43,Resources!B:D,3,FALSE)</f>
        <v>L</v>
      </c>
      <c r="F43" s="8">
        <v>5</v>
      </c>
      <c r="G43" s="97">
        <f>VLOOKUP($A43,'Model Inputs'!$A:$D,4,FALSE)</f>
        <v>50</v>
      </c>
      <c r="H43" s="8">
        <f>H41</f>
        <v>500</v>
      </c>
      <c r="I43" s="22">
        <f>VLOOKUP(C43,Resources!B:G,6,FALSE)</f>
        <v>42</v>
      </c>
      <c r="J43" s="139">
        <f t="shared" si="51"/>
        <v>2100</v>
      </c>
      <c r="K43" s="139">
        <f>IF(E43="M",H43,(H43/(G43)*F43))</f>
        <v>50</v>
      </c>
      <c r="L43" s="139">
        <f>IF(E43="M"," ",K43/F43/Workhrs)</f>
        <v>1.1111111111111112</v>
      </c>
      <c r="M43" s="139">
        <f t="shared" si="53"/>
        <v>2100</v>
      </c>
      <c r="N43" s="139">
        <f t="shared" si="54"/>
        <v>0</v>
      </c>
      <c r="O43" s="139">
        <f t="shared" si="55"/>
        <v>0</v>
      </c>
      <c r="P43" s="139">
        <f>IF($E43="S",$J43,0)</f>
        <v>0</v>
      </c>
      <c r="Q43" s="139">
        <f t="shared" si="56"/>
        <v>2100</v>
      </c>
      <c r="R43" s="156">
        <v>151</v>
      </c>
      <c r="U43" s="100"/>
    </row>
    <row r="44" spans="1:22" x14ac:dyDescent="0.35">
      <c r="A44" s="27"/>
      <c r="B44" s="92">
        <v>4</v>
      </c>
      <c r="C44" s="19" t="s">
        <v>47</v>
      </c>
      <c r="D44" s="3" t="s">
        <v>26</v>
      </c>
      <c r="E44" s="27" t="str">
        <f>VLOOKUP(C44,Resources!B:D,3,FALSE)</f>
        <v>P</v>
      </c>
      <c r="F44" s="8">
        <v>1</v>
      </c>
      <c r="G44" s="8">
        <v>50</v>
      </c>
      <c r="H44" s="8">
        <f>H41</f>
        <v>500</v>
      </c>
      <c r="I44" s="22">
        <f>VLOOKUP(C44,Resources!B:G,6,FALSE)</f>
        <v>95</v>
      </c>
      <c r="J44" s="139">
        <f t="shared" si="51"/>
        <v>950</v>
      </c>
      <c r="K44" s="139">
        <f>IF(E44="M",H44,(H44/(G44)*F44))</f>
        <v>10</v>
      </c>
      <c r="L44" s="139">
        <f>IF(E44="M"," ",K44/F44/Workhrs)</f>
        <v>1.1111111111111112</v>
      </c>
      <c r="M44" s="139">
        <f t="shared" si="53"/>
        <v>0</v>
      </c>
      <c r="N44" s="139">
        <f t="shared" si="54"/>
        <v>0</v>
      </c>
      <c r="O44" s="139">
        <f t="shared" si="55"/>
        <v>950</v>
      </c>
      <c r="P44" s="139">
        <f>IF($E44="S",$J44,0)</f>
        <v>0</v>
      </c>
      <c r="Q44" s="139">
        <f t="shared" si="56"/>
        <v>950</v>
      </c>
      <c r="R44" s="156">
        <v>151</v>
      </c>
    </row>
    <row r="45" spans="1:22" x14ac:dyDescent="0.35">
      <c r="C45" s="6" t="s">
        <v>402</v>
      </c>
      <c r="F45" s="9"/>
      <c r="G45" s="9"/>
      <c r="H45" s="9"/>
      <c r="I45" s="9"/>
    </row>
    <row r="46" spans="1:22" ht="30" x14ac:dyDescent="0.35">
      <c r="A46" s="26">
        <v>13</v>
      </c>
      <c r="B46" s="94" t="s">
        <v>48</v>
      </c>
      <c r="C46" s="1" t="s">
        <v>49</v>
      </c>
      <c r="D46" s="2" t="s">
        <v>17</v>
      </c>
      <c r="E46" s="24"/>
      <c r="F46" s="7"/>
      <c r="G46" s="7"/>
      <c r="H46" s="97">
        <f>VLOOKUP($A46,'Model Inputs'!$A:$D,4,FALSE)</f>
        <v>1</v>
      </c>
      <c r="I46" s="7"/>
      <c r="J46" s="138">
        <f>SUBTOTAL(9,J48:J52)</f>
        <v>11683.333333333334</v>
      </c>
      <c r="K46" s="138"/>
      <c r="L46" s="138">
        <f>ROUNDUP(MAX(L48:L51),0)</f>
        <v>2</v>
      </c>
      <c r="M46" s="138">
        <f t="shared" ref="M46:Q46" si="57">SUBTOTAL(9,M48:M52)</f>
        <v>2100</v>
      </c>
      <c r="N46" s="138">
        <f t="shared" si="57"/>
        <v>0</v>
      </c>
      <c r="O46" s="138">
        <f t="shared" si="57"/>
        <v>7083.3333333333339</v>
      </c>
      <c r="P46" s="138">
        <f t="shared" si="57"/>
        <v>2500</v>
      </c>
      <c r="Q46" s="138">
        <f t="shared" si="57"/>
        <v>11683.333333333334</v>
      </c>
      <c r="R46" s="155"/>
    </row>
    <row r="47" spans="1:22" s="98" customFormat="1" x14ac:dyDescent="0.35">
      <c r="A47" s="27"/>
      <c r="B47" s="92"/>
      <c r="C47" s="19" t="s">
        <v>658</v>
      </c>
      <c r="D47" s="16"/>
      <c r="E47" s="27"/>
      <c r="F47" s="22"/>
      <c r="G47" s="22"/>
      <c r="H47" s="22"/>
      <c r="I47" s="22"/>
      <c r="J47" s="139"/>
      <c r="K47" s="139"/>
      <c r="L47" s="139"/>
      <c r="M47" s="139"/>
      <c r="N47" s="139"/>
      <c r="O47" s="139"/>
      <c r="P47" s="139"/>
      <c r="Q47" s="139"/>
      <c r="R47" s="156"/>
      <c r="T47" s="247"/>
      <c r="U47"/>
      <c r="V47" s="277"/>
    </row>
    <row r="48" spans="1:22" x14ac:dyDescent="0.35">
      <c r="A48" s="27">
        <v>13.1</v>
      </c>
      <c r="B48" s="92">
        <v>1</v>
      </c>
      <c r="C48" s="19" t="s">
        <v>50</v>
      </c>
      <c r="D48" s="3" t="s">
        <v>26</v>
      </c>
      <c r="E48" s="27" t="str">
        <f>VLOOKUP(C48,Resources!B:D,3,FALSE)</f>
        <v>P</v>
      </c>
      <c r="F48" s="8">
        <v>1</v>
      </c>
      <c r="G48" s="97">
        <f>VLOOKUP($A48,'Model Inputs'!$A:$D,4,FALSE)</f>
        <v>0.06</v>
      </c>
      <c r="H48" s="8">
        <f>H46</f>
        <v>1</v>
      </c>
      <c r="I48" s="22">
        <f>VLOOKUP(C48,Resources!B:G,6,FALSE)</f>
        <v>135</v>
      </c>
      <c r="J48" s="139">
        <f t="shared" ref="J48:J52" si="58">(H48/(G48/F48))*I48</f>
        <v>2250</v>
      </c>
      <c r="K48" s="139">
        <f t="shared" ref="K48:K52" si="59">IF(E48="M",H48,(H48/(G48)*F48))</f>
        <v>16.666666666666668</v>
      </c>
      <c r="L48" s="139">
        <f>IF(E48="M"," ",K48/F48/Workhrs)</f>
        <v>1.8518518518518521</v>
      </c>
      <c r="M48" s="139">
        <f t="shared" ref="M48:M52" si="60">IF($E48="L",$J48,0)</f>
        <v>0</v>
      </c>
      <c r="N48" s="139">
        <f t="shared" ref="N48:N52" si="61">IF($E48="M",$J48,0)</f>
        <v>0</v>
      </c>
      <c r="O48" s="139">
        <f t="shared" ref="O48:O52" si="62">IF($E48="P",$J48,0)</f>
        <v>2250</v>
      </c>
      <c r="P48" s="139">
        <f>IF($E48="S",$J48,0)</f>
        <v>0</v>
      </c>
      <c r="Q48" s="139">
        <f t="shared" ref="Q48:Q52" si="63">SUM(M48:P48)</f>
        <v>2250</v>
      </c>
      <c r="R48" s="156">
        <v>22</v>
      </c>
    </row>
    <row r="49" spans="1:18" x14ac:dyDescent="0.35">
      <c r="A49" s="27"/>
      <c r="B49" s="92">
        <v>2</v>
      </c>
      <c r="C49" s="19" t="s">
        <v>51</v>
      </c>
      <c r="D49" s="3" t="s">
        <v>26</v>
      </c>
      <c r="E49" s="27" t="str">
        <f>VLOOKUP(C49,Resources!B:D,3,FALSE)</f>
        <v>P</v>
      </c>
      <c r="F49" s="8">
        <v>2</v>
      </c>
      <c r="G49" s="8">
        <f>G48</f>
        <v>0.06</v>
      </c>
      <c r="H49" s="8">
        <f>H46</f>
        <v>1</v>
      </c>
      <c r="I49" s="22">
        <f>VLOOKUP(C49,Resources!B:G,6,FALSE)</f>
        <v>95</v>
      </c>
      <c r="J49" s="139">
        <f t="shared" si="58"/>
        <v>3166.666666666667</v>
      </c>
      <c r="K49" s="139">
        <f t="shared" si="59"/>
        <v>33.333333333333336</v>
      </c>
      <c r="L49" s="139">
        <f>IF(E49="M"," ",K49/F49/Workhrs)</f>
        <v>1.8518518518518521</v>
      </c>
      <c r="M49" s="139">
        <f t="shared" si="60"/>
        <v>0</v>
      </c>
      <c r="N49" s="139">
        <f t="shared" si="61"/>
        <v>0</v>
      </c>
      <c r="O49" s="139">
        <f t="shared" si="62"/>
        <v>3166.666666666667</v>
      </c>
      <c r="P49" s="139">
        <f>IF($E49="S",$J49,0)</f>
        <v>0</v>
      </c>
      <c r="Q49" s="139">
        <f t="shared" si="63"/>
        <v>3166.666666666667</v>
      </c>
      <c r="R49" s="156">
        <v>22</v>
      </c>
    </row>
    <row r="50" spans="1:18" x14ac:dyDescent="0.35">
      <c r="A50" s="27"/>
      <c r="B50" s="92">
        <v>3</v>
      </c>
      <c r="C50" s="19" t="s">
        <v>8</v>
      </c>
      <c r="D50" s="3" t="s">
        <v>26</v>
      </c>
      <c r="E50" s="27" t="str">
        <f>VLOOKUP(C50,Resources!B:D,3,FALSE)</f>
        <v>L</v>
      </c>
      <c r="F50" s="8">
        <v>3</v>
      </c>
      <c r="G50" s="8">
        <f>G48</f>
        <v>0.06</v>
      </c>
      <c r="H50" s="8">
        <f>H46</f>
        <v>1</v>
      </c>
      <c r="I50" s="22">
        <f>VLOOKUP(C50,Resources!B:G,6,FALSE)</f>
        <v>42</v>
      </c>
      <c r="J50" s="139">
        <f t="shared" si="58"/>
        <v>2100</v>
      </c>
      <c r="K50" s="139">
        <f t="shared" si="59"/>
        <v>50</v>
      </c>
      <c r="L50" s="139">
        <f>IF(E50="M"," ",K50/F50/Workhrs)</f>
        <v>1.8518518518518521</v>
      </c>
      <c r="M50" s="139">
        <f t="shared" si="60"/>
        <v>2100</v>
      </c>
      <c r="N50" s="139">
        <f t="shared" si="61"/>
        <v>0</v>
      </c>
      <c r="O50" s="139">
        <f t="shared" si="62"/>
        <v>0</v>
      </c>
      <c r="P50" s="139">
        <f>IF($E50="S",$J50,0)</f>
        <v>0</v>
      </c>
      <c r="Q50" s="139">
        <f t="shared" si="63"/>
        <v>2100</v>
      </c>
      <c r="R50" s="156">
        <v>22</v>
      </c>
    </row>
    <row r="51" spans="1:18" x14ac:dyDescent="0.35">
      <c r="A51" s="27"/>
      <c r="B51" s="92">
        <v>4</v>
      </c>
      <c r="C51" s="19" t="s">
        <v>52</v>
      </c>
      <c r="D51" s="3" t="s">
        <v>26</v>
      </c>
      <c r="E51" s="27" t="str">
        <f>VLOOKUP(C51,Resources!B:D,3,FALSE)</f>
        <v>P</v>
      </c>
      <c r="F51" s="8">
        <v>1</v>
      </c>
      <c r="G51" s="8">
        <f>G48</f>
        <v>0.06</v>
      </c>
      <c r="H51" s="8">
        <f>H46</f>
        <v>1</v>
      </c>
      <c r="I51" s="22">
        <f>VLOOKUP(C51,Resources!B:G,6,FALSE)</f>
        <v>100</v>
      </c>
      <c r="J51" s="139">
        <f t="shared" si="58"/>
        <v>1666.6666666666667</v>
      </c>
      <c r="K51" s="139">
        <f t="shared" si="59"/>
        <v>16.666666666666668</v>
      </c>
      <c r="L51" s="139">
        <f>IF(E51="M"," ",K51/F51/Workhrs)</f>
        <v>1.8518518518518521</v>
      </c>
      <c r="M51" s="139">
        <f t="shared" si="60"/>
        <v>0</v>
      </c>
      <c r="N51" s="139">
        <f t="shared" si="61"/>
        <v>0</v>
      </c>
      <c r="O51" s="139">
        <f t="shared" si="62"/>
        <v>1666.6666666666667</v>
      </c>
      <c r="P51" s="139">
        <f>IF($E51="S",$J51,0)</f>
        <v>0</v>
      </c>
      <c r="Q51" s="139">
        <f t="shared" si="63"/>
        <v>1666.6666666666667</v>
      </c>
      <c r="R51" s="156">
        <v>22</v>
      </c>
    </row>
    <row r="52" spans="1:18" x14ac:dyDescent="0.35">
      <c r="A52" s="27"/>
      <c r="B52" s="92">
        <v>5</v>
      </c>
      <c r="C52" s="19" t="s">
        <v>53</v>
      </c>
      <c r="D52" s="3" t="s">
        <v>54</v>
      </c>
      <c r="E52" s="27" t="str">
        <f>VLOOKUP(C52,Resources!B:D,3,FALSE)</f>
        <v>S</v>
      </c>
      <c r="F52" s="8">
        <v>1</v>
      </c>
      <c r="G52" s="8">
        <v>1</v>
      </c>
      <c r="H52" s="8">
        <f>H46*100</f>
        <v>100</v>
      </c>
      <c r="I52" s="22">
        <f>VLOOKUP(C52,Resources!B:G,6,FALSE)</f>
        <v>25</v>
      </c>
      <c r="J52" s="139">
        <f t="shared" si="58"/>
        <v>2500</v>
      </c>
      <c r="K52" s="139">
        <f t="shared" si="59"/>
        <v>100</v>
      </c>
      <c r="L52" s="139">
        <f>IF(E52="M"," ",K52/F52/Workhrs)</f>
        <v>11.111111111111111</v>
      </c>
      <c r="M52" s="139">
        <f t="shared" si="60"/>
        <v>0</v>
      </c>
      <c r="N52" s="139">
        <f t="shared" si="61"/>
        <v>0</v>
      </c>
      <c r="O52" s="139">
        <f t="shared" si="62"/>
        <v>0</v>
      </c>
      <c r="P52" s="139">
        <f>IF($E52="S",$J52,0)</f>
        <v>2500</v>
      </c>
      <c r="Q52" s="139">
        <f t="shared" si="63"/>
        <v>2500</v>
      </c>
      <c r="R52" s="156">
        <v>22</v>
      </c>
    </row>
    <row r="53" spans="1:18" x14ac:dyDescent="0.35">
      <c r="C53" s="6" t="s">
        <v>402</v>
      </c>
      <c r="F53" s="9"/>
      <c r="G53" s="9"/>
      <c r="H53" s="9"/>
      <c r="I53" s="9"/>
    </row>
    <row r="54" spans="1:18" ht="30" x14ac:dyDescent="0.35">
      <c r="A54" s="26">
        <v>14</v>
      </c>
      <c r="B54" s="94" t="s">
        <v>55</v>
      </c>
      <c r="C54" s="1" t="s">
        <v>56</v>
      </c>
      <c r="D54" s="2" t="s">
        <v>57</v>
      </c>
      <c r="E54" s="24"/>
      <c r="F54" s="7"/>
      <c r="G54" s="7"/>
      <c r="H54" s="97">
        <f>VLOOKUP($A54,'Model Inputs'!$A:$D,4,FALSE)</f>
        <v>20</v>
      </c>
      <c r="I54" s="7"/>
      <c r="J54" s="138">
        <f>SUBTOTAL(9,J55:J57)</f>
        <v>272</v>
      </c>
      <c r="K54" s="138"/>
      <c r="L54" s="138">
        <f>ROUNDUP(MAX(L55:L57),0)</f>
        <v>1</v>
      </c>
      <c r="M54" s="138">
        <f t="shared" ref="M54:Q54" si="64">SUBTOTAL(9,M55:M57)</f>
        <v>42</v>
      </c>
      <c r="N54" s="138">
        <f t="shared" si="64"/>
        <v>0</v>
      </c>
      <c r="O54" s="138">
        <f t="shared" si="64"/>
        <v>230</v>
      </c>
      <c r="P54" s="138">
        <f t="shared" si="64"/>
        <v>0</v>
      </c>
      <c r="Q54" s="138">
        <f t="shared" si="64"/>
        <v>272</v>
      </c>
      <c r="R54" s="155"/>
    </row>
    <row r="55" spans="1:18" x14ac:dyDescent="0.35">
      <c r="A55" s="27">
        <v>14.1</v>
      </c>
      <c r="B55" s="92">
        <v>1</v>
      </c>
      <c r="C55" s="19" t="s">
        <v>50</v>
      </c>
      <c r="D55" s="3" t="s">
        <v>26</v>
      </c>
      <c r="E55" s="27" t="str">
        <f>VLOOKUP(C55,Resources!B:D,3,FALSE)</f>
        <v>P</v>
      </c>
      <c r="F55" s="8">
        <v>1</v>
      </c>
      <c r="G55" s="97">
        <f>VLOOKUP($A55,'Model Inputs'!$A:$D,4,FALSE)</f>
        <v>20</v>
      </c>
      <c r="H55" s="8">
        <f>H54</f>
        <v>20</v>
      </c>
      <c r="I55" s="22">
        <f>VLOOKUP(C55,Resources!B:G,6,FALSE)</f>
        <v>135</v>
      </c>
      <c r="J55" s="139">
        <f t="shared" ref="J55:J57" si="65">(H55/(G55/F55))*I55</f>
        <v>135</v>
      </c>
      <c r="K55" s="139">
        <f t="shared" ref="K55:K57" si="66">IF(E55="M",H55,(H55/(G55)*F55))</f>
        <v>1</v>
      </c>
      <c r="L55" s="139">
        <f>IF(E55="M"," ",K55/F55/Workhrs)</f>
        <v>0.1111111111111111</v>
      </c>
      <c r="M55" s="139">
        <f t="shared" ref="M55:M57" si="67">IF($E55="L",$J55,0)</f>
        <v>0</v>
      </c>
      <c r="N55" s="139">
        <f t="shared" ref="N55:N57" si="68">IF($E55="M",$J55,0)</f>
        <v>0</v>
      </c>
      <c r="O55" s="139">
        <f t="shared" ref="O55:O57" si="69">IF($E55="P",$J55,0)</f>
        <v>135</v>
      </c>
      <c r="P55" s="139">
        <f>IF($E55="S",$J55,0)</f>
        <v>0</v>
      </c>
      <c r="Q55" s="139">
        <f t="shared" ref="Q55:Q57" si="70">SUM(M55:P55)</f>
        <v>135</v>
      </c>
      <c r="R55" s="156">
        <v>31</v>
      </c>
    </row>
    <row r="56" spans="1:18" x14ac:dyDescent="0.35">
      <c r="A56" s="27"/>
      <c r="B56" s="92">
        <v>2</v>
      </c>
      <c r="C56" s="19" t="s">
        <v>51</v>
      </c>
      <c r="D56" s="3" t="s">
        <v>26</v>
      </c>
      <c r="E56" s="27" t="str">
        <f>VLOOKUP(C56,Resources!B:D,3,FALSE)</f>
        <v>P</v>
      </c>
      <c r="F56" s="8">
        <v>1</v>
      </c>
      <c r="G56" s="8">
        <f>G55</f>
        <v>20</v>
      </c>
      <c r="H56" s="8">
        <f>H54</f>
        <v>20</v>
      </c>
      <c r="I56" s="22">
        <f>VLOOKUP(C56,Resources!B:G,6,FALSE)</f>
        <v>95</v>
      </c>
      <c r="J56" s="139">
        <f t="shared" si="65"/>
        <v>95</v>
      </c>
      <c r="K56" s="139">
        <f t="shared" si="66"/>
        <v>1</v>
      </c>
      <c r="L56" s="139">
        <f>IF(E56="M"," ",K56/F56/Workhrs)</f>
        <v>0.1111111111111111</v>
      </c>
      <c r="M56" s="139">
        <f t="shared" si="67"/>
        <v>0</v>
      </c>
      <c r="N56" s="139">
        <f t="shared" si="68"/>
        <v>0</v>
      </c>
      <c r="O56" s="139">
        <f t="shared" si="69"/>
        <v>95</v>
      </c>
      <c r="P56" s="139">
        <f>IF($E56="S",$J56,0)</f>
        <v>0</v>
      </c>
      <c r="Q56" s="139">
        <f t="shared" si="70"/>
        <v>95</v>
      </c>
      <c r="R56" s="156">
        <v>31</v>
      </c>
    </row>
    <row r="57" spans="1:18" x14ac:dyDescent="0.35">
      <c r="A57" s="27"/>
      <c r="B57" s="92">
        <v>3</v>
      </c>
      <c r="C57" s="19" t="s">
        <v>8</v>
      </c>
      <c r="D57" s="3" t="s">
        <v>26</v>
      </c>
      <c r="E57" s="27" t="str">
        <f>VLOOKUP(C57,Resources!B:D,3,FALSE)</f>
        <v>L</v>
      </c>
      <c r="F57" s="8">
        <v>1</v>
      </c>
      <c r="G57" s="8">
        <f>G55</f>
        <v>20</v>
      </c>
      <c r="H57" s="8">
        <f>H54</f>
        <v>20</v>
      </c>
      <c r="I57" s="22">
        <f>VLOOKUP(C57,Resources!B:G,6,FALSE)</f>
        <v>42</v>
      </c>
      <c r="J57" s="139">
        <f t="shared" si="65"/>
        <v>42</v>
      </c>
      <c r="K57" s="139">
        <f t="shared" si="66"/>
        <v>1</v>
      </c>
      <c r="L57" s="139">
        <f>IF(E57="M"," ",K57/F57/Workhrs)</f>
        <v>0.1111111111111111</v>
      </c>
      <c r="M57" s="139">
        <f t="shared" si="67"/>
        <v>42</v>
      </c>
      <c r="N57" s="139">
        <f t="shared" si="68"/>
        <v>0</v>
      </c>
      <c r="O57" s="139">
        <f t="shared" si="69"/>
        <v>0</v>
      </c>
      <c r="P57" s="139">
        <f>IF($E57="S",$J57,0)</f>
        <v>0</v>
      </c>
      <c r="Q57" s="139">
        <f t="shared" si="70"/>
        <v>42</v>
      </c>
      <c r="R57" s="156">
        <v>31</v>
      </c>
    </row>
    <row r="58" spans="1:18" x14ac:dyDescent="0.35">
      <c r="C58" s="6" t="s">
        <v>402</v>
      </c>
      <c r="F58" s="9"/>
      <c r="G58" s="9"/>
      <c r="H58" s="9"/>
      <c r="I58" s="9"/>
    </row>
    <row r="59" spans="1:18" ht="30" x14ac:dyDescent="0.35">
      <c r="A59" s="26">
        <v>15</v>
      </c>
      <c r="B59" s="94" t="s">
        <v>58</v>
      </c>
      <c r="C59" s="1" t="s">
        <v>59</v>
      </c>
      <c r="D59" s="2" t="s">
        <v>57</v>
      </c>
      <c r="E59" s="24"/>
      <c r="F59" s="7"/>
      <c r="G59" s="7"/>
      <c r="H59" s="97">
        <f>VLOOKUP($A59,'Model Inputs'!$A:$D,4,FALSE)</f>
        <v>1045</v>
      </c>
      <c r="I59" s="7"/>
      <c r="J59" s="138">
        <f>SUBTOTAL(9,J60:J63)</f>
        <v>14496.554892053284</v>
      </c>
      <c r="K59" s="138"/>
      <c r="L59" s="138">
        <f>ROUNDUP(MAX(L60:L63),0)</f>
        <v>3</v>
      </c>
      <c r="M59" s="138">
        <f t="shared" ref="M59:Q59" si="71">SUBTOTAL(9,M60:M63)</f>
        <v>2016.0771704180065</v>
      </c>
      <c r="N59" s="138">
        <f t="shared" si="71"/>
        <v>0</v>
      </c>
      <c r="O59" s="138">
        <f t="shared" si="71"/>
        <v>12480.477721635278</v>
      </c>
      <c r="P59" s="138">
        <f t="shared" si="71"/>
        <v>0</v>
      </c>
      <c r="Q59" s="138">
        <f t="shared" si="71"/>
        <v>14496.554892053284</v>
      </c>
      <c r="R59" s="155"/>
    </row>
    <row r="60" spans="1:18" x14ac:dyDescent="0.35">
      <c r="A60" s="27">
        <v>15.1</v>
      </c>
      <c r="B60" s="92">
        <v>1</v>
      </c>
      <c r="C60" s="19" t="s">
        <v>50</v>
      </c>
      <c r="D60" s="3" t="s">
        <v>26</v>
      </c>
      <c r="E60" s="27" t="str">
        <f>VLOOKUP(C60,Resources!B:D,3,FALSE)</f>
        <v>P</v>
      </c>
      <c r="F60" s="8">
        <v>1</v>
      </c>
      <c r="G60" s="97">
        <f>VLOOKUP($A60,'Model Inputs'!$A:$D,4,FALSE)</f>
        <v>43.54</v>
      </c>
      <c r="H60" s="8">
        <f>H59</f>
        <v>1045</v>
      </c>
      <c r="I60" s="22">
        <f>VLOOKUP(C60,Resources!B:G,6,FALSE)</f>
        <v>135</v>
      </c>
      <c r="J60" s="139">
        <f t="shared" ref="J60:J63" si="72">(H60/(G60/F60))*I60</f>
        <v>3240.1240238860819</v>
      </c>
      <c r="K60" s="139">
        <f t="shared" ref="K60:K63" si="73">IF(E60="M",H60,(H60/(G60)*F60))</f>
        <v>24.000918695452459</v>
      </c>
      <c r="L60" s="139">
        <f>IF(E60="M"," ",K60/F60/Workhrs)</f>
        <v>2.6667687439391621</v>
      </c>
      <c r="M60" s="139">
        <f t="shared" ref="M60:M63" si="74">IF($E60="L",$J60,0)</f>
        <v>0</v>
      </c>
      <c r="N60" s="139">
        <f t="shared" ref="N60:N63" si="75">IF($E60="M",$J60,0)</f>
        <v>0</v>
      </c>
      <c r="O60" s="139">
        <f t="shared" ref="O60:O63" si="76">IF($E60="P",$J60,0)</f>
        <v>3240.1240238860819</v>
      </c>
      <c r="P60" s="139">
        <f>IF($E60="S",$J60,0)</f>
        <v>0</v>
      </c>
      <c r="Q60" s="139">
        <f t="shared" ref="Q60:Q63" si="77">SUM(M60:P60)</f>
        <v>3240.1240238860819</v>
      </c>
      <c r="R60" s="156">
        <v>53</v>
      </c>
    </row>
    <row r="61" spans="1:18" x14ac:dyDescent="0.35">
      <c r="A61" s="27"/>
      <c r="B61" s="92">
        <v>2</v>
      </c>
      <c r="C61" s="19" t="s">
        <v>51</v>
      </c>
      <c r="D61" s="3" t="s">
        <v>26</v>
      </c>
      <c r="E61" s="27" t="str">
        <f>VLOOKUP(C61,Resources!B:D,3,FALSE)</f>
        <v>P</v>
      </c>
      <c r="F61" s="8">
        <v>3</v>
      </c>
      <c r="G61" s="8">
        <f>G60</f>
        <v>43.54</v>
      </c>
      <c r="H61" s="8">
        <f>H59</f>
        <v>1045</v>
      </c>
      <c r="I61" s="22">
        <f>VLOOKUP(C61,Resources!B:G,6,FALSE)</f>
        <v>95</v>
      </c>
      <c r="J61" s="139">
        <f t="shared" si="72"/>
        <v>6840.2618282039493</v>
      </c>
      <c r="K61" s="139">
        <f t="shared" si="73"/>
        <v>72.00275608635738</v>
      </c>
      <c r="L61" s="139">
        <f>IF(E61="M"," ",K61/F61/Workhrs)</f>
        <v>2.6667687439391621</v>
      </c>
      <c r="M61" s="139">
        <f t="shared" si="74"/>
        <v>0</v>
      </c>
      <c r="N61" s="139">
        <f t="shared" si="75"/>
        <v>0</v>
      </c>
      <c r="O61" s="139">
        <f t="shared" si="76"/>
        <v>6840.2618282039493</v>
      </c>
      <c r="P61" s="139">
        <f>IF($E61="S",$J61,0)</f>
        <v>0</v>
      </c>
      <c r="Q61" s="139">
        <f t="shared" si="77"/>
        <v>6840.2618282039493</v>
      </c>
      <c r="R61" s="156">
        <v>53</v>
      </c>
    </row>
    <row r="62" spans="1:18" x14ac:dyDescent="0.35">
      <c r="A62" s="27"/>
      <c r="B62" s="92">
        <v>3</v>
      </c>
      <c r="C62" s="19" t="s">
        <v>8</v>
      </c>
      <c r="D62" s="3" t="s">
        <v>26</v>
      </c>
      <c r="E62" s="27" t="str">
        <f>VLOOKUP(C62,Resources!B:D,3,FALSE)</f>
        <v>L</v>
      </c>
      <c r="F62" s="8">
        <v>2</v>
      </c>
      <c r="G62" s="8">
        <f>G60</f>
        <v>43.54</v>
      </c>
      <c r="H62" s="8">
        <f>H59</f>
        <v>1045</v>
      </c>
      <c r="I62" s="22">
        <f>VLOOKUP(C62,Resources!B:G,6,FALSE)</f>
        <v>42</v>
      </c>
      <c r="J62" s="139">
        <f t="shared" si="72"/>
        <v>2016.0771704180065</v>
      </c>
      <c r="K62" s="139">
        <f t="shared" si="73"/>
        <v>48.001837390904917</v>
      </c>
      <c r="L62" s="139">
        <f>IF(E62="M"," ",K62/F62/Workhrs)</f>
        <v>2.6667687439391621</v>
      </c>
      <c r="M62" s="139">
        <f t="shared" si="74"/>
        <v>2016.0771704180065</v>
      </c>
      <c r="N62" s="139">
        <f t="shared" si="75"/>
        <v>0</v>
      </c>
      <c r="O62" s="139">
        <f t="shared" si="76"/>
        <v>0</v>
      </c>
      <c r="P62" s="139">
        <f>IF($E62="S",$J62,0)</f>
        <v>0</v>
      </c>
      <c r="Q62" s="139">
        <f t="shared" si="77"/>
        <v>2016.0771704180065</v>
      </c>
      <c r="R62" s="156">
        <v>53</v>
      </c>
    </row>
    <row r="63" spans="1:18" x14ac:dyDescent="0.35">
      <c r="A63" s="27"/>
      <c r="B63" s="92">
        <v>4</v>
      </c>
      <c r="C63" s="19" t="s">
        <v>52</v>
      </c>
      <c r="D63" s="3" t="s">
        <v>26</v>
      </c>
      <c r="E63" s="27" t="str">
        <f>VLOOKUP(C63,Resources!B:D,3,FALSE)</f>
        <v>P</v>
      </c>
      <c r="F63" s="8">
        <v>1</v>
      </c>
      <c r="G63" s="8">
        <f>G60</f>
        <v>43.54</v>
      </c>
      <c r="H63" s="8">
        <f>H59</f>
        <v>1045</v>
      </c>
      <c r="I63" s="22">
        <f>VLOOKUP(C63,Resources!B:G,6,FALSE)</f>
        <v>100</v>
      </c>
      <c r="J63" s="139">
        <f t="shared" si="72"/>
        <v>2400.091869545246</v>
      </c>
      <c r="K63" s="139">
        <f t="shared" si="73"/>
        <v>24.000918695452459</v>
      </c>
      <c r="L63" s="139">
        <f>IF(E63="M"," ",K63/F63/Workhrs)</f>
        <v>2.6667687439391621</v>
      </c>
      <c r="M63" s="139">
        <f t="shared" si="74"/>
        <v>0</v>
      </c>
      <c r="N63" s="139">
        <f t="shared" si="75"/>
        <v>0</v>
      </c>
      <c r="O63" s="139">
        <f t="shared" si="76"/>
        <v>2400.091869545246</v>
      </c>
      <c r="P63" s="139">
        <f>IF($E63="S",$J63,0)</f>
        <v>0</v>
      </c>
      <c r="Q63" s="139">
        <f t="shared" si="77"/>
        <v>2400.091869545246</v>
      </c>
      <c r="R63" s="156">
        <v>53</v>
      </c>
    </row>
    <row r="64" spans="1:18" x14ac:dyDescent="0.35">
      <c r="C64" s="6" t="s">
        <v>402</v>
      </c>
      <c r="F64" s="9"/>
      <c r="G64" s="9"/>
      <c r="H64" s="9"/>
      <c r="I64" s="9"/>
    </row>
    <row r="65" spans="1:18" ht="30" x14ac:dyDescent="0.35">
      <c r="A65" s="26">
        <v>16</v>
      </c>
      <c r="B65" s="94" t="s">
        <v>60</v>
      </c>
      <c r="C65" s="1" t="s">
        <v>61</v>
      </c>
      <c r="D65" s="2" t="s">
        <v>57</v>
      </c>
      <c r="E65" s="24"/>
      <c r="F65" s="7"/>
      <c r="G65" s="7"/>
      <c r="H65" s="97">
        <f>VLOOKUP($A65,'Model Inputs'!$A:$D,4,FALSE)</f>
        <v>10</v>
      </c>
      <c r="I65" s="7"/>
      <c r="J65" s="138">
        <f>SUBTOTAL(9,J66:J76)</f>
        <v>922.37083708370835</v>
      </c>
      <c r="K65" s="138"/>
      <c r="L65" s="138">
        <f>ROUNDUP(MAX(L66:L69)+MAX(L72:L76),0)</f>
        <v>1</v>
      </c>
      <c r="M65" s="138">
        <f t="shared" ref="M65:Q65" si="78">SUBTOTAL(9,M66:M76)</f>
        <v>174.72907290729074</v>
      </c>
      <c r="N65" s="138">
        <f t="shared" si="78"/>
        <v>0</v>
      </c>
      <c r="O65" s="138">
        <f t="shared" si="78"/>
        <v>747.64176417641761</v>
      </c>
      <c r="P65" s="138">
        <f t="shared" si="78"/>
        <v>0</v>
      </c>
      <c r="Q65" s="138">
        <f t="shared" si="78"/>
        <v>922.37083708370835</v>
      </c>
      <c r="R65" s="155"/>
    </row>
    <row r="66" spans="1:18" x14ac:dyDescent="0.35">
      <c r="A66" s="27">
        <v>17.100000000000001</v>
      </c>
      <c r="B66" s="92">
        <v>1</v>
      </c>
      <c r="C66" s="19" t="s">
        <v>50</v>
      </c>
      <c r="D66" s="3" t="s">
        <v>26</v>
      </c>
      <c r="E66" s="27" t="str">
        <f>VLOOKUP(C66,Resources!B:D,3,FALSE)</f>
        <v>P</v>
      </c>
      <c r="F66" s="8">
        <v>1</v>
      </c>
      <c r="G66" s="97">
        <f>VLOOKUP($A66,'Model Inputs'!$A:$D,4,FALSE)</f>
        <v>10</v>
      </c>
      <c r="H66" s="8">
        <f>H65</f>
        <v>10</v>
      </c>
      <c r="I66" s="22">
        <f>VLOOKUP(C66,Resources!B:G,6,FALSE)</f>
        <v>135</v>
      </c>
      <c r="J66" s="139">
        <f t="shared" ref="J66:J69" si="79">(H66/(G66/F66))*I66</f>
        <v>135</v>
      </c>
      <c r="K66" s="139">
        <f t="shared" ref="K66:K69" si="80">IF(E66="M",H66,(H66/(G66)*F66))</f>
        <v>1</v>
      </c>
      <c r="L66" s="139">
        <f>IF(E66="M"," ",K66/F66/Workhrs)</f>
        <v>0.1111111111111111</v>
      </c>
      <c r="M66" s="139">
        <f t="shared" ref="M66:M69" si="81">IF($E66="L",$J66,0)</f>
        <v>0</v>
      </c>
      <c r="N66" s="139">
        <f t="shared" ref="N66:N69" si="82">IF($E66="M",$J66,0)</f>
        <v>0</v>
      </c>
      <c r="O66" s="139">
        <f t="shared" ref="O66:O69" si="83">IF($E66="P",$J66,0)</f>
        <v>135</v>
      </c>
      <c r="P66" s="139">
        <f>IF($E66="S",$J66,0)</f>
        <v>0</v>
      </c>
      <c r="Q66" s="139">
        <f t="shared" ref="Q66:Q69" si="84">SUM(M66:P66)</f>
        <v>135</v>
      </c>
      <c r="R66" s="156">
        <v>53</v>
      </c>
    </row>
    <row r="67" spans="1:18" x14ac:dyDescent="0.35">
      <c r="A67" s="27"/>
      <c r="B67" s="92">
        <v>2</v>
      </c>
      <c r="C67" s="19" t="s">
        <v>51</v>
      </c>
      <c r="D67" s="3" t="s">
        <v>26</v>
      </c>
      <c r="E67" s="27" t="str">
        <f>VLOOKUP(C67,Resources!B:D,3,FALSE)</f>
        <v>P</v>
      </c>
      <c r="F67" s="8">
        <v>1</v>
      </c>
      <c r="G67" s="8">
        <f>G66</f>
        <v>10</v>
      </c>
      <c r="H67" s="8">
        <f>H65</f>
        <v>10</v>
      </c>
      <c r="I67" s="22">
        <f>VLOOKUP(C67,Resources!B:G,6,FALSE)</f>
        <v>95</v>
      </c>
      <c r="J67" s="139">
        <f t="shared" si="79"/>
        <v>95</v>
      </c>
      <c r="K67" s="139">
        <f t="shared" si="80"/>
        <v>1</v>
      </c>
      <c r="L67" s="139">
        <f>IF(E67="M"," ",K67/F67/Workhrs)</f>
        <v>0.1111111111111111</v>
      </c>
      <c r="M67" s="139">
        <f t="shared" si="81"/>
        <v>0</v>
      </c>
      <c r="N67" s="139">
        <f t="shared" si="82"/>
        <v>0</v>
      </c>
      <c r="O67" s="139">
        <f t="shared" si="83"/>
        <v>95</v>
      </c>
      <c r="P67" s="139">
        <f>IF($E67="S",$J67,0)</f>
        <v>0</v>
      </c>
      <c r="Q67" s="139">
        <f t="shared" si="84"/>
        <v>95</v>
      </c>
      <c r="R67" s="156">
        <v>53</v>
      </c>
    </row>
    <row r="68" spans="1:18" x14ac:dyDescent="0.35">
      <c r="A68" s="27"/>
      <c r="B68" s="92">
        <v>3</v>
      </c>
      <c r="C68" s="19" t="s">
        <v>8</v>
      </c>
      <c r="D68" s="3" t="s">
        <v>26</v>
      </c>
      <c r="E68" s="27" t="str">
        <f>VLOOKUP(C68,Resources!B:D,3,FALSE)</f>
        <v>L</v>
      </c>
      <c r="F68" s="8">
        <v>2</v>
      </c>
      <c r="G68" s="8">
        <f>G66</f>
        <v>10</v>
      </c>
      <c r="H68" s="8">
        <f>H65</f>
        <v>10</v>
      </c>
      <c r="I68" s="22">
        <f>VLOOKUP(C68,Resources!B:G,6,FALSE)</f>
        <v>42</v>
      </c>
      <c r="J68" s="139">
        <f t="shared" si="79"/>
        <v>84</v>
      </c>
      <c r="K68" s="139">
        <f t="shared" si="80"/>
        <v>2</v>
      </c>
      <c r="L68" s="139">
        <f>IF(E68="M"," ",K68/F68/Workhrs)</f>
        <v>0.1111111111111111</v>
      </c>
      <c r="M68" s="139">
        <f t="shared" si="81"/>
        <v>84</v>
      </c>
      <c r="N68" s="139">
        <f t="shared" si="82"/>
        <v>0</v>
      </c>
      <c r="O68" s="139">
        <f t="shared" si="83"/>
        <v>0</v>
      </c>
      <c r="P68" s="139">
        <f>IF($E68="S",$J68,0)</f>
        <v>0</v>
      </c>
      <c r="Q68" s="139">
        <f t="shared" si="84"/>
        <v>84</v>
      </c>
      <c r="R68" s="156">
        <v>53</v>
      </c>
    </row>
    <row r="69" spans="1:18" x14ac:dyDescent="0.35">
      <c r="A69" s="27"/>
      <c r="B69" s="92">
        <v>4</v>
      </c>
      <c r="C69" s="19" t="s">
        <v>52</v>
      </c>
      <c r="D69" s="3" t="s">
        <v>26</v>
      </c>
      <c r="E69" s="27" t="str">
        <f>VLOOKUP(C69,Resources!B:D,3,FALSE)</f>
        <v>P</v>
      </c>
      <c r="F69" s="8">
        <v>1</v>
      </c>
      <c r="G69" s="8">
        <f>G66</f>
        <v>10</v>
      </c>
      <c r="H69" s="8">
        <f>H65</f>
        <v>10</v>
      </c>
      <c r="I69" s="22">
        <f>VLOOKUP(C69,Resources!B:G,6,FALSE)</f>
        <v>100</v>
      </c>
      <c r="J69" s="139">
        <f t="shared" si="79"/>
        <v>100</v>
      </c>
      <c r="K69" s="139">
        <f t="shared" si="80"/>
        <v>1</v>
      </c>
      <c r="L69" s="139">
        <f>IF(E69="M"," ",K69/F69/Workhrs)</f>
        <v>0.1111111111111111</v>
      </c>
      <c r="M69" s="139">
        <f t="shared" si="81"/>
        <v>0</v>
      </c>
      <c r="N69" s="139">
        <f t="shared" si="82"/>
        <v>0</v>
      </c>
      <c r="O69" s="139">
        <f t="shared" si="83"/>
        <v>100</v>
      </c>
      <c r="P69" s="139">
        <f>IF($E69="S",$J69,0)</f>
        <v>0</v>
      </c>
      <c r="Q69" s="139">
        <f t="shared" si="84"/>
        <v>100</v>
      </c>
      <c r="R69" s="156">
        <v>53</v>
      </c>
    </row>
    <row r="70" spans="1:18" ht="30" x14ac:dyDescent="0.35">
      <c r="B70" s="95">
        <v>5</v>
      </c>
      <c r="C70" s="6" t="s">
        <v>62</v>
      </c>
      <c r="F70" s="9"/>
      <c r="G70" s="9"/>
      <c r="H70" s="9"/>
      <c r="I70" s="9"/>
    </row>
    <row r="71" spans="1:18" ht="18" customHeight="1" x14ac:dyDescent="0.35">
      <c r="A71" s="27"/>
      <c r="B71" s="92">
        <v>6</v>
      </c>
      <c r="C71" s="5" t="s">
        <v>665</v>
      </c>
      <c r="D71" s="3"/>
      <c r="E71" s="27"/>
      <c r="F71" s="8"/>
      <c r="G71" s="8"/>
      <c r="H71" s="8">
        <f>H65*GCF</f>
        <v>24.000000000000004</v>
      </c>
      <c r="I71" s="8"/>
      <c r="J71" s="139"/>
      <c r="K71" s="139"/>
      <c r="L71" s="139"/>
      <c r="M71" s="139"/>
      <c r="N71" s="139"/>
      <c r="O71" s="139"/>
      <c r="P71" s="139"/>
      <c r="Q71" s="139"/>
      <c r="R71" s="156"/>
    </row>
    <row r="72" spans="1:18" x14ac:dyDescent="0.35">
      <c r="A72" s="27">
        <v>17.2</v>
      </c>
      <c r="B72" s="92">
        <v>7</v>
      </c>
      <c r="C72" s="19" t="s">
        <v>63</v>
      </c>
      <c r="D72" s="3" t="s">
        <v>26</v>
      </c>
      <c r="E72" s="27" t="str">
        <f>VLOOKUP(C72,Resources!B:D,3,FALSE)</f>
        <v>P</v>
      </c>
      <c r="F72" s="8">
        <v>1</v>
      </c>
      <c r="G72" s="97">
        <f>VLOOKUP($A72,'Model Inputs'!$A:$D,4,FALSE)</f>
        <v>33.33</v>
      </c>
      <c r="H72" s="8">
        <f>H71</f>
        <v>24.000000000000004</v>
      </c>
      <c r="I72" s="22">
        <f>VLOOKUP(C72,Resources!B:G,6,FALSE)</f>
        <v>135</v>
      </c>
      <c r="J72" s="139">
        <f t="shared" ref="J72:J76" si="85">(H72/(G72/F72))*I72</f>
        <v>97.20972097209723</v>
      </c>
      <c r="K72" s="139">
        <f t="shared" ref="K72:K76" si="86">IF(E72="M",H72,(H72/(G72)*F72))</f>
        <v>0.72007200720072018</v>
      </c>
      <c r="L72" s="139">
        <f>IF(E72="M"," ",K72/F72/Workhrs)</f>
        <v>8.0008000800080026E-2</v>
      </c>
      <c r="M72" s="139">
        <f t="shared" ref="M72:M76" si="87">IF($E72="L",$J72,0)</f>
        <v>0</v>
      </c>
      <c r="N72" s="139">
        <f t="shared" ref="N72:N76" si="88">IF($E72="M",$J72,0)</f>
        <v>0</v>
      </c>
      <c r="O72" s="139">
        <f t="shared" ref="O72:O76" si="89">IF($E72="P",$J72,0)</f>
        <v>97.20972097209723</v>
      </c>
      <c r="P72" s="139">
        <f>IF($E72="S",$J72,0)</f>
        <v>0</v>
      </c>
      <c r="Q72" s="139">
        <f t="shared" ref="Q72:Q76" si="90">SUM(M72:P72)</f>
        <v>97.20972097209723</v>
      </c>
      <c r="R72" s="156">
        <v>62</v>
      </c>
    </row>
    <row r="73" spans="1:18" x14ac:dyDescent="0.35">
      <c r="A73" s="27"/>
      <c r="B73" s="92">
        <v>8</v>
      </c>
      <c r="C73" s="19" t="s">
        <v>64</v>
      </c>
      <c r="D73" s="3" t="s">
        <v>26</v>
      </c>
      <c r="E73" s="27" t="str">
        <f>VLOOKUP(C73,Resources!B:D,3,FALSE)</f>
        <v>P</v>
      </c>
      <c r="F73" s="8">
        <v>2</v>
      </c>
      <c r="G73" s="8">
        <f>G72</f>
        <v>33.33</v>
      </c>
      <c r="H73" s="8">
        <f>H71</f>
        <v>24.000000000000004</v>
      </c>
      <c r="I73" s="22">
        <f>VLOOKUP(C73,Resources!B:G,6,FALSE)</f>
        <v>145</v>
      </c>
      <c r="J73" s="139">
        <f t="shared" si="85"/>
        <v>208.82088208820886</v>
      </c>
      <c r="K73" s="139">
        <f t="shared" si="86"/>
        <v>1.4401440144014404</v>
      </c>
      <c r="L73" s="139">
        <f>IF(E73="M"," ",K73/F73/Workhrs)</f>
        <v>8.0008000800080026E-2</v>
      </c>
      <c r="M73" s="139">
        <f t="shared" si="87"/>
        <v>0</v>
      </c>
      <c r="N73" s="139">
        <f t="shared" si="88"/>
        <v>0</v>
      </c>
      <c r="O73" s="139">
        <f t="shared" si="89"/>
        <v>208.82088208820886</v>
      </c>
      <c r="P73" s="139">
        <f>IF($E73="S",$J73,0)</f>
        <v>0</v>
      </c>
      <c r="Q73" s="139">
        <f t="shared" si="90"/>
        <v>208.82088208820886</v>
      </c>
      <c r="R73" s="156">
        <v>62</v>
      </c>
    </row>
    <row r="74" spans="1:18" x14ac:dyDescent="0.35">
      <c r="A74" s="27"/>
      <c r="B74" s="92">
        <v>9</v>
      </c>
      <c r="C74" s="19" t="s">
        <v>52</v>
      </c>
      <c r="D74" s="3" t="s">
        <v>26</v>
      </c>
      <c r="E74" s="27" t="str">
        <f>VLOOKUP(C74,Resources!B:D,3,FALSE)</f>
        <v>P</v>
      </c>
      <c r="F74" s="8">
        <v>1</v>
      </c>
      <c r="G74" s="8">
        <f>G72</f>
        <v>33.33</v>
      </c>
      <c r="H74" s="8">
        <f>H71</f>
        <v>24.000000000000004</v>
      </c>
      <c r="I74" s="22">
        <f>VLOOKUP(C74,Resources!B:G,6,FALSE)</f>
        <v>100</v>
      </c>
      <c r="J74" s="139">
        <f t="shared" si="85"/>
        <v>72.007200720072021</v>
      </c>
      <c r="K74" s="139">
        <f t="shared" si="86"/>
        <v>0.72007200720072018</v>
      </c>
      <c r="L74" s="139">
        <f>IF(E74="M"," ",K74/F74/Workhrs)</f>
        <v>8.0008000800080026E-2</v>
      </c>
      <c r="M74" s="139">
        <f t="shared" si="87"/>
        <v>0</v>
      </c>
      <c r="N74" s="139">
        <f t="shared" si="88"/>
        <v>0</v>
      </c>
      <c r="O74" s="139">
        <f t="shared" si="89"/>
        <v>72.007200720072021</v>
      </c>
      <c r="P74" s="139">
        <f>IF($E74="S",$J74,0)</f>
        <v>0</v>
      </c>
      <c r="Q74" s="139">
        <f t="shared" si="90"/>
        <v>72.007200720072021</v>
      </c>
      <c r="R74" s="156">
        <v>62</v>
      </c>
    </row>
    <row r="75" spans="1:18" x14ac:dyDescent="0.35">
      <c r="A75" s="27"/>
      <c r="B75" s="92">
        <v>10</v>
      </c>
      <c r="C75" s="19" t="s">
        <v>106</v>
      </c>
      <c r="D75" s="3" t="s">
        <v>26</v>
      </c>
      <c r="E75" s="27" t="str">
        <f>VLOOKUP(C75,Resources!B:D,3,FALSE)</f>
        <v>P</v>
      </c>
      <c r="F75" s="8">
        <v>1</v>
      </c>
      <c r="G75" s="8">
        <f>G72</f>
        <v>33.33</v>
      </c>
      <c r="H75" s="8">
        <f>H71</f>
        <v>24.000000000000004</v>
      </c>
      <c r="I75" s="22">
        <f>VLOOKUP(C75,Resources!B:G,6,FALSE)</f>
        <v>55</v>
      </c>
      <c r="J75" s="139">
        <f t="shared" si="85"/>
        <v>39.603960396039611</v>
      </c>
      <c r="K75" s="139">
        <f t="shared" si="86"/>
        <v>0.72007200720072018</v>
      </c>
      <c r="L75" s="139">
        <f>IF(E75="M"," ",K75/F75/Workhrs)</f>
        <v>8.0008000800080026E-2</v>
      </c>
      <c r="M75" s="139">
        <f t="shared" si="87"/>
        <v>0</v>
      </c>
      <c r="N75" s="139">
        <f t="shared" si="88"/>
        <v>0</v>
      </c>
      <c r="O75" s="139">
        <f t="shared" si="89"/>
        <v>39.603960396039611</v>
      </c>
      <c r="P75" s="139">
        <f>IF($E75="S",$J75,0)</f>
        <v>0</v>
      </c>
      <c r="Q75" s="139">
        <f t="shared" si="90"/>
        <v>39.603960396039611</v>
      </c>
      <c r="R75" s="156">
        <v>62</v>
      </c>
    </row>
    <row r="76" spans="1:18" x14ac:dyDescent="0.35">
      <c r="A76" s="27"/>
      <c r="B76" s="92">
        <v>11</v>
      </c>
      <c r="C76" s="19" t="s">
        <v>8</v>
      </c>
      <c r="D76" s="3" t="s">
        <v>26</v>
      </c>
      <c r="E76" s="27" t="str">
        <f>VLOOKUP(C76,Resources!B:D,3,FALSE)</f>
        <v>L</v>
      </c>
      <c r="F76" s="8">
        <v>3</v>
      </c>
      <c r="G76" s="8">
        <f>G72</f>
        <v>33.33</v>
      </c>
      <c r="H76" s="8">
        <f>H71</f>
        <v>24.000000000000004</v>
      </c>
      <c r="I76" s="22">
        <f>VLOOKUP(C76,Resources!B:G,6,FALSE)</f>
        <v>42</v>
      </c>
      <c r="J76" s="139">
        <f t="shared" si="85"/>
        <v>90.729072907290742</v>
      </c>
      <c r="K76" s="139">
        <f t="shared" si="86"/>
        <v>2.1602160216021606</v>
      </c>
      <c r="L76" s="139">
        <f>IF(E76="M"," ",K76/F76/Workhrs)</f>
        <v>8.0008000800080026E-2</v>
      </c>
      <c r="M76" s="139">
        <f t="shared" si="87"/>
        <v>90.729072907290742</v>
      </c>
      <c r="N76" s="139">
        <f t="shared" si="88"/>
        <v>0</v>
      </c>
      <c r="O76" s="139">
        <f t="shared" si="89"/>
        <v>0</v>
      </c>
      <c r="P76" s="139">
        <f>IF($E76="S",$J76,0)</f>
        <v>0</v>
      </c>
      <c r="Q76" s="139">
        <f t="shared" si="90"/>
        <v>90.729072907290742</v>
      </c>
      <c r="R76" s="156">
        <v>62</v>
      </c>
    </row>
    <row r="77" spans="1:18" x14ac:dyDescent="0.35">
      <c r="C77" s="6" t="s">
        <v>402</v>
      </c>
      <c r="F77" s="9"/>
      <c r="G77" s="9"/>
      <c r="H77" s="9"/>
      <c r="I77" s="9"/>
    </row>
    <row r="78" spans="1:18" ht="30" x14ac:dyDescent="0.35">
      <c r="A78" s="26"/>
      <c r="B78" s="94" t="s">
        <v>65</v>
      </c>
      <c r="C78" s="1" t="s">
        <v>66</v>
      </c>
      <c r="D78" s="2"/>
      <c r="E78" s="24"/>
      <c r="F78" s="7"/>
      <c r="G78" s="7"/>
      <c r="H78" s="7"/>
      <c r="I78" s="7"/>
      <c r="J78" s="138"/>
      <c r="K78" s="138"/>
      <c r="L78" s="138"/>
      <c r="M78" s="138"/>
      <c r="N78" s="138"/>
      <c r="O78" s="138"/>
      <c r="P78" s="138"/>
      <c r="Q78" s="138"/>
      <c r="R78" s="155"/>
    </row>
    <row r="79" spans="1:18" ht="30" x14ac:dyDescent="0.35">
      <c r="A79" s="26">
        <v>18</v>
      </c>
      <c r="B79" s="94" t="s">
        <v>67</v>
      </c>
      <c r="C79" s="1" t="s">
        <v>68</v>
      </c>
      <c r="D79" s="2" t="s">
        <v>17</v>
      </c>
      <c r="E79" s="24"/>
      <c r="F79" s="7"/>
      <c r="G79" s="7"/>
      <c r="H79" s="97">
        <f>VLOOKUP($A79,'Model Inputs'!$A:$D,4,FALSE)</f>
        <v>1</v>
      </c>
      <c r="I79" s="7"/>
      <c r="J79" s="138">
        <f>SUBTOTAL(9,J81:J82)</f>
        <v>1036</v>
      </c>
      <c r="K79" s="138"/>
      <c r="L79" s="138">
        <f>ROUNDUP(MAX(L81:L82),0)</f>
        <v>1</v>
      </c>
      <c r="M79" s="138">
        <f t="shared" ref="M79:Q79" si="91">SUBTOTAL(9,M81:M82)</f>
        <v>336</v>
      </c>
      <c r="N79" s="138">
        <f t="shared" si="91"/>
        <v>0</v>
      </c>
      <c r="O79" s="138">
        <f t="shared" si="91"/>
        <v>0</v>
      </c>
      <c r="P79" s="138">
        <f t="shared" si="91"/>
        <v>700</v>
      </c>
      <c r="Q79" s="138">
        <f t="shared" si="91"/>
        <v>1036</v>
      </c>
      <c r="R79" s="155"/>
    </row>
    <row r="80" spans="1:18" x14ac:dyDescent="0.35">
      <c r="B80" s="95">
        <v>1</v>
      </c>
      <c r="C80" s="6" t="s">
        <v>69</v>
      </c>
      <c r="F80" s="9"/>
      <c r="G80" s="9"/>
      <c r="H80" s="9"/>
      <c r="I80" s="9"/>
    </row>
    <row r="81" spans="1:18" x14ac:dyDescent="0.35">
      <c r="A81" s="27"/>
      <c r="B81" s="92">
        <v>2</v>
      </c>
      <c r="C81" s="19" t="s">
        <v>403</v>
      </c>
      <c r="D81" s="3" t="s">
        <v>23</v>
      </c>
      <c r="E81" s="27" t="str">
        <f>VLOOKUP(C81,Resources!B:D,3,FALSE)</f>
        <v>S</v>
      </c>
      <c r="F81" s="8">
        <v>1</v>
      </c>
      <c r="G81" s="8">
        <v>1</v>
      </c>
      <c r="H81" s="8">
        <f>H79*2</f>
        <v>2</v>
      </c>
      <c r="I81" s="22">
        <f>VLOOKUP(C81,Resources!B:G,6,FALSE)</f>
        <v>350</v>
      </c>
      <c r="J81" s="139">
        <f t="shared" ref="J81:J82" si="92">(H81/(G81/F81))*I81</f>
        <v>700</v>
      </c>
      <c r="K81" s="139">
        <f t="shared" ref="K81:K82" si="93">IF(E81="M",H81,(H81/(G81)*F81))</f>
        <v>2</v>
      </c>
      <c r="L81" s="139">
        <f>IF(E81="M"," ",K81/F81/Workhrs)</f>
        <v>0.22222222222222221</v>
      </c>
      <c r="M81" s="139">
        <f t="shared" ref="M81:M82" si="94">IF($E81="L",$J81,0)</f>
        <v>0</v>
      </c>
      <c r="N81" s="139">
        <f t="shared" ref="N81:N82" si="95">IF($E81="M",$J81,0)</f>
        <v>0</v>
      </c>
      <c r="O81" s="139">
        <f t="shared" ref="O81:O82" si="96">IF($E81="P",$J81,0)</f>
        <v>0</v>
      </c>
      <c r="P81" s="139">
        <f>IF($E81="S",$J81,0)</f>
        <v>700</v>
      </c>
      <c r="Q81" s="139">
        <f t="shared" ref="Q81:Q82" si="97">SUM(M81:P81)</f>
        <v>700</v>
      </c>
      <c r="R81" s="156">
        <v>75</v>
      </c>
    </row>
    <row r="82" spans="1:18" x14ac:dyDescent="0.35">
      <c r="A82" s="27">
        <v>18.100000000000001</v>
      </c>
      <c r="B82" s="92">
        <v>3</v>
      </c>
      <c r="C82" s="19" t="s">
        <v>8</v>
      </c>
      <c r="D82" s="3" t="s">
        <v>26</v>
      </c>
      <c r="E82" s="27" t="str">
        <f>VLOOKUP(C82,Resources!B:D,3,FALSE)</f>
        <v>L</v>
      </c>
      <c r="F82" s="8">
        <v>2</v>
      </c>
      <c r="G82" s="97">
        <f>VLOOKUP($A82,'Model Inputs'!$A:$D,4,FALSE)</f>
        <v>0.5</v>
      </c>
      <c r="H82" s="8">
        <f>H81</f>
        <v>2</v>
      </c>
      <c r="I82" s="22">
        <f>VLOOKUP(C82,Resources!B:G,6,FALSE)</f>
        <v>42</v>
      </c>
      <c r="J82" s="139">
        <f t="shared" si="92"/>
        <v>336</v>
      </c>
      <c r="K82" s="139">
        <f t="shared" si="93"/>
        <v>8</v>
      </c>
      <c r="L82" s="139">
        <f>IF(E82="M"," ",K82/F82/Workhrs)</f>
        <v>0.44444444444444442</v>
      </c>
      <c r="M82" s="139">
        <f t="shared" si="94"/>
        <v>336</v>
      </c>
      <c r="N82" s="139">
        <f t="shared" si="95"/>
        <v>0</v>
      </c>
      <c r="O82" s="139">
        <f t="shared" si="96"/>
        <v>0</v>
      </c>
      <c r="P82" s="139">
        <f>IF($E82="S",$J82,0)</f>
        <v>0</v>
      </c>
      <c r="Q82" s="139">
        <f t="shared" si="97"/>
        <v>336</v>
      </c>
      <c r="R82" s="156">
        <v>75</v>
      </c>
    </row>
    <row r="83" spans="1:18" x14ac:dyDescent="0.35">
      <c r="C83" s="6" t="s">
        <v>402</v>
      </c>
      <c r="F83" s="9"/>
      <c r="G83" s="9"/>
      <c r="H83" s="9"/>
      <c r="I83" s="9"/>
    </row>
    <row r="84" spans="1:18" ht="30" x14ac:dyDescent="0.35">
      <c r="A84" s="26">
        <v>19</v>
      </c>
      <c r="B84" s="94" t="s">
        <v>70</v>
      </c>
      <c r="C84" s="1" t="s">
        <v>71</v>
      </c>
      <c r="D84" s="2" t="s">
        <v>45</v>
      </c>
      <c r="E84" s="24"/>
      <c r="F84" s="7"/>
      <c r="G84" s="7"/>
      <c r="H84" s="97">
        <f>VLOOKUP($A84,'Model Inputs'!$A:$D,4,FALSE)</f>
        <v>308</v>
      </c>
      <c r="I84" s="7"/>
      <c r="J84" s="138">
        <f>SUBTOTAL(9,J86:J90)</f>
        <v>14424.145581395351</v>
      </c>
      <c r="K84" s="138"/>
      <c r="L84" s="138">
        <f>ROUNDUP(L89,0)</f>
        <v>2</v>
      </c>
      <c r="M84" s="138">
        <f t="shared" ref="M84:Q84" si="98">SUBTOTAL(9,M86:M90)</f>
        <v>0</v>
      </c>
      <c r="N84" s="138">
        <f t="shared" si="98"/>
        <v>6764.1455813953498</v>
      </c>
      <c r="O84" s="138">
        <f t="shared" si="98"/>
        <v>1500</v>
      </c>
      <c r="P84" s="138">
        <f t="shared" si="98"/>
        <v>6160</v>
      </c>
      <c r="Q84" s="138">
        <f t="shared" si="98"/>
        <v>14424.145581395351</v>
      </c>
      <c r="R84" s="155"/>
    </row>
    <row r="85" spans="1:18" ht="45" x14ac:dyDescent="0.35">
      <c r="B85" s="95">
        <v>1</v>
      </c>
      <c r="C85" s="6" t="s">
        <v>667</v>
      </c>
      <c r="F85" s="9"/>
      <c r="G85" s="9"/>
      <c r="H85" s="9"/>
      <c r="I85" s="9"/>
    </row>
    <row r="86" spans="1:18" x14ac:dyDescent="0.35">
      <c r="A86" s="27"/>
      <c r="B86" s="92">
        <v>2</v>
      </c>
      <c r="C86" s="19" t="s">
        <v>73</v>
      </c>
      <c r="D86" s="3" t="s">
        <v>74</v>
      </c>
      <c r="E86" s="27" t="str">
        <f>VLOOKUP(C86,Resources!B:D,3,FALSE)</f>
        <v>M</v>
      </c>
      <c r="F86" s="8">
        <v>1</v>
      </c>
      <c r="G86" s="8">
        <v>1</v>
      </c>
      <c r="H86" s="8">
        <f>H84/8.6</f>
        <v>35.813953488372093</v>
      </c>
      <c r="I86" s="22">
        <f>VLOOKUP(C86,Resources!B:G,6,FALSE)</f>
        <v>181</v>
      </c>
      <c r="J86" s="139">
        <f t="shared" ref="J86:J90" si="99">(H86/(G86/F86))*I86</f>
        <v>6482.3255813953492</v>
      </c>
      <c r="K86" s="139">
        <f t="shared" ref="K86:K90" si="100">IF(E86="M",H86,(H86/(G86)*F86))</f>
        <v>35.813953488372093</v>
      </c>
      <c r="L86" s="139" t="str">
        <f>IF(E86="M"," ",K86/F86/Workhrs)</f>
        <v xml:space="preserve"> </v>
      </c>
      <c r="M86" s="139">
        <f t="shared" ref="M86:M90" si="101">IF($E86="L",$J86,0)</f>
        <v>0</v>
      </c>
      <c r="N86" s="139">
        <f t="shared" ref="N86:N90" si="102">IF($E86="M",$J86,0)</f>
        <v>6482.3255813953492</v>
      </c>
      <c r="O86" s="139">
        <f t="shared" ref="O86:O90" si="103">IF($E86="P",$J86,0)</f>
        <v>0</v>
      </c>
      <c r="P86" s="139">
        <f>IF($E86="S",$J86,0)</f>
        <v>0</v>
      </c>
      <c r="Q86" s="139">
        <f t="shared" ref="Q86:Q90" si="104">SUM(M86:P86)</f>
        <v>6482.3255813953492</v>
      </c>
      <c r="R86" s="156" t="s">
        <v>691</v>
      </c>
    </row>
    <row r="87" spans="1:18" x14ac:dyDescent="0.35">
      <c r="A87" s="27"/>
      <c r="B87" s="92">
        <v>3</v>
      </c>
      <c r="C87" s="19" t="s">
        <v>75</v>
      </c>
      <c r="D87" s="3" t="s">
        <v>54</v>
      </c>
      <c r="E87" s="27" t="str">
        <f>VLOOKUP(C87,Resources!B:D,3,FALSE)</f>
        <v>M</v>
      </c>
      <c r="F87" s="8">
        <v>1</v>
      </c>
      <c r="G87" s="8">
        <v>1</v>
      </c>
      <c r="H87" s="8">
        <f>H84/75</f>
        <v>4.1066666666666665</v>
      </c>
      <c r="I87" s="22">
        <f>VLOOKUP(C87,Resources!B:G,6,FALSE)</f>
        <v>24</v>
      </c>
      <c r="J87" s="139">
        <f t="shared" si="99"/>
        <v>98.56</v>
      </c>
      <c r="K87" s="139">
        <f t="shared" si="100"/>
        <v>4.1066666666666665</v>
      </c>
      <c r="L87" s="139" t="str">
        <f>IF(E87="M"," ",K87/F87/Workhrs)</f>
        <v xml:space="preserve"> </v>
      </c>
      <c r="M87" s="139">
        <f t="shared" si="101"/>
        <v>0</v>
      </c>
      <c r="N87" s="139">
        <f t="shared" si="102"/>
        <v>98.56</v>
      </c>
      <c r="O87" s="139">
        <f t="shared" si="103"/>
        <v>0</v>
      </c>
      <c r="P87" s="139">
        <f>IF($E87="S",$J87,0)</f>
        <v>0</v>
      </c>
      <c r="Q87" s="139">
        <f t="shared" si="104"/>
        <v>98.56</v>
      </c>
      <c r="R87" s="156" t="s">
        <v>692</v>
      </c>
    </row>
    <row r="88" spans="1:18" x14ac:dyDescent="0.35">
      <c r="A88" s="27"/>
      <c r="B88" s="92">
        <v>4</v>
      </c>
      <c r="C88" s="19" t="s">
        <v>76</v>
      </c>
      <c r="D88" s="3" t="s">
        <v>54</v>
      </c>
      <c r="E88" s="27" t="str">
        <f>VLOOKUP(C88,Resources!B:D,3,FALSE)</f>
        <v>M</v>
      </c>
      <c r="F88" s="8">
        <v>1</v>
      </c>
      <c r="G88" s="8">
        <v>1</v>
      </c>
      <c r="H88" s="8">
        <f>H87/8</f>
        <v>0.51333333333333331</v>
      </c>
      <c r="I88" s="22">
        <f>VLOOKUP(C88,Resources!B:G,6,FALSE)</f>
        <v>357</v>
      </c>
      <c r="J88" s="139">
        <f t="shared" si="99"/>
        <v>183.26</v>
      </c>
      <c r="K88" s="139">
        <f t="shared" si="100"/>
        <v>0.51333333333333331</v>
      </c>
      <c r="L88" s="139" t="str">
        <f>IF(E88="M"," ",K88/F88/Workhrs)</f>
        <v xml:space="preserve"> </v>
      </c>
      <c r="M88" s="139">
        <f t="shared" si="101"/>
        <v>0</v>
      </c>
      <c r="N88" s="139">
        <f t="shared" si="102"/>
        <v>183.26</v>
      </c>
      <c r="O88" s="139">
        <f t="shared" si="103"/>
        <v>0</v>
      </c>
      <c r="P88" s="139">
        <f>IF($E88="S",$J88,0)</f>
        <v>0</v>
      </c>
      <c r="Q88" s="139">
        <f t="shared" si="104"/>
        <v>183.26</v>
      </c>
      <c r="R88" s="156">
        <v>71</v>
      </c>
    </row>
    <row r="89" spans="1:18" x14ac:dyDescent="0.35">
      <c r="A89" s="27"/>
      <c r="B89" s="92">
        <v>5</v>
      </c>
      <c r="C89" s="19" t="s">
        <v>77</v>
      </c>
      <c r="D89" s="3" t="s">
        <v>45</v>
      </c>
      <c r="E89" s="27" t="str">
        <f>VLOOKUP(C89,Resources!B:D,3,FALSE)</f>
        <v>S</v>
      </c>
      <c r="F89" s="8">
        <v>1</v>
      </c>
      <c r="G89" s="8">
        <v>1</v>
      </c>
      <c r="H89" s="8">
        <f>H84</f>
        <v>308</v>
      </c>
      <c r="I89" s="22">
        <f>VLOOKUP(C89,Resources!B:G,6,FALSE)</f>
        <v>20</v>
      </c>
      <c r="J89" s="139">
        <f t="shared" si="99"/>
        <v>6160</v>
      </c>
      <c r="K89" s="139">
        <f t="shared" si="100"/>
        <v>308</v>
      </c>
      <c r="L89" s="139">
        <f>IF(E89="M"," ",K89/(F89*(200/9))/Workhrs)</f>
        <v>1.54</v>
      </c>
      <c r="M89" s="139">
        <f t="shared" si="101"/>
        <v>0</v>
      </c>
      <c r="N89" s="139">
        <f t="shared" si="102"/>
        <v>0</v>
      </c>
      <c r="O89" s="139">
        <f t="shared" si="103"/>
        <v>0</v>
      </c>
      <c r="P89" s="139">
        <f>IF($E89="S",$J89,0)</f>
        <v>6160</v>
      </c>
      <c r="Q89" s="139">
        <f t="shared" si="104"/>
        <v>6160</v>
      </c>
      <c r="R89" s="156">
        <v>71</v>
      </c>
    </row>
    <row r="90" spans="1:18" x14ac:dyDescent="0.35">
      <c r="A90" s="27"/>
      <c r="B90" s="92">
        <v>6</v>
      </c>
      <c r="C90" s="19" t="s">
        <v>78</v>
      </c>
      <c r="D90" s="3" t="s">
        <v>17</v>
      </c>
      <c r="E90" s="27" t="str">
        <f>VLOOKUP(C90,Resources!B:D,3,FALSE)</f>
        <v>P</v>
      </c>
      <c r="F90" s="8">
        <v>1</v>
      </c>
      <c r="G90" s="8">
        <v>1</v>
      </c>
      <c r="H90" s="8">
        <v>1500</v>
      </c>
      <c r="I90" s="22">
        <f>VLOOKUP(C90,Resources!B:G,6,FALSE)</f>
        <v>1</v>
      </c>
      <c r="J90" s="139">
        <f t="shared" si="99"/>
        <v>1500</v>
      </c>
      <c r="K90" s="139">
        <f t="shared" si="100"/>
        <v>1500</v>
      </c>
      <c r="L90" s="139">
        <f>IF(E90="M"," ",K90/F90/Workhrs)</f>
        <v>166.66666666666666</v>
      </c>
      <c r="M90" s="139">
        <f t="shared" si="101"/>
        <v>0</v>
      </c>
      <c r="N90" s="139">
        <f t="shared" si="102"/>
        <v>0</v>
      </c>
      <c r="O90" s="139">
        <f t="shared" si="103"/>
        <v>1500</v>
      </c>
      <c r="P90" s="139">
        <f>IF($E90="S",$J90,0)</f>
        <v>0</v>
      </c>
      <c r="Q90" s="139">
        <f t="shared" si="104"/>
        <v>1500</v>
      </c>
      <c r="R90" s="156">
        <v>71</v>
      </c>
    </row>
    <row r="91" spans="1:18" x14ac:dyDescent="0.35">
      <c r="C91" s="6" t="s">
        <v>402</v>
      </c>
      <c r="F91" s="9"/>
      <c r="G91" s="9"/>
      <c r="H91" s="9"/>
      <c r="I91" s="9"/>
    </row>
    <row r="92" spans="1:18" ht="30" x14ac:dyDescent="0.35">
      <c r="A92" s="26">
        <v>20</v>
      </c>
      <c r="B92" s="94" t="s">
        <v>79</v>
      </c>
      <c r="C92" s="1" t="s">
        <v>80</v>
      </c>
      <c r="D92" s="2" t="s">
        <v>45</v>
      </c>
      <c r="E92" s="24"/>
      <c r="F92" s="7"/>
      <c r="G92" s="7"/>
      <c r="H92" s="97">
        <f>VLOOKUP($A92,'Model Inputs'!$A:$D,4,FALSE)</f>
        <v>260</v>
      </c>
      <c r="I92" s="7"/>
      <c r="J92" s="138">
        <f>SUBTOTAL(9,J94:J100)</f>
        <v>10119.78224077234</v>
      </c>
      <c r="K92" s="138"/>
      <c r="L92" s="138">
        <f>ROUNDUP(MAX(L97:L100),0)</f>
        <v>3</v>
      </c>
      <c r="M92" s="138">
        <f t="shared" ref="M92:Q92" si="105">SUBTOTAL(9,M94:M100)</f>
        <v>2948.6948694869488</v>
      </c>
      <c r="N92" s="138">
        <f t="shared" si="105"/>
        <v>1706.6409266409266</v>
      </c>
      <c r="O92" s="138">
        <f t="shared" si="105"/>
        <v>5464.4464446444645</v>
      </c>
      <c r="P92" s="138">
        <f t="shared" si="105"/>
        <v>0</v>
      </c>
      <c r="Q92" s="138">
        <f t="shared" si="105"/>
        <v>10119.78224077234</v>
      </c>
      <c r="R92" s="155"/>
    </row>
    <row r="93" spans="1:18" ht="30" x14ac:dyDescent="0.35">
      <c r="B93" s="95">
        <v>1</v>
      </c>
      <c r="C93" s="6" t="s">
        <v>81</v>
      </c>
      <c r="F93" s="9"/>
      <c r="G93" s="9"/>
      <c r="H93" s="9"/>
      <c r="I93" s="9"/>
    </row>
    <row r="94" spans="1:18" x14ac:dyDescent="0.35">
      <c r="A94" s="27"/>
      <c r="B94" s="92">
        <v>2</v>
      </c>
      <c r="C94" s="19" t="s">
        <v>82</v>
      </c>
      <c r="D94" s="3" t="s">
        <v>45</v>
      </c>
      <c r="E94" s="27" t="str">
        <f>VLOOKUP(C94,Resources!B:D,3,FALSE)</f>
        <v>M</v>
      </c>
      <c r="F94" s="8">
        <v>1</v>
      </c>
      <c r="G94" s="8">
        <v>1</v>
      </c>
      <c r="H94" s="8">
        <f>H92</f>
        <v>260</v>
      </c>
      <c r="I94" s="22">
        <f>VLOOKUP(C94,Resources!B:G,6,FALSE)</f>
        <v>2.5</v>
      </c>
      <c r="J94" s="139">
        <f t="shared" ref="J94:J100" si="106">(H94/(G94/F94))*I94</f>
        <v>650</v>
      </c>
      <c r="K94" s="139">
        <f t="shared" ref="K94:K100" si="107">IF(E94="M",H94,(H94/(G94)*F94))</f>
        <v>260</v>
      </c>
      <c r="L94" s="139" t="str">
        <f t="shared" ref="L94:L100" si="108">IF(E94="M"," ",K94/F94/Workhrs)</f>
        <v xml:space="preserve"> </v>
      </c>
      <c r="M94" s="139">
        <f t="shared" ref="M94:M100" si="109">IF($E94="L",$J94,0)</f>
        <v>0</v>
      </c>
      <c r="N94" s="139">
        <f t="shared" ref="N94:N100" si="110">IF($E94="M",$J94,0)</f>
        <v>650</v>
      </c>
      <c r="O94" s="139">
        <f t="shared" ref="O94:O100" si="111">IF($E94="P",$J94,0)</f>
        <v>0</v>
      </c>
      <c r="P94" s="139">
        <f t="shared" ref="P94:P100" si="112">IF($E94="S",$J94,0)</f>
        <v>0</v>
      </c>
      <c r="Q94" s="139">
        <f t="shared" ref="Q94:Q100" si="113">SUM(M94:P94)</f>
        <v>650</v>
      </c>
      <c r="R94" s="156">
        <v>87</v>
      </c>
    </row>
    <row r="95" spans="1:18" x14ac:dyDescent="0.35">
      <c r="A95" s="27"/>
      <c r="B95" s="92">
        <v>3</v>
      </c>
      <c r="C95" s="19" t="s">
        <v>404</v>
      </c>
      <c r="D95" s="3" t="s">
        <v>23</v>
      </c>
      <c r="E95" s="27" t="str">
        <f>VLOOKUP(C95,Resources!B:D,3,FALSE)</f>
        <v>M</v>
      </c>
      <c r="F95" s="8">
        <v>1</v>
      </c>
      <c r="G95" s="8">
        <v>1</v>
      </c>
      <c r="H95" s="8">
        <f>H92/50</f>
        <v>5.2</v>
      </c>
      <c r="I95" s="22">
        <f>VLOOKUP(C95,Resources!B:G,6,FALSE)</f>
        <v>25</v>
      </c>
      <c r="J95" s="139">
        <f t="shared" si="106"/>
        <v>130</v>
      </c>
      <c r="K95" s="139">
        <f t="shared" si="107"/>
        <v>5.2</v>
      </c>
      <c r="L95" s="139" t="str">
        <f t="shared" si="108"/>
        <v xml:space="preserve"> </v>
      </c>
      <c r="M95" s="139">
        <f t="shared" si="109"/>
        <v>0</v>
      </c>
      <c r="N95" s="139">
        <f t="shared" si="110"/>
        <v>130</v>
      </c>
      <c r="O95" s="139">
        <f t="shared" si="111"/>
        <v>0</v>
      </c>
      <c r="P95" s="139">
        <f t="shared" si="112"/>
        <v>0</v>
      </c>
      <c r="Q95" s="139">
        <f t="shared" si="113"/>
        <v>130</v>
      </c>
      <c r="R95" s="156">
        <v>87</v>
      </c>
    </row>
    <row r="96" spans="1:18" x14ac:dyDescent="0.35">
      <c r="A96" s="27"/>
      <c r="B96" s="92">
        <v>4</v>
      </c>
      <c r="C96" s="19" t="s">
        <v>75</v>
      </c>
      <c r="D96" s="3" t="s">
        <v>54</v>
      </c>
      <c r="E96" s="27" t="str">
        <f>VLOOKUP(C96,Resources!B:D,3,FALSE)</f>
        <v>M</v>
      </c>
      <c r="F96" s="8">
        <v>1</v>
      </c>
      <c r="G96" s="8">
        <v>1</v>
      </c>
      <c r="H96" s="8">
        <f>H92/6.734</f>
        <v>38.610038610038607</v>
      </c>
      <c r="I96" s="22">
        <f>VLOOKUP(C96,Resources!B:G,6,FALSE)</f>
        <v>24</v>
      </c>
      <c r="J96" s="139">
        <f t="shared" si="106"/>
        <v>926.64092664092664</v>
      </c>
      <c r="K96" s="139">
        <f t="shared" si="107"/>
        <v>38.610038610038607</v>
      </c>
      <c r="L96" s="139" t="str">
        <f t="shared" si="108"/>
        <v xml:space="preserve"> </v>
      </c>
      <c r="M96" s="139">
        <f t="shared" si="109"/>
        <v>0</v>
      </c>
      <c r="N96" s="139">
        <f t="shared" si="110"/>
        <v>926.64092664092664</v>
      </c>
      <c r="O96" s="139">
        <f t="shared" si="111"/>
        <v>0</v>
      </c>
      <c r="P96" s="139">
        <f t="shared" si="112"/>
        <v>0</v>
      </c>
      <c r="Q96" s="139">
        <f t="shared" si="113"/>
        <v>926.64092664092664</v>
      </c>
      <c r="R96" s="156" t="s">
        <v>692</v>
      </c>
    </row>
    <row r="97" spans="1:22" x14ac:dyDescent="0.35">
      <c r="A97" s="27">
        <v>20.100000000000001</v>
      </c>
      <c r="B97" s="92">
        <v>5</v>
      </c>
      <c r="C97" s="19" t="s">
        <v>50</v>
      </c>
      <c r="D97" s="3" t="s">
        <v>26</v>
      </c>
      <c r="E97" s="27" t="str">
        <f>VLOOKUP(C97,Resources!B:D,3,FALSE)</f>
        <v>P</v>
      </c>
      <c r="F97" s="8">
        <v>1</v>
      </c>
      <c r="G97" s="97">
        <f>VLOOKUP($A97,'Model Inputs'!$A:$D,4,FALSE)</f>
        <v>11.11</v>
      </c>
      <c r="H97" s="8">
        <f>H92</f>
        <v>260</v>
      </c>
      <c r="I97" s="22">
        <f>VLOOKUP(C97,Resources!B:G,6,FALSE)</f>
        <v>135</v>
      </c>
      <c r="J97" s="139">
        <f t="shared" si="106"/>
        <v>3159.3159315931593</v>
      </c>
      <c r="K97" s="139">
        <f t="shared" si="107"/>
        <v>23.402340234023402</v>
      </c>
      <c r="L97" s="139">
        <f t="shared" si="108"/>
        <v>2.6002600260026001</v>
      </c>
      <c r="M97" s="139">
        <f t="shared" si="109"/>
        <v>0</v>
      </c>
      <c r="N97" s="139">
        <f t="shared" si="110"/>
        <v>0</v>
      </c>
      <c r="O97" s="139">
        <f t="shared" si="111"/>
        <v>3159.3159315931593</v>
      </c>
      <c r="P97" s="139">
        <f t="shared" si="112"/>
        <v>0</v>
      </c>
      <c r="Q97" s="139">
        <f t="shared" si="113"/>
        <v>3159.3159315931593</v>
      </c>
      <c r="R97" s="156">
        <v>87</v>
      </c>
    </row>
    <row r="98" spans="1:22" x14ac:dyDescent="0.35">
      <c r="A98" s="27"/>
      <c r="B98" s="92">
        <v>6</v>
      </c>
      <c r="C98" s="19" t="s">
        <v>8</v>
      </c>
      <c r="D98" s="3" t="s">
        <v>26</v>
      </c>
      <c r="E98" s="27" t="str">
        <f>VLOOKUP(C98,Resources!B:D,3,FALSE)</f>
        <v>L</v>
      </c>
      <c r="F98" s="8">
        <v>3</v>
      </c>
      <c r="G98" s="8">
        <f>G97</f>
        <v>11.11</v>
      </c>
      <c r="H98" s="8">
        <f>H92</f>
        <v>260</v>
      </c>
      <c r="I98" s="22">
        <f>VLOOKUP(C98,Resources!B:G,6,FALSE)</f>
        <v>42</v>
      </c>
      <c r="J98" s="139">
        <f t="shared" si="106"/>
        <v>2948.6948694869488</v>
      </c>
      <c r="K98" s="139">
        <f t="shared" si="107"/>
        <v>70.20702070207021</v>
      </c>
      <c r="L98" s="139">
        <f t="shared" si="108"/>
        <v>2.6002600260026001</v>
      </c>
      <c r="M98" s="139">
        <f t="shared" si="109"/>
        <v>2948.6948694869488</v>
      </c>
      <c r="N98" s="139">
        <f t="shared" si="110"/>
        <v>0</v>
      </c>
      <c r="O98" s="139">
        <f t="shared" si="111"/>
        <v>0</v>
      </c>
      <c r="P98" s="139">
        <f t="shared" si="112"/>
        <v>0</v>
      </c>
      <c r="Q98" s="139">
        <f t="shared" si="113"/>
        <v>2948.6948694869488</v>
      </c>
      <c r="R98" s="156">
        <v>87</v>
      </c>
    </row>
    <row r="99" spans="1:22" x14ac:dyDescent="0.35">
      <c r="A99" s="27"/>
      <c r="B99" s="92">
        <v>7</v>
      </c>
      <c r="C99" s="19" t="s">
        <v>47</v>
      </c>
      <c r="D99" s="3" t="s">
        <v>26</v>
      </c>
      <c r="E99" s="27" t="str">
        <f>VLOOKUP(C99,Resources!B:D,3,FALSE)</f>
        <v>P</v>
      </c>
      <c r="F99" s="8">
        <v>1</v>
      </c>
      <c r="G99" s="8">
        <f>G97</f>
        <v>11.11</v>
      </c>
      <c r="H99" s="8">
        <f>H92</f>
        <v>260</v>
      </c>
      <c r="I99" s="22">
        <f>VLOOKUP(C99,Resources!B:G,6,FALSE)</f>
        <v>95</v>
      </c>
      <c r="J99" s="139">
        <f t="shared" si="106"/>
        <v>2223.2223222322232</v>
      </c>
      <c r="K99" s="139">
        <f t="shared" si="107"/>
        <v>23.402340234023402</v>
      </c>
      <c r="L99" s="139">
        <f t="shared" si="108"/>
        <v>2.6002600260026001</v>
      </c>
      <c r="M99" s="139">
        <f t="shared" si="109"/>
        <v>0</v>
      </c>
      <c r="N99" s="139">
        <f t="shared" si="110"/>
        <v>0</v>
      </c>
      <c r="O99" s="139">
        <f t="shared" si="111"/>
        <v>2223.2223222322232</v>
      </c>
      <c r="P99" s="139">
        <f t="shared" si="112"/>
        <v>0</v>
      </c>
      <c r="Q99" s="139">
        <f t="shared" si="113"/>
        <v>2223.2223222322232</v>
      </c>
      <c r="R99" s="156">
        <v>87</v>
      </c>
    </row>
    <row r="100" spans="1:22" x14ac:dyDescent="0.35">
      <c r="A100" s="27"/>
      <c r="B100" s="92">
        <v>8</v>
      </c>
      <c r="C100" s="19" t="s">
        <v>83</v>
      </c>
      <c r="D100" s="3" t="s">
        <v>26</v>
      </c>
      <c r="E100" s="27" t="str">
        <f>VLOOKUP(C100,Resources!B:D,3,FALSE)</f>
        <v>P</v>
      </c>
      <c r="F100" s="8">
        <v>1</v>
      </c>
      <c r="G100" s="8">
        <f>G97</f>
        <v>11.11</v>
      </c>
      <c r="H100" s="8">
        <f>H92</f>
        <v>260</v>
      </c>
      <c r="I100" s="22">
        <f>VLOOKUP(C100,Resources!B:G,6,FALSE)</f>
        <v>3.5</v>
      </c>
      <c r="J100" s="139">
        <f t="shared" si="106"/>
        <v>81.908190819081909</v>
      </c>
      <c r="K100" s="139">
        <f t="shared" si="107"/>
        <v>23.402340234023402</v>
      </c>
      <c r="L100" s="139">
        <f t="shared" si="108"/>
        <v>2.6002600260026001</v>
      </c>
      <c r="M100" s="139">
        <f t="shared" si="109"/>
        <v>0</v>
      </c>
      <c r="N100" s="139">
        <f t="shared" si="110"/>
        <v>0</v>
      </c>
      <c r="O100" s="139">
        <f t="shared" si="111"/>
        <v>81.908190819081909</v>
      </c>
      <c r="P100" s="139">
        <f t="shared" si="112"/>
        <v>0</v>
      </c>
      <c r="Q100" s="139">
        <f t="shared" si="113"/>
        <v>81.908190819081909</v>
      </c>
      <c r="R100" s="156">
        <v>87</v>
      </c>
    </row>
    <row r="101" spans="1:22" x14ac:dyDescent="0.35">
      <c r="C101" s="6" t="s">
        <v>402</v>
      </c>
      <c r="F101" s="9"/>
      <c r="G101" s="9"/>
      <c r="H101" s="9"/>
      <c r="I101" s="9"/>
    </row>
    <row r="102" spans="1:22" ht="30" x14ac:dyDescent="0.35">
      <c r="A102" s="26">
        <v>20.2</v>
      </c>
      <c r="B102" s="94" t="s">
        <v>84</v>
      </c>
      <c r="C102" s="1" t="s">
        <v>85</v>
      </c>
      <c r="D102" s="2" t="s">
        <v>86</v>
      </c>
      <c r="E102" s="24"/>
      <c r="F102" s="7"/>
      <c r="G102" s="7"/>
      <c r="H102" s="97">
        <f>VLOOKUP($A102,'Model Inputs'!$A:$D,4,FALSE)</f>
        <v>6</v>
      </c>
      <c r="I102" s="7"/>
      <c r="J102" s="138">
        <f>SUBTOTAL(9,J103)</f>
        <v>858</v>
      </c>
      <c r="K102" s="138"/>
      <c r="L102" s="138">
        <f>ROUNDUP(L103,0)</f>
        <v>1</v>
      </c>
      <c r="M102" s="138">
        <f>SUBTOTAL(9,M103)</f>
        <v>0</v>
      </c>
      <c r="N102" s="138">
        <f t="shared" ref="N102" si="114">SUBTOTAL(9,N103)</f>
        <v>0</v>
      </c>
      <c r="O102" s="138">
        <f t="shared" ref="O102" si="115">SUBTOTAL(9,O103)</f>
        <v>0</v>
      </c>
      <c r="P102" s="138">
        <f t="shared" ref="P102" si="116">SUBTOTAL(9,P103)</f>
        <v>858</v>
      </c>
      <c r="Q102" s="138">
        <f t="shared" ref="Q102" si="117">SUBTOTAL(9,Q103)</f>
        <v>858</v>
      </c>
      <c r="R102" s="155"/>
    </row>
    <row r="103" spans="1:22" x14ac:dyDescent="0.35">
      <c r="A103" s="27"/>
      <c r="B103" s="92">
        <v>1</v>
      </c>
      <c r="C103" s="19" t="s">
        <v>87</v>
      </c>
      <c r="D103" s="3" t="s">
        <v>23</v>
      </c>
      <c r="E103" s="27" t="str">
        <f>VLOOKUP(C103,Resources!B:D,3,FALSE)</f>
        <v>S</v>
      </c>
      <c r="F103" s="8">
        <v>1</v>
      </c>
      <c r="G103" s="8">
        <v>1</v>
      </c>
      <c r="H103" s="8">
        <f>H102</f>
        <v>6</v>
      </c>
      <c r="I103" s="22">
        <f>VLOOKUP(C103,Resources!B:G,6,FALSE)</f>
        <v>143</v>
      </c>
      <c r="J103" s="139">
        <f t="shared" ref="J103" si="118">(H103/(G103/F103))*I103</f>
        <v>858</v>
      </c>
      <c r="K103" s="139">
        <f t="shared" ref="K103" si="119">IF(E103="M",H103,(H103/(G103)*F103))</f>
        <v>6</v>
      </c>
      <c r="L103" s="139">
        <f>IF(E103="M"," ",K103/F103/Workhrs)</f>
        <v>0.66666666666666663</v>
      </c>
      <c r="M103" s="139">
        <f t="shared" ref="M103" si="120">IF($E103="L",$J103,0)</f>
        <v>0</v>
      </c>
      <c r="N103" s="139">
        <f t="shared" ref="N103" si="121">IF($E103="M",$J103,0)</f>
        <v>0</v>
      </c>
      <c r="O103" s="139">
        <f>IF($E103="P",$J103,0)</f>
        <v>0</v>
      </c>
      <c r="P103" s="139">
        <f>IF($E103="S",$J103,0)</f>
        <v>858</v>
      </c>
      <c r="Q103" s="139">
        <f>SUM(M103:P103)</f>
        <v>858</v>
      </c>
      <c r="R103" s="156">
        <v>87</v>
      </c>
    </row>
    <row r="104" spans="1:22" x14ac:dyDescent="0.35">
      <c r="C104" s="6" t="s">
        <v>402</v>
      </c>
      <c r="F104" s="9"/>
      <c r="G104" s="9"/>
      <c r="H104" s="9"/>
      <c r="I104" s="9"/>
    </row>
    <row r="105" spans="1:22" ht="30" x14ac:dyDescent="0.35">
      <c r="A105" s="26"/>
      <c r="B105" s="94" t="s">
        <v>88</v>
      </c>
      <c r="C105" s="1" t="s">
        <v>89</v>
      </c>
      <c r="D105" s="2"/>
      <c r="E105" s="24"/>
      <c r="F105" s="7"/>
      <c r="G105" s="7"/>
      <c r="H105" s="7"/>
      <c r="I105" s="7"/>
      <c r="J105" s="138"/>
      <c r="K105" s="138"/>
      <c r="L105" s="138"/>
      <c r="M105" s="138"/>
      <c r="N105" s="138"/>
      <c r="O105" s="138"/>
      <c r="P105" s="138"/>
      <c r="Q105" s="138"/>
      <c r="R105" s="155"/>
    </row>
    <row r="106" spans="1:22" ht="30" x14ac:dyDescent="0.35">
      <c r="A106" s="26">
        <v>21</v>
      </c>
      <c r="B106" s="94" t="s">
        <v>90</v>
      </c>
      <c r="C106" s="1" t="s">
        <v>91</v>
      </c>
      <c r="D106" s="2" t="s">
        <v>54</v>
      </c>
      <c r="E106" s="24"/>
      <c r="F106" s="7"/>
      <c r="G106" s="7"/>
      <c r="H106" s="97">
        <f>VLOOKUP($A106,'Model Inputs'!$A:$D,4,FALSE)</f>
        <v>34</v>
      </c>
      <c r="I106" s="7"/>
      <c r="J106" s="138">
        <f>SUBTOTAL(9,J107)</f>
        <v>12138</v>
      </c>
      <c r="K106" s="138"/>
      <c r="L106" s="138">
        <v>1</v>
      </c>
      <c r="M106" s="138">
        <f>SUBTOTAL(9,M107)</f>
        <v>0</v>
      </c>
      <c r="N106" s="138">
        <f t="shared" ref="N106" si="122">SUBTOTAL(9,N107)</f>
        <v>12138</v>
      </c>
      <c r="O106" s="138">
        <f t="shared" ref="O106" si="123">SUBTOTAL(9,O107)</f>
        <v>0</v>
      </c>
      <c r="P106" s="138">
        <f t="shared" ref="P106" si="124">SUBTOTAL(9,P107)</f>
        <v>0</v>
      </c>
      <c r="Q106" s="138">
        <f t="shared" ref="Q106" si="125">SUBTOTAL(9,Q107)</f>
        <v>12138</v>
      </c>
      <c r="R106" s="155"/>
    </row>
    <row r="107" spans="1:22" x14ac:dyDescent="0.35">
      <c r="A107" s="27"/>
      <c r="B107" s="92">
        <v>1</v>
      </c>
      <c r="C107" s="19" t="s">
        <v>76</v>
      </c>
      <c r="D107" s="3" t="s">
        <v>54</v>
      </c>
      <c r="E107" s="27" t="str">
        <f>VLOOKUP(C107,Resources!B:D,3,FALSE)</f>
        <v>M</v>
      </c>
      <c r="F107" s="8">
        <v>1</v>
      </c>
      <c r="G107" s="8">
        <v>1</v>
      </c>
      <c r="H107" s="8">
        <f>H106</f>
        <v>34</v>
      </c>
      <c r="I107" s="22">
        <f>VLOOKUP(C107,Resources!B:G,6,FALSE)</f>
        <v>357</v>
      </c>
      <c r="J107" s="139">
        <f t="shared" ref="J107" si="126">(H107/(G107/F107))*I107</f>
        <v>12138</v>
      </c>
      <c r="K107" s="139">
        <f t="shared" ref="K107" si="127">IF(E107="M",H107,(H107/(G107)*F107))</f>
        <v>34</v>
      </c>
      <c r="L107" s="139" t="str">
        <f>IF(E107="M"," ",K107/F107/Workhrs)</f>
        <v xml:space="preserve"> </v>
      </c>
      <c r="M107" s="139">
        <f t="shared" ref="M107" si="128">IF($E107="L",$J107,0)</f>
        <v>0</v>
      </c>
      <c r="N107" s="139">
        <f t="shared" ref="N107" si="129">IF($E107="M",$J107,0)</f>
        <v>12138</v>
      </c>
      <c r="O107" s="139">
        <f>IF($E107="P",$J107,0)</f>
        <v>0</v>
      </c>
      <c r="P107" s="139">
        <f>IF($E107="S",$J107,0)</f>
        <v>0</v>
      </c>
      <c r="Q107" s="139">
        <f>SUM(M107:P107)</f>
        <v>12138</v>
      </c>
      <c r="R107" s="156" t="s">
        <v>693</v>
      </c>
    </row>
    <row r="108" spans="1:22" x14ac:dyDescent="0.35">
      <c r="C108" s="6" t="s">
        <v>402</v>
      </c>
      <c r="F108" s="9"/>
      <c r="G108" s="9"/>
      <c r="H108" s="9"/>
      <c r="I108" s="9"/>
    </row>
    <row r="109" spans="1:22" ht="30" x14ac:dyDescent="0.35">
      <c r="A109" s="26">
        <v>22</v>
      </c>
      <c r="B109" s="94" t="s">
        <v>92</v>
      </c>
      <c r="C109" s="1" t="s">
        <v>93</v>
      </c>
      <c r="D109" s="2" t="s">
        <v>94</v>
      </c>
      <c r="E109" s="24"/>
      <c r="F109" s="7"/>
      <c r="G109" s="7"/>
      <c r="H109" s="97">
        <f>VLOOKUP($A109,'Model Inputs'!$A:$D,4,FALSE)</f>
        <v>1893</v>
      </c>
      <c r="I109" s="7"/>
      <c r="J109" s="138">
        <f>SUBTOTAL(9,J111:J116)</f>
        <v>12392.662066896655</v>
      </c>
      <c r="K109" s="138"/>
      <c r="L109" s="138">
        <f>ROUNDUP(MAX(L111:L116),0)</f>
        <v>4</v>
      </c>
      <c r="M109" s="138">
        <f t="shared" ref="M109:Q109" si="130">SUBTOTAL(9,M111:M116)</f>
        <v>4770.1214939253041</v>
      </c>
      <c r="N109" s="138">
        <f t="shared" si="130"/>
        <v>0</v>
      </c>
      <c r="O109" s="138">
        <f t="shared" si="130"/>
        <v>7622.5405729713511</v>
      </c>
      <c r="P109" s="138">
        <f t="shared" si="130"/>
        <v>0</v>
      </c>
      <c r="Q109" s="138">
        <f t="shared" si="130"/>
        <v>12392.662066896655</v>
      </c>
      <c r="R109" s="155"/>
    </row>
    <row r="110" spans="1:22" s="90" customFormat="1" x14ac:dyDescent="0.35">
      <c r="A110" s="27"/>
      <c r="B110" s="92">
        <v>1</v>
      </c>
      <c r="C110" s="19" t="s">
        <v>95</v>
      </c>
      <c r="D110" s="16" t="s">
        <v>110</v>
      </c>
      <c r="E110" s="27"/>
      <c r="F110" s="22"/>
      <c r="G110" s="22"/>
      <c r="H110" s="22">
        <f>H109</f>
        <v>1893</v>
      </c>
      <c r="I110" s="22"/>
      <c r="J110" s="139"/>
      <c r="K110" s="139"/>
      <c r="L110" s="139"/>
      <c r="M110" s="139"/>
      <c r="N110" s="139"/>
      <c r="O110" s="139"/>
      <c r="P110" s="139"/>
      <c r="Q110" s="139"/>
      <c r="R110" s="156"/>
      <c r="T110" s="247"/>
      <c r="U110"/>
      <c r="V110" s="277"/>
    </row>
    <row r="111" spans="1:22" s="90" customFormat="1" x14ac:dyDescent="0.35">
      <c r="A111" s="27">
        <v>22.1</v>
      </c>
      <c r="B111" s="92">
        <v>2</v>
      </c>
      <c r="C111" s="92" t="s">
        <v>562</v>
      </c>
      <c r="D111" s="22" t="s">
        <v>26</v>
      </c>
      <c r="E111" s="27" t="str">
        <f>VLOOKUP(C111,Resources!B:D,3,FALSE)</f>
        <v>P</v>
      </c>
      <c r="F111" s="22">
        <v>1</v>
      </c>
      <c r="G111" s="97">
        <f>VLOOKUP($A111,'Model Inputs'!$A:$D,4,FALSE)</f>
        <v>66.67</v>
      </c>
      <c r="H111" s="22">
        <f>H109</f>
        <v>1893</v>
      </c>
      <c r="I111" s="22">
        <f>VLOOKUP(C111,Resources!B:G,6,FALSE)</f>
        <v>66.069999999999993</v>
      </c>
      <c r="J111" s="139">
        <f t="shared" ref="J111:J116" si="131">(H111/(G111/F111))*I111</f>
        <v>1875.9638518074094</v>
      </c>
      <c r="K111" s="139">
        <f t="shared" ref="K111:K116" si="132">IF(E111="M",H111,(H111/(G111)*F111))</f>
        <v>28.393580320983951</v>
      </c>
      <c r="L111" s="139">
        <f t="shared" ref="L111:L116" si="133">IF(E111="M"," ",K111/F111/Workhrs)</f>
        <v>3.1548422578871058</v>
      </c>
      <c r="M111" s="139">
        <f t="shared" ref="M111:M116" si="134">IF($E111="L",$J111,0)</f>
        <v>0</v>
      </c>
      <c r="N111" s="139">
        <f t="shared" ref="N111:N116" si="135">IF($E111="M",$J111,0)</f>
        <v>0</v>
      </c>
      <c r="O111" s="139">
        <f t="shared" ref="O111:O116" si="136">IF($E111="P",$J111,0)</f>
        <v>1875.9638518074094</v>
      </c>
      <c r="P111" s="139">
        <f t="shared" ref="P111:P116" si="137">IF($E111="S",$J111,0)</f>
        <v>0</v>
      </c>
      <c r="Q111" s="139">
        <f t="shared" ref="Q111:Q116" si="138">SUM(M111:P111)</f>
        <v>1875.9638518074094</v>
      </c>
      <c r="R111" s="156">
        <v>68</v>
      </c>
      <c r="T111" s="247"/>
      <c r="U111"/>
      <c r="V111" s="277"/>
    </row>
    <row r="112" spans="1:22" s="90" customFormat="1" x14ac:dyDescent="0.35">
      <c r="A112" s="27"/>
      <c r="B112" s="92">
        <v>3</v>
      </c>
      <c r="C112" s="92" t="s">
        <v>576</v>
      </c>
      <c r="D112" s="22" t="s">
        <v>26</v>
      </c>
      <c r="E112" s="27" t="str">
        <f>VLOOKUP(C112,Resources!B:D,3,FALSE)</f>
        <v>P</v>
      </c>
      <c r="F112" s="22">
        <v>1</v>
      </c>
      <c r="G112" s="22">
        <f>G111</f>
        <v>66.67</v>
      </c>
      <c r="H112" s="22">
        <f>H109</f>
        <v>1893</v>
      </c>
      <c r="I112" s="22">
        <f>VLOOKUP(C112,Resources!B:G,6,FALSE)</f>
        <v>25.78</v>
      </c>
      <c r="J112" s="139">
        <f t="shared" si="131"/>
        <v>731.98650067496624</v>
      </c>
      <c r="K112" s="139">
        <f t="shared" si="132"/>
        <v>28.393580320983951</v>
      </c>
      <c r="L112" s="139">
        <f t="shared" si="133"/>
        <v>3.1548422578871058</v>
      </c>
      <c r="M112" s="139">
        <f t="shared" si="134"/>
        <v>0</v>
      </c>
      <c r="N112" s="139">
        <f t="shared" si="135"/>
        <v>0</v>
      </c>
      <c r="O112" s="139">
        <f t="shared" si="136"/>
        <v>731.98650067496624</v>
      </c>
      <c r="P112" s="139">
        <f t="shared" si="137"/>
        <v>0</v>
      </c>
      <c r="Q112" s="139">
        <f t="shared" si="138"/>
        <v>731.98650067496624</v>
      </c>
      <c r="R112" s="156">
        <v>68</v>
      </c>
      <c r="T112" s="247"/>
      <c r="U112"/>
      <c r="V112" s="277"/>
    </row>
    <row r="113" spans="1:22" s="90" customFormat="1" x14ac:dyDescent="0.35">
      <c r="A113" s="27"/>
      <c r="B113" s="92">
        <v>4</v>
      </c>
      <c r="C113" s="92" t="s">
        <v>52</v>
      </c>
      <c r="D113" s="22" t="s">
        <v>26</v>
      </c>
      <c r="E113" s="27" t="str">
        <f>VLOOKUP(C113,Resources!B:D,3,FALSE)</f>
        <v>P</v>
      </c>
      <c r="F113" s="22">
        <v>1</v>
      </c>
      <c r="G113" s="22">
        <f>G111</f>
        <v>66.67</v>
      </c>
      <c r="H113" s="22">
        <f>H109</f>
        <v>1893</v>
      </c>
      <c r="I113" s="22">
        <f>VLOOKUP(C113,Resources!B:G,6,FALSE)</f>
        <v>100</v>
      </c>
      <c r="J113" s="139">
        <f t="shared" si="131"/>
        <v>2839.3580320983951</v>
      </c>
      <c r="K113" s="139">
        <f t="shared" si="132"/>
        <v>28.393580320983951</v>
      </c>
      <c r="L113" s="139">
        <f t="shared" si="133"/>
        <v>3.1548422578871058</v>
      </c>
      <c r="M113" s="139">
        <f t="shared" si="134"/>
        <v>0</v>
      </c>
      <c r="N113" s="139">
        <f t="shared" si="135"/>
        <v>0</v>
      </c>
      <c r="O113" s="139">
        <f t="shared" si="136"/>
        <v>2839.3580320983951</v>
      </c>
      <c r="P113" s="139">
        <f t="shared" si="137"/>
        <v>0</v>
      </c>
      <c r="Q113" s="139">
        <f t="shared" si="138"/>
        <v>2839.3580320983951</v>
      </c>
      <c r="R113" s="156">
        <v>68</v>
      </c>
      <c r="T113" s="247"/>
      <c r="U113"/>
      <c r="V113" s="277"/>
    </row>
    <row r="114" spans="1:22" s="90" customFormat="1" x14ac:dyDescent="0.35">
      <c r="A114" s="27"/>
      <c r="B114" s="92">
        <v>5</v>
      </c>
      <c r="C114" s="92" t="s">
        <v>106</v>
      </c>
      <c r="D114" s="22" t="s">
        <v>26</v>
      </c>
      <c r="E114" s="27" t="str">
        <f>VLOOKUP(C114,Resources!B:D,3,FALSE)</f>
        <v>P</v>
      </c>
      <c r="F114" s="22">
        <v>1</v>
      </c>
      <c r="G114" s="22">
        <f>G111</f>
        <v>66.67</v>
      </c>
      <c r="H114" s="22">
        <f>H109</f>
        <v>1893</v>
      </c>
      <c r="I114" s="22">
        <f>VLOOKUP(C114,Resources!B:G,6,FALSE)</f>
        <v>55</v>
      </c>
      <c r="J114" s="139">
        <f t="shared" si="131"/>
        <v>1561.6469176541173</v>
      </c>
      <c r="K114" s="139">
        <f t="shared" si="132"/>
        <v>28.393580320983951</v>
      </c>
      <c r="L114" s="139">
        <f t="shared" si="133"/>
        <v>3.1548422578871058</v>
      </c>
      <c r="M114" s="139">
        <f t="shared" si="134"/>
        <v>0</v>
      </c>
      <c r="N114" s="139">
        <f t="shared" si="135"/>
        <v>0</v>
      </c>
      <c r="O114" s="139">
        <f t="shared" si="136"/>
        <v>1561.6469176541173</v>
      </c>
      <c r="P114" s="139">
        <f t="shared" si="137"/>
        <v>0</v>
      </c>
      <c r="Q114" s="139">
        <f t="shared" si="138"/>
        <v>1561.6469176541173</v>
      </c>
      <c r="R114" s="156">
        <v>68</v>
      </c>
      <c r="T114" s="247"/>
      <c r="U114"/>
      <c r="V114" s="277"/>
    </row>
    <row r="115" spans="1:22" s="90" customFormat="1" x14ac:dyDescent="0.35">
      <c r="A115" s="27"/>
      <c r="B115" s="92">
        <v>6</v>
      </c>
      <c r="C115" s="92" t="s">
        <v>587</v>
      </c>
      <c r="D115" s="22" t="s">
        <v>26</v>
      </c>
      <c r="E115" s="27" t="str">
        <f>VLOOKUP(C115,Resources!B:D,3,FALSE)</f>
        <v>P</v>
      </c>
      <c r="F115" s="22">
        <v>1</v>
      </c>
      <c r="G115" s="22">
        <f>G111</f>
        <v>66.67</v>
      </c>
      <c r="H115" s="22">
        <f>H109</f>
        <v>1893</v>
      </c>
      <c r="I115" s="22">
        <f>VLOOKUP(C115,Resources!B:G,6,FALSE)</f>
        <v>21.61</v>
      </c>
      <c r="J115" s="139">
        <f t="shared" si="131"/>
        <v>613.58527073646314</v>
      </c>
      <c r="K115" s="139">
        <f t="shared" si="132"/>
        <v>28.393580320983951</v>
      </c>
      <c r="L115" s="139">
        <f t="shared" si="133"/>
        <v>3.1548422578871058</v>
      </c>
      <c r="M115" s="139">
        <f t="shared" si="134"/>
        <v>0</v>
      </c>
      <c r="N115" s="139">
        <f t="shared" si="135"/>
        <v>0</v>
      </c>
      <c r="O115" s="139">
        <f t="shared" si="136"/>
        <v>613.58527073646314</v>
      </c>
      <c r="P115" s="139">
        <f t="shared" si="137"/>
        <v>0</v>
      </c>
      <c r="Q115" s="139">
        <f t="shared" si="138"/>
        <v>613.58527073646314</v>
      </c>
      <c r="R115" s="156">
        <v>68</v>
      </c>
      <c r="T115" s="247"/>
      <c r="U115"/>
      <c r="V115" s="277"/>
    </row>
    <row r="116" spans="1:22" s="90" customFormat="1" x14ac:dyDescent="0.35">
      <c r="A116" s="27"/>
      <c r="B116" s="92">
        <v>7</v>
      </c>
      <c r="C116" s="92" t="s">
        <v>8</v>
      </c>
      <c r="D116" s="22" t="s">
        <v>26</v>
      </c>
      <c r="E116" s="27" t="str">
        <f>VLOOKUP(C116,Resources!B:D,3,FALSE)</f>
        <v>L</v>
      </c>
      <c r="F116" s="22">
        <v>4</v>
      </c>
      <c r="G116" s="22">
        <f>G111</f>
        <v>66.67</v>
      </c>
      <c r="H116" s="22">
        <f>H109</f>
        <v>1893</v>
      </c>
      <c r="I116" s="22">
        <f>VLOOKUP(C116,Resources!B:G,6,FALSE)</f>
        <v>42</v>
      </c>
      <c r="J116" s="139">
        <f t="shared" si="131"/>
        <v>4770.1214939253041</v>
      </c>
      <c r="K116" s="139">
        <f t="shared" si="132"/>
        <v>113.5743212839358</v>
      </c>
      <c r="L116" s="139">
        <f t="shared" si="133"/>
        <v>3.1548422578871058</v>
      </c>
      <c r="M116" s="139">
        <f t="shared" si="134"/>
        <v>4770.1214939253041</v>
      </c>
      <c r="N116" s="139">
        <f t="shared" si="135"/>
        <v>0</v>
      </c>
      <c r="O116" s="139">
        <f t="shared" si="136"/>
        <v>0</v>
      </c>
      <c r="P116" s="139">
        <f t="shared" si="137"/>
        <v>0</v>
      </c>
      <c r="Q116" s="139">
        <f t="shared" si="138"/>
        <v>4770.1214939253041</v>
      </c>
      <c r="R116" s="156">
        <v>68</v>
      </c>
      <c r="T116" s="247"/>
      <c r="U116"/>
      <c r="V116" s="277"/>
    </row>
    <row r="117" spans="1:22" x14ac:dyDescent="0.35">
      <c r="C117" s="6" t="s">
        <v>402</v>
      </c>
      <c r="F117" s="9"/>
      <c r="G117" s="9"/>
      <c r="H117" s="9"/>
      <c r="I117" s="9"/>
    </row>
    <row r="118" spans="1:22" ht="30" x14ac:dyDescent="0.35">
      <c r="A118" s="26">
        <v>23</v>
      </c>
      <c r="B118" s="94" t="s">
        <v>96</v>
      </c>
      <c r="C118" s="1" t="s">
        <v>97</v>
      </c>
      <c r="D118" s="2" t="s">
        <v>57</v>
      </c>
      <c r="E118" s="24"/>
      <c r="F118" s="7"/>
      <c r="G118" s="7"/>
      <c r="H118" s="97">
        <f>VLOOKUP($A118,'Model Inputs'!$A:$D,4,FALSE)</f>
        <v>758</v>
      </c>
      <c r="I118" s="7"/>
      <c r="J118" s="138">
        <f>SUBTOTAL(9,J121:J125)</f>
        <v>34836.615661566168</v>
      </c>
      <c r="K118" s="138"/>
      <c r="L118" s="138">
        <f>ROUNDUP(MAX(L121:L125),0)</f>
        <v>5</v>
      </c>
      <c r="M118" s="138">
        <f t="shared" ref="M118:Q118" si="139">SUBTOTAL(9,M121:M125)</f>
        <v>5157.9477947794785</v>
      </c>
      <c r="N118" s="138">
        <f t="shared" si="139"/>
        <v>0</v>
      </c>
      <c r="O118" s="138">
        <f t="shared" si="139"/>
        <v>29678.667866786687</v>
      </c>
      <c r="P118" s="138">
        <f t="shared" si="139"/>
        <v>0</v>
      </c>
      <c r="Q118" s="138">
        <f t="shared" si="139"/>
        <v>34836.615661566168</v>
      </c>
      <c r="R118" s="155"/>
    </row>
    <row r="119" spans="1:22" ht="30" x14ac:dyDescent="0.35">
      <c r="B119" s="95">
        <v>1</v>
      </c>
      <c r="C119" s="6" t="s">
        <v>62</v>
      </c>
      <c r="F119" s="9"/>
      <c r="G119" s="9"/>
      <c r="H119" s="9"/>
      <c r="I119" s="9"/>
    </row>
    <row r="120" spans="1:22" x14ac:dyDescent="0.35">
      <c r="A120" s="27"/>
      <c r="B120" s="92">
        <v>2</v>
      </c>
      <c r="C120" s="5" t="s">
        <v>666</v>
      </c>
      <c r="D120" s="3"/>
      <c r="E120" s="27"/>
      <c r="F120" s="8"/>
      <c r="G120" s="8"/>
      <c r="H120" s="8">
        <f>H118*GCF</f>
        <v>1819.2000000000003</v>
      </c>
      <c r="I120" s="8"/>
      <c r="J120" s="139"/>
      <c r="K120" s="139"/>
      <c r="L120" s="139"/>
      <c r="M120" s="139"/>
      <c r="N120" s="139"/>
      <c r="O120" s="139"/>
      <c r="P120" s="139"/>
      <c r="Q120" s="139"/>
      <c r="R120" s="156"/>
    </row>
    <row r="121" spans="1:22" x14ac:dyDescent="0.35">
      <c r="A121" s="27">
        <v>23.1</v>
      </c>
      <c r="B121" s="92">
        <v>3</v>
      </c>
      <c r="C121" s="19" t="s">
        <v>63</v>
      </c>
      <c r="D121" s="3" t="s">
        <v>26</v>
      </c>
      <c r="E121" s="27" t="str">
        <f>VLOOKUP(C121,Resources!B:D,3,FALSE)</f>
        <v>P</v>
      </c>
      <c r="F121" s="8">
        <v>1</v>
      </c>
      <c r="G121" s="97">
        <f>VLOOKUP($A121,'Model Inputs'!$A:$D,4,FALSE)</f>
        <v>44.44</v>
      </c>
      <c r="H121" s="8">
        <f>H120</f>
        <v>1819.2000000000003</v>
      </c>
      <c r="I121" s="22">
        <f>VLOOKUP(C121,Resources!B:G,6,FALSE)</f>
        <v>135</v>
      </c>
      <c r="J121" s="139">
        <f t="shared" ref="J121:J125" si="140">(H121/(G121/F121))*I121</f>
        <v>5526.3726372637275</v>
      </c>
      <c r="K121" s="139">
        <f t="shared" ref="K121:K125" si="141">IF(E121="M",H121,(H121/(G121)*F121))</f>
        <v>40.936093609360945</v>
      </c>
      <c r="L121" s="139">
        <f>IF(E121="M"," ",K121/F121/Workhrs)</f>
        <v>4.5484548454845495</v>
      </c>
      <c r="M121" s="139">
        <f t="shared" ref="M121:M125" si="142">IF($E121="L",$J121,0)</f>
        <v>0</v>
      </c>
      <c r="N121" s="139">
        <f t="shared" ref="N121:N125" si="143">IF($E121="M",$J121,0)</f>
        <v>0</v>
      </c>
      <c r="O121" s="139">
        <f t="shared" ref="O121:O125" si="144">IF($E121="P",$J121,0)</f>
        <v>5526.3726372637275</v>
      </c>
      <c r="P121" s="139">
        <f>IF($E121="S",$J121,0)</f>
        <v>0</v>
      </c>
      <c r="Q121" s="139">
        <f t="shared" ref="Q121:Q125" si="145">SUM(M121:P121)</f>
        <v>5526.3726372637275</v>
      </c>
      <c r="R121" s="156">
        <v>62</v>
      </c>
    </row>
    <row r="122" spans="1:22" x14ac:dyDescent="0.35">
      <c r="A122" s="27"/>
      <c r="B122" s="92">
        <v>4</v>
      </c>
      <c r="C122" s="19" t="s">
        <v>64</v>
      </c>
      <c r="D122" s="3" t="s">
        <v>26</v>
      </c>
      <c r="E122" s="27" t="str">
        <f>VLOOKUP(C122,Resources!B:D,3,FALSE)</f>
        <v>P</v>
      </c>
      <c r="F122" s="8">
        <v>3</v>
      </c>
      <c r="G122" s="8">
        <f>G121</f>
        <v>44.44</v>
      </c>
      <c r="H122" s="8">
        <f>H120</f>
        <v>1819.2000000000003</v>
      </c>
      <c r="I122" s="22">
        <f>VLOOKUP(C122,Resources!B:G,6,FALSE)</f>
        <v>145</v>
      </c>
      <c r="J122" s="139">
        <f t="shared" si="140"/>
        <v>17807.200720072011</v>
      </c>
      <c r="K122" s="139">
        <f t="shared" si="141"/>
        <v>122.80828082808284</v>
      </c>
      <c r="L122" s="139">
        <f>IF(E122="M"," ",K122/F122/Workhrs)</f>
        <v>4.5484548454845495</v>
      </c>
      <c r="M122" s="139">
        <f t="shared" si="142"/>
        <v>0</v>
      </c>
      <c r="N122" s="139">
        <f t="shared" si="143"/>
        <v>0</v>
      </c>
      <c r="O122" s="139">
        <f t="shared" si="144"/>
        <v>17807.200720072011</v>
      </c>
      <c r="P122" s="139">
        <f>IF($E122="S",$J122,0)</f>
        <v>0</v>
      </c>
      <c r="Q122" s="139">
        <f t="shared" si="145"/>
        <v>17807.200720072011</v>
      </c>
      <c r="R122" s="156">
        <v>62</v>
      </c>
    </row>
    <row r="123" spans="1:22" x14ac:dyDescent="0.35">
      <c r="A123" s="27"/>
      <c r="B123" s="92">
        <v>5</v>
      </c>
      <c r="C123" s="19" t="s">
        <v>52</v>
      </c>
      <c r="D123" s="3" t="s">
        <v>26</v>
      </c>
      <c r="E123" s="27" t="str">
        <f>VLOOKUP(C123,Resources!B:D,3,FALSE)</f>
        <v>P</v>
      </c>
      <c r="F123" s="8">
        <v>1</v>
      </c>
      <c r="G123" s="8">
        <f>G121</f>
        <v>44.44</v>
      </c>
      <c r="H123" s="8">
        <f>H120</f>
        <v>1819.2000000000003</v>
      </c>
      <c r="I123" s="22">
        <f>VLOOKUP(C123,Resources!B:G,6,FALSE)</f>
        <v>100</v>
      </c>
      <c r="J123" s="139">
        <f t="shared" si="140"/>
        <v>4093.6093609360946</v>
      </c>
      <c r="K123" s="139">
        <f t="shared" si="141"/>
        <v>40.936093609360945</v>
      </c>
      <c r="L123" s="139">
        <f>IF(E123="M"," ",K123/F123/Workhrs)</f>
        <v>4.5484548454845495</v>
      </c>
      <c r="M123" s="139">
        <f t="shared" si="142"/>
        <v>0</v>
      </c>
      <c r="N123" s="139">
        <f t="shared" si="143"/>
        <v>0</v>
      </c>
      <c r="O123" s="139">
        <f t="shared" si="144"/>
        <v>4093.6093609360946</v>
      </c>
      <c r="P123" s="139">
        <f>IF($E123="S",$J123,0)</f>
        <v>0</v>
      </c>
      <c r="Q123" s="139">
        <f t="shared" si="145"/>
        <v>4093.6093609360946</v>
      </c>
      <c r="R123" s="156">
        <v>62</v>
      </c>
    </row>
    <row r="124" spans="1:22" x14ac:dyDescent="0.35">
      <c r="A124" s="27"/>
      <c r="B124" s="92">
        <v>6</v>
      </c>
      <c r="C124" s="19" t="s">
        <v>106</v>
      </c>
      <c r="D124" s="3" t="s">
        <v>26</v>
      </c>
      <c r="E124" s="27" t="str">
        <f>VLOOKUP(C124,Resources!B:D,3,FALSE)</f>
        <v>P</v>
      </c>
      <c r="F124" s="8">
        <v>1</v>
      </c>
      <c r="G124" s="8">
        <f>G121</f>
        <v>44.44</v>
      </c>
      <c r="H124" s="8">
        <f>H120</f>
        <v>1819.2000000000003</v>
      </c>
      <c r="I124" s="22">
        <f>VLOOKUP(C124,Resources!B:G,6,FALSE)</f>
        <v>55</v>
      </c>
      <c r="J124" s="139">
        <f t="shared" si="140"/>
        <v>2251.485148514852</v>
      </c>
      <c r="K124" s="139">
        <f t="shared" si="141"/>
        <v>40.936093609360945</v>
      </c>
      <c r="L124" s="139">
        <f>IF(E124="M"," ",K124/F124/Workhrs)</f>
        <v>4.5484548454845495</v>
      </c>
      <c r="M124" s="139">
        <f t="shared" si="142"/>
        <v>0</v>
      </c>
      <c r="N124" s="139">
        <f t="shared" si="143"/>
        <v>0</v>
      </c>
      <c r="O124" s="139">
        <f t="shared" si="144"/>
        <v>2251.485148514852</v>
      </c>
      <c r="P124" s="139">
        <f>IF($E124="S",$J124,0)</f>
        <v>0</v>
      </c>
      <c r="Q124" s="139">
        <f t="shared" si="145"/>
        <v>2251.485148514852</v>
      </c>
      <c r="R124" s="156">
        <v>62</v>
      </c>
    </row>
    <row r="125" spans="1:22" x14ac:dyDescent="0.35">
      <c r="A125" s="27"/>
      <c r="B125" s="92">
        <v>7</v>
      </c>
      <c r="C125" s="19" t="s">
        <v>8</v>
      </c>
      <c r="D125" s="3" t="s">
        <v>26</v>
      </c>
      <c r="E125" s="27" t="str">
        <f>VLOOKUP(C125,Resources!B:D,3,FALSE)</f>
        <v>L</v>
      </c>
      <c r="F125" s="8">
        <v>3</v>
      </c>
      <c r="G125" s="8">
        <f>G121</f>
        <v>44.44</v>
      </c>
      <c r="H125" s="8">
        <f>H120</f>
        <v>1819.2000000000003</v>
      </c>
      <c r="I125" s="22">
        <f>VLOOKUP(C125,Resources!B:G,6,FALSE)</f>
        <v>42</v>
      </c>
      <c r="J125" s="139">
        <f t="shared" si="140"/>
        <v>5157.9477947794785</v>
      </c>
      <c r="K125" s="139">
        <f t="shared" si="141"/>
        <v>122.80828082808284</v>
      </c>
      <c r="L125" s="139">
        <f>IF(E125="M"," ",K125/F125/Workhrs)</f>
        <v>4.5484548454845495</v>
      </c>
      <c r="M125" s="139">
        <f t="shared" si="142"/>
        <v>5157.9477947794785</v>
      </c>
      <c r="N125" s="139">
        <f t="shared" si="143"/>
        <v>0</v>
      </c>
      <c r="O125" s="139">
        <f t="shared" si="144"/>
        <v>0</v>
      </c>
      <c r="P125" s="139">
        <f>IF($E125="S",$J125,0)</f>
        <v>0</v>
      </c>
      <c r="Q125" s="139">
        <f t="shared" si="145"/>
        <v>5157.9477947794785</v>
      </c>
      <c r="R125" s="156">
        <v>62</v>
      </c>
    </row>
    <row r="126" spans="1:22" x14ac:dyDescent="0.35">
      <c r="C126" s="6" t="s">
        <v>402</v>
      </c>
      <c r="F126" s="9"/>
      <c r="G126" s="9"/>
      <c r="H126" s="9"/>
      <c r="I126" s="9"/>
    </row>
    <row r="127" spans="1:22" ht="30" x14ac:dyDescent="0.35">
      <c r="A127" s="26">
        <v>24</v>
      </c>
      <c r="B127" s="94" t="s">
        <v>98</v>
      </c>
      <c r="C127" s="1" t="s">
        <v>99</v>
      </c>
      <c r="D127" s="2" t="s">
        <v>57</v>
      </c>
      <c r="E127" s="24"/>
      <c r="F127" s="7"/>
      <c r="G127" s="7"/>
      <c r="H127" s="97">
        <f>VLOOKUP($A127,'Model Inputs'!$A:$D,4,FALSE)</f>
        <v>282</v>
      </c>
      <c r="I127" s="7"/>
      <c r="J127" s="138">
        <f>SUBTOTAL(9,J130:J139)</f>
        <v>14940.590699069908</v>
      </c>
      <c r="K127" s="138"/>
      <c r="L127" s="138">
        <f>ROUNDUP((MAX(L130:L134)+MAX(L137:L139)),0)</f>
        <v>3</v>
      </c>
      <c r="M127" s="138">
        <f t="shared" ref="M127:Q127" si="146">SUBTOTAL(9,M130:M139)</f>
        <v>2708.5198919891991</v>
      </c>
      <c r="N127" s="138">
        <f t="shared" si="146"/>
        <v>0</v>
      </c>
      <c r="O127" s="138">
        <f t="shared" si="146"/>
        <v>12232.070807080709</v>
      </c>
      <c r="P127" s="138">
        <f t="shared" si="146"/>
        <v>0</v>
      </c>
      <c r="Q127" s="138">
        <f t="shared" si="146"/>
        <v>14940.590699069908</v>
      </c>
      <c r="R127" s="155"/>
    </row>
    <row r="128" spans="1:22" ht="30" x14ac:dyDescent="0.35">
      <c r="B128" s="95">
        <v>1</v>
      </c>
      <c r="C128" s="6" t="s">
        <v>62</v>
      </c>
      <c r="F128" s="9"/>
      <c r="G128" s="9"/>
      <c r="H128" s="9"/>
      <c r="I128" s="9"/>
    </row>
    <row r="129" spans="1:18" x14ac:dyDescent="0.35">
      <c r="A129" s="27"/>
      <c r="B129" s="92">
        <v>2</v>
      </c>
      <c r="C129" s="5" t="s">
        <v>666</v>
      </c>
      <c r="D129" s="3"/>
      <c r="E129" s="27"/>
      <c r="F129" s="8"/>
      <c r="G129" s="8"/>
      <c r="H129" s="8">
        <f>H127*GCF</f>
        <v>676.80000000000007</v>
      </c>
      <c r="I129" s="8"/>
      <c r="J129" s="139"/>
      <c r="K129" s="139"/>
      <c r="L129" s="139"/>
      <c r="M129" s="139"/>
      <c r="N129" s="139"/>
      <c r="O129" s="139"/>
      <c r="P129" s="139"/>
      <c r="Q129" s="139"/>
      <c r="R129" s="156"/>
    </row>
    <row r="130" spans="1:18" x14ac:dyDescent="0.35">
      <c r="A130" s="27">
        <v>24.1</v>
      </c>
      <c r="B130" s="92">
        <v>3</v>
      </c>
      <c r="C130" s="19" t="s">
        <v>63</v>
      </c>
      <c r="D130" s="3" t="s">
        <v>26</v>
      </c>
      <c r="E130" s="27" t="str">
        <f>VLOOKUP(C130,Resources!B:D,3,FALSE)</f>
        <v>P</v>
      </c>
      <c r="F130" s="8">
        <v>1</v>
      </c>
      <c r="G130" s="97">
        <f>VLOOKUP($A130,'Model Inputs'!$A:$D,4,FALSE)</f>
        <v>44.44</v>
      </c>
      <c r="H130" s="8">
        <f>H129</f>
        <v>676.80000000000007</v>
      </c>
      <c r="I130" s="22">
        <f>VLOOKUP(C130,Resources!B:G,6,FALSE)</f>
        <v>135</v>
      </c>
      <c r="J130" s="139">
        <f t="shared" ref="J130:J134" si="147">(H130/(G130/F130))*I130</f>
        <v>2055.9855985598565</v>
      </c>
      <c r="K130" s="139">
        <f t="shared" ref="K130:K134" si="148">IF(E130="M",H130,(H130/(G130)*F130))</f>
        <v>15.229522952295232</v>
      </c>
      <c r="L130" s="139">
        <f>IF(E130="M"," ",K130/F130/Workhrs)</f>
        <v>1.6921692169216924</v>
      </c>
      <c r="M130" s="139">
        <f t="shared" ref="M130:M134" si="149">IF($E130="L",$J130,0)</f>
        <v>0</v>
      </c>
      <c r="N130" s="139">
        <f t="shared" ref="N130:N134" si="150">IF($E130="M",$J130,0)</f>
        <v>0</v>
      </c>
      <c r="O130" s="139">
        <f t="shared" ref="O130:O134" si="151">IF($E130="P",$J130,0)</f>
        <v>2055.9855985598565</v>
      </c>
      <c r="P130" s="139">
        <f>IF($E130="S",$J130,0)</f>
        <v>0</v>
      </c>
      <c r="Q130" s="139">
        <f t="shared" ref="Q130:Q134" si="152">SUM(M130:P130)</f>
        <v>2055.9855985598565</v>
      </c>
      <c r="R130" s="156">
        <v>62</v>
      </c>
    </row>
    <row r="131" spans="1:18" x14ac:dyDescent="0.35">
      <c r="A131" s="27"/>
      <c r="B131" s="92">
        <v>4</v>
      </c>
      <c r="C131" s="19" t="s">
        <v>64</v>
      </c>
      <c r="D131" s="3" t="s">
        <v>26</v>
      </c>
      <c r="E131" s="27" t="str">
        <f>VLOOKUP(C131,Resources!B:D,3,FALSE)</f>
        <v>P</v>
      </c>
      <c r="F131" s="8">
        <v>3</v>
      </c>
      <c r="G131" s="8">
        <f>G130</f>
        <v>44.44</v>
      </c>
      <c r="H131" s="8">
        <f>H129</f>
        <v>676.80000000000007</v>
      </c>
      <c r="I131" s="22">
        <f>VLOOKUP(C131,Resources!B:G,6,FALSE)</f>
        <v>145</v>
      </c>
      <c r="J131" s="139">
        <f t="shared" si="147"/>
        <v>6624.8424842484255</v>
      </c>
      <c r="K131" s="139">
        <f t="shared" si="148"/>
        <v>45.688568856885695</v>
      </c>
      <c r="L131" s="139">
        <f>IF(E131="M"," ",K131/F131/Workhrs)</f>
        <v>1.6921692169216924</v>
      </c>
      <c r="M131" s="139">
        <f t="shared" si="149"/>
        <v>0</v>
      </c>
      <c r="N131" s="139">
        <f t="shared" si="150"/>
        <v>0</v>
      </c>
      <c r="O131" s="139">
        <f t="shared" si="151"/>
        <v>6624.8424842484255</v>
      </c>
      <c r="P131" s="139">
        <f>IF($E131="S",$J131,0)</f>
        <v>0</v>
      </c>
      <c r="Q131" s="139">
        <f t="shared" si="152"/>
        <v>6624.8424842484255</v>
      </c>
      <c r="R131" s="156">
        <v>62</v>
      </c>
    </row>
    <row r="132" spans="1:18" x14ac:dyDescent="0.35">
      <c r="A132" s="27"/>
      <c r="B132" s="92">
        <v>5</v>
      </c>
      <c r="C132" s="19" t="s">
        <v>52</v>
      </c>
      <c r="D132" s="3" t="s">
        <v>26</v>
      </c>
      <c r="E132" s="27" t="str">
        <f>VLOOKUP(C132,Resources!B:D,3,FALSE)</f>
        <v>P</v>
      </c>
      <c r="F132" s="8">
        <v>1</v>
      </c>
      <c r="G132" s="8">
        <f>G130</f>
        <v>44.44</v>
      </c>
      <c r="H132" s="8">
        <f>H129</f>
        <v>676.80000000000007</v>
      </c>
      <c r="I132" s="22">
        <f>VLOOKUP(C132,Resources!B:G,6,FALSE)</f>
        <v>100</v>
      </c>
      <c r="J132" s="139">
        <f t="shared" si="147"/>
        <v>1522.9522952295233</v>
      </c>
      <c r="K132" s="139">
        <f t="shared" si="148"/>
        <v>15.229522952295232</v>
      </c>
      <c r="L132" s="139">
        <f>IF(E132="M"," ",K132/F132/Workhrs)</f>
        <v>1.6921692169216924</v>
      </c>
      <c r="M132" s="139">
        <f t="shared" si="149"/>
        <v>0</v>
      </c>
      <c r="N132" s="139">
        <f t="shared" si="150"/>
        <v>0</v>
      </c>
      <c r="O132" s="139">
        <f t="shared" si="151"/>
        <v>1522.9522952295233</v>
      </c>
      <c r="P132" s="139">
        <f>IF($E132="S",$J132,0)</f>
        <v>0</v>
      </c>
      <c r="Q132" s="139">
        <f t="shared" si="152"/>
        <v>1522.9522952295233</v>
      </c>
      <c r="R132" s="156">
        <v>62</v>
      </c>
    </row>
    <row r="133" spans="1:18" x14ac:dyDescent="0.35">
      <c r="A133" s="27"/>
      <c r="B133" s="92">
        <v>6</v>
      </c>
      <c r="C133" s="19" t="s">
        <v>106</v>
      </c>
      <c r="D133" s="3" t="s">
        <v>26</v>
      </c>
      <c r="E133" s="27" t="str">
        <f>VLOOKUP(C133,Resources!B:D,3,FALSE)</f>
        <v>P</v>
      </c>
      <c r="F133" s="8">
        <v>1</v>
      </c>
      <c r="G133" s="8">
        <f>G130</f>
        <v>44.44</v>
      </c>
      <c r="H133" s="8">
        <f>H129</f>
        <v>676.80000000000007</v>
      </c>
      <c r="I133" s="22">
        <f>VLOOKUP(C133,Resources!B:G,6,FALSE)</f>
        <v>55</v>
      </c>
      <c r="J133" s="139">
        <f t="shared" si="147"/>
        <v>837.62376237623778</v>
      </c>
      <c r="K133" s="139">
        <f t="shared" si="148"/>
        <v>15.229522952295232</v>
      </c>
      <c r="L133" s="139">
        <f>IF(E133="M"," ",K133/F133/Workhrs)</f>
        <v>1.6921692169216924</v>
      </c>
      <c r="M133" s="139">
        <f t="shared" si="149"/>
        <v>0</v>
      </c>
      <c r="N133" s="139">
        <f t="shared" si="150"/>
        <v>0</v>
      </c>
      <c r="O133" s="139">
        <f t="shared" si="151"/>
        <v>837.62376237623778</v>
      </c>
      <c r="P133" s="139">
        <f>IF($E133="S",$J133,0)</f>
        <v>0</v>
      </c>
      <c r="Q133" s="139">
        <f t="shared" si="152"/>
        <v>837.62376237623778</v>
      </c>
      <c r="R133" s="156">
        <v>62</v>
      </c>
    </row>
    <row r="134" spans="1:18" x14ac:dyDescent="0.35">
      <c r="A134" s="27"/>
      <c r="B134" s="92">
        <v>7</v>
      </c>
      <c r="C134" s="19" t="s">
        <v>8</v>
      </c>
      <c r="D134" s="3" t="s">
        <v>26</v>
      </c>
      <c r="E134" s="27" t="str">
        <f>VLOOKUP(C134,Resources!B:D,3,FALSE)</f>
        <v>L</v>
      </c>
      <c r="F134" s="8">
        <v>3</v>
      </c>
      <c r="G134" s="8">
        <f>G130</f>
        <v>44.44</v>
      </c>
      <c r="H134" s="8">
        <f>H129</f>
        <v>676.80000000000007</v>
      </c>
      <c r="I134" s="22">
        <f>VLOOKUP(C134,Resources!B:G,6,FALSE)</f>
        <v>42</v>
      </c>
      <c r="J134" s="139">
        <f t="shared" si="147"/>
        <v>1918.9198919891992</v>
      </c>
      <c r="K134" s="139">
        <f t="shared" si="148"/>
        <v>45.688568856885695</v>
      </c>
      <c r="L134" s="139">
        <f>IF(E134="M"," ",K134/F134/Workhrs)</f>
        <v>1.6921692169216924</v>
      </c>
      <c r="M134" s="139">
        <f t="shared" si="149"/>
        <v>1918.9198919891992</v>
      </c>
      <c r="N134" s="139">
        <f t="shared" si="150"/>
        <v>0</v>
      </c>
      <c r="O134" s="139">
        <f t="shared" si="151"/>
        <v>0</v>
      </c>
      <c r="P134" s="139">
        <f>IF($E134="S",$J134,0)</f>
        <v>0</v>
      </c>
      <c r="Q134" s="139">
        <f t="shared" si="152"/>
        <v>1918.9198919891992</v>
      </c>
      <c r="R134" s="156">
        <v>62</v>
      </c>
    </row>
    <row r="135" spans="1:18" x14ac:dyDescent="0.35">
      <c r="B135" s="95">
        <v>8</v>
      </c>
      <c r="C135" s="6" t="s">
        <v>402</v>
      </c>
      <c r="F135" s="9"/>
      <c r="G135" s="9"/>
      <c r="H135" s="9"/>
      <c r="I135" s="9"/>
    </row>
    <row r="136" spans="1:18" x14ac:dyDescent="0.35">
      <c r="B136" s="95">
        <v>9</v>
      </c>
      <c r="C136" s="6" t="s">
        <v>668</v>
      </c>
      <c r="D136" s="4" t="s">
        <v>669</v>
      </c>
      <c r="F136" s="9"/>
      <c r="G136" s="9"/>
      <c r="H136" s="9"/>
      <c r="I136" s="9"/>
    </row>
    <row r="137" spans="1:18" x14ac:dyDescent="0.35">
      <c r="A137" s="27">
        <v>24.2</v>
      </c>
      <c r="B137" s="92">
        <v>10</v>
      </c>
      <c r="C137" s="19" t="s">
        <v>63</v>
      </c>
      <c r="D137" s="3" t="s">
        <v>26</v>
      </c>
      <c r="E137" s="27" t="str">
        <f>VLOOKUP(C137,Resources!B:D,3,FALSE)</f>
        <v>P</v>
      </c>
      <c r="F137" s="8">
        <v>1</v>
      </c>
      <c r="G137" s="97">
        <f>VLOOKUP($A137,'Model Inputs'!$A:$D,4,FALSE)</f>
        <v>300</v>
      </c>
      <c r="H137" s="8">
        <f>H127/0.15</f>
        <v>1880</v>
      </c>
      <c r="I137" s="22">
        <f>VLOOKUP(C137,Resources!B:G,6,FALSE)</f>
        <v>135</v>
      </c>
      <c r="J137" s="139">
        <f t="shared" ref="J137:J139" si="153">(H137/(G137/F137))*I137</f>
        <v>846</v>
      </c>
      <c r="K137" s="139">
        <f t="shared" ref="K137:K139" si="154">IF(E137="M",H137,(H137/(G137)*F137))</f>
        <v>6.2666666666666666</v>
      </c>
      <c r="L137" s="139">
        <f>IF(E137="M"," ",K137/F137/Workhrs)</f>
        <v>0.6962962962962963</v>
      </c>
      <c r="M137" s="139">
        <f t="shared" ref="M137:M139" si="155">IF($E137="L",$J137,0)</f>
        <v>0</v>
      </c>
      <c r="N137" s="139">
        <f t="shared" ref="N137:N139" si="156">IF($E137="M",$J137,0)</f>
        <v>0</v>
      </c>
      <c r="O137" s="139">
        <f t="shared" ref="O137:O139" si="157">IF($E137="P",$J137,0)</f>
        <v>846</v>
      </c>
      <c r="P137" s="139">
        <f>IF($E137="S",$J137,0)</f>
        <v>0</v>
      </c>
      <c r="Q137" s="139">
        <f t="shared" ref="Q137:Q139" si="158">SUM(M137:P137)</f>
        <v>846</v>
      </c>
      <c r="R137" s="156">
        <v>63</v>
      </c>
    </row>
    <row r="138" spans="1:18" x14ac:dyDescent="0.35">
      <c r="A138" s="27"/>
      <c r="B138" s="92">
        <v>11</v>
      </c>
      <c r="C138" s="19" t="s">
        <v>405</v>
      </c>
      <c r="D138" s="3" t="s">
        <v>26</v>
      </c>
      <c r="E138" s="27" t="str">
        <f>VLOOKUP(C138,Resources!B:D,3,FALSE)</f>
        <v>P</v>
      </c>
      <c r="F138" s="8">
        <v>1</v>
      </c>
      <c r="G138" s="8">
        <f>G137</f>
        <v>300</v>
      </c>
      <c r="H138" s="8">
        <f>H137</f>
        <v>1880</v>
      </c>
      <c r="I138" s="22">
        <f>VLOOKUP(C138,Resources!B:G,6,FALSE)</f>
        <v>55</v>
      </c>
      <c r="J138" s="139">
        <f t="shared" si="153"/>
        <v>344.66666666666669</v>
      </c>
      <c r="K138" s="139">
        <f t="shared" si="154"/>
        <v>6.2666666666666666</v>
      </c>
      <c r="L138" s="139">
        <f>IF(E138="M"," ",K138/F138/Workhrs)</f>
        <v>0.6962962962962963</v>
      </c>
      <c r="M138" s="139">
        <f t="shared" si="155"/>
        <v>0</v>
      </c>
      <c r="N138" s="139">
        <f t="shared" si="156"/>
        <v>0</v>
      </c>
      <c r="O138" s="139">
        <f t="shared" si="157"/>
        <v>344.66666666666669</v>
      </c>
      <c r="P138" s="139">
        <f>IF($E138="S",$J138,0)</f>
        <v>0</v>
      </c>
      <c r="Q138" s="139">
        <f t="shared" si="158"/>
        <v>344.66666666666669</v>
      </c>
      <c r="R138" s="156">
        <v>63</v>
      </c>
    </row>
    <row r="139" spans="1:18" x14ac:dyDescent="0.35">
      <c r="A139" s="27"/>
      <c r="B139" s="92">
        <v>12</v>
      </c>
      <c r="C139" s="19" t="s">
        <v>8</v>
      </c>
      <c r="D139" s="3" t="s">
        <v>26</v>
      </c>
      <c r="E139" s="27" t="str">
        <f>VLOOKUP(C139,Resources!B:D,3,FALSE)</f>
        <v>L</v>
      </c>
      <c r="F139" s="8">
        <v>3</v>
      </c>
      <c r="G139" s="8">
        <f>G137</f>
        <v>300</v>
      </c>
      <c r="H139" s="8">
        <f>H137</f>
        <v>1880</v>
      </c>
      <c r="I139" s="22">
        <f>VLOOKUP(C139,Resources!B:G,6,FALSE)</f>
        <v>42</v>
      </c>
      <c r="J139" s="139">
        <f t="shared" si="153"/>
        <v>789.6</v>
      </c>
      <c r="K139" s="139">
        <f t="shared" si="154"/>
        <v>18.8</v>
      </c>
      <c r="L139" s="139">
        <f>IF(E139="M"," ",K139/F139/Workhrs)</f>
        <v>0.6962962962962963</v>
      </c>
      <c r="M139" s="139">
        <f t="shared" si="155"/>
        <v>789.6</v>
      </c>
      <c r="N139" s="139">
        <f t="shared" si="156"/>
        <v>0</v>
      </c>
      <c r="O139" s="139">
        <f t="shared" si="157"/>
        <v>0</v>
      </c>
      <c r="P139" s="139">
        <f>IF($E139="S",$J139,0)</f>
        <v>0</v>
      </c>
      <c r="Q139" s="139">
        <f t="shared" si="158"/>
        <v>789.6</v>
      </c>
      <c r="R139" s="156">
        <v>63</v>
      </c>
    </row>
    <row r="140" spans="1:18" x14ac:dyDescent="0.35">
      <c r="C140" s="6" t="s">
        <v>402</v>
      </c>
      <c r="F140" s="9"/>
      <c r="G140" s="9"/>
      <c r="H140" s="9"/>
      <c r="I140" s="9"/>
    </row>
    <row r="141" spans="1:18" ht="30" x14ac:dyDescent="0.35">
      <c r="A141" s="26">
        <v>25</v>
      </c>
      <c r="B141" s="94" t="s">
        <v>101</v>
      </c>
      <c r="C141" s="1" t="s">
        <v>102</v>
      </c>
      <c r="D141" s="2" t="s">
        <v>103</v>
      </c>
      <c r="E141" s="24"/>
      <c r="F141" s="7"/>
      <c r="G141" s="7"/>
      <c r="H141" s="97">
        <f>VLOOKUP($A141,'Model Inputs'!$A:$D,4,FALSE)</f>
        <v>483</v>
      </c>
      <c r="I141" s="7"/>
      <c r="J141" s="138">
        <f>SUBTOTAL(9,J143:J159)</f>
        <v>34310.939763093054</v>
      </c>
      <c r="K141" s="138"/>
      <c r="L141" s="138">
        <f>ROUNDUP((MAX(L143:L145)+MAX(L147:L150)+MAX(L154:L159)),0)</f>
        <v>7</v>
      </c>
      <c r="M141" s="138">
        <f t="shared" ref="M141:Q141" si="159">SUBTOTAL(9,M143:M159)</f>
        <v>5375.5465801709906</v>
      </c>
      <c r="N141" s="138">
        <f t="shared" si="159"/>
        <v>8276.6880000000001</v>
      </c>
      <c r="O141" s="138">
        <f t="shared" si="159"/>
        <v>20658.705182922058</v>
      </c>
      <c r="P141" s="138">
        <f t="shared" si="159"/>
        <v>0</v>
      </c>
      <c r="Q141" s="138">
        <f t="shared" si="159"/>
        <v>34310.939763093054</v>
      </c>
      <c r="R141" s="155"/>
    </row>
    <row r="142" spans="1:18" x14ac:dyDescent="0.35">
      <c r="B142" s="95">
        <v>1</v>
      </c>
      <c r="C142" s="6" t="s">
        <v>104</v>
      </c>
      <c r="F142" s="9"/>
      <c r="G142" s="9"/>
      <c r="H142" s="9"/>
      <c r="I142" s="9"/>
    </row>
    <row r="143" spans="1:18" x14ac:dyDescent="0.35">
      <c r="A143" s="27"/>
      <c r="B143" s="92">
        <v>2</v>
      </c>
      <c r="C143" s="19" t="s">
        <v>50</v>
      </c>
      <c r="D143" s="3" t="s">
        <v>26</v>
      </c>
      <c r="E143" s="27" t="str">
        <f>VLOOKUP(C143,Resources!B:D,3,FALSE)</f>
        <v>P</v>
      </c>
      <c r="F143" s="8">
        <v>1</v>
      </c>
      <c r="G143" s="8">
        <v>40</v>
      </c>
      <c r="H143" s="8">
        <f>H141</f>
        <v>483</v>
      </c>
      <c r="I143" s="22">
        <f>VLOOKUP(C143,Resources!B:G,6,FALSE)</f>
        <v>135</v>
      </c>
      <c r="J143" s="139">
        <f t="shared" ref="J143:J145" si="160">(H143/(G143/F143))*I143</f>
        <v>1630.125</v>
      </c>
      <c r="K143" s="139">
        <f t="shared" ref="K143:K145" si="161">IF(E143="M",H143,(H143/(G143)*F143))</f>
        <v>12.074999999999999</v>
      </c>
      <c r="L143" s="139">
        <f>IF(E143="M"," ",K143/F143/Workhrs)</f>
        <v>1.3416666666666666</v>
      </c>
      <c r="M143" s="139">
        <f t="shared" ref="M143:M145" si="162">IF($E143="L",$J143,0)</f>
        <v>0</v>
      </c>
      <c r="N143" s="139">
        <f t="shared" ref="N143:N145" si="163">IF($E143="M",$J143,0)</f>
        <v>0</v>
      </c>
      <c r="O143" s="139">
        <f t="shared" ref="O143:O145" si="164">IF($E143="P",$J143,0)</f>
        <v>1630.125</v>
      </c>
      <c r="P143" s="139">
        <f>IF($E143="S",$J143,0)</f>
        <v>0</v>
      </c>
      <c r="Q143" s="139">
        <f t="shared" ref="Q143:Q145" si="165">SUM(M143:P143)</f>
        <v>1630.125</v>
      </c>
      <c r="R143" s="156">
        <v>53</v>
      </c>
    </row>
    <row r="144" spans="1:18" x14ac:dyDescent="0.35">
      <c r="A144" s="27"/>
      <c r="B144" s="92">
        <v>3</v>
      </c>
      <c r="C144" s="19" t="s">
        <v>51</v>
      </c>
      <c r="D144" s="3" t="s">
        <v>26</v>
      </c>
      <c r="E144" s="27" t="str">
        <f>VLOOKUP(C144,Resources!B:D,3,FALSE)</f>
        <v>P</v>
      </c>
      <c r="F144" s="8">
        <v>2</v>
      </c>
      <c r="G144" s="8">
        <v>40</v>
      </c>
      <c r="H144" s="8">
        <f>H141</f>
        <v>483</v>
      </c>
      <c r="I144" s="22">
        <f>VLOOKUP(C144,Resources!B:G,6,FALSE)</f>
        <v>95</v>
      </c>
      <c r="J144" s="139">
        <f t="shared" si="160"/>
        <v>2294.25</v>
      </c>
      <c r="K144" s="139">
        <f t="shared" si="161"/>
        <v>24.15</v>
      </c>
      <c r="L144" s="139">
        <f>IF(E144="M"," ",K144/F144/Workhrs)</f>
        <v>1.3416666666666666</v>
      </c>
      <c r="M144" s="139">
        <f t="shared" si="162"/>
        <v>0</v>
      </c>
      <c r="N144" s="139">
        <f t="shared" si="163"/>
        <v>0</v>
      </c>
      <c r="O144" s="139">
        <f t="shared" si="164"/>
        <v>2294.25</v>
      </c>
      <c r="P144" s="139">
        <f>IF($E144="S",$J144,0)</f>
        <v>0</v>
      </c>
      <c r="Q144" s="139">
        <f t="shared" si="165"/>
        <v>2294.25</v>
      </c>
      <c r="R144" s="156">
        <v>53</v>
      </c>
    </row>
    <row r="145" spans="1:22" x14ac:dyDescent="0.35">
      <c r="A145" s="27"/>
      <c r="B145" s="92">
        <v>4</v>
      </c>
      <c r="C145" s="19" t="s">
        <v>8</v>
      </c>
      <c r="D145" s="3" t="s">
        <v>26</v>
      </c>
      <c r="E145" s="27" t="str">
        <f>VLOOKUP(C145,Resources!B:D,3,FALSE)</f>
        <v>L</v>
      </c>
      <c r="F145" s="8">
        <v>1</v>
      </c>
      <c r="G145" s="8">
        <v>40</v>
      </c>
      <c r="H145" s="8">
        <f>H141</f>
        <v>483</v>
      </c>
      <c r="I145" s="22">
        <f>VLOOKUP(C145,Resources!B:G,6,FALSE)</f>
        <v>42</v>
      </c>
      <c r="J145" s="139">
        <f t="shared" si="160"/>
        <v>507.15</v>
      </c>
      <c r="K145" s="139">
        <f t="shared" si="161"/>
        <v>12.074999999999999</v>
      </c>
      <c r="L145" s="139">
        <f>IF(E145="M"," ",K145/F145/Workhrs)</f>
        <v>1.3416666666666666</v>
      </c>
      <c r="M145" s="139">
        <f t="shared" si="162"/>
        <v>507.15</v>
      </c>
      <c r="N145" s="139">
        <f t="shared" si="163"/>
        <v>0</v>
      </c>
      <c r="O145" s="139">
        <f t="shared" si="164"/>
        <v>0</v>
      </c>
      <c r="P145" s="139">
        <f>IF($E145="S",$J145,0)</f>
        <v>0</v>
      </c>
      <c r="Q145" s="139">
        <f t="shared" si="165"/>
        <v>507.15</v>
      </c>
      <c r="R145" s="156">
        <v>53</v>
      </c>
    </row>
    <row r="146" spans="1:22" x14ac:dyDescent="0.35">
      <c r="B146" s="95">
        <v>5</v>
      </c>
      <c r="C146" s="6" t="s">
        <v>105</v>
      </c>
      <c r="F146" s="9"/>
      <c r="G146" s="9"/>
      <c r="H146" s="9"/>
      <c r="I146" s="9"/>
    </row>
    <row r="147" spans="1:22" x14ac:dyDescent="0.35">
      <c r="A147" s="27"/>
      <c r="B147" s="92">
        <v>6</v>
      </c>
      <c r="C147" s="19" t="s">
        <v>50</v>
      </c>
      <c r="D147" s="3" t="s">
        <v>26</v>
      </c>
      <c r="E147" s="27" t="str">
        <f>VLOOKUP(C147,Resources!B:D,3,FALSE)</f>
        <v>P</v>
      </c>
      <c r="F147" s="8">
        <v>1</v>
      </c>
      <c r="G147" s="8">
        <v>27.777999999999999</v>
      </c>
      <c r="H147" s="8">
        <f>H141</f>
        <v>483</v>
      </c>
      <c r="I147" s="22">
        <f>VLOOKUP(C147,Resources!B:G,6,FALSE)</f>
        <v>135</v>
      </c>
      <c r="J147" s="139">
        <f t="shared" ref="J147:J150" si="166">(H147/(G147/F147))*I147</f>
        <v>2347.3612211102313</v>
      </c>
      <c r="K147" s="139">
        <f t="shared" ref="K147:K150" si="167">IF(E147="M",H147,(H147/(G147)*F147))</f>
        <v>17.387860897112823</v>
      </c>
      <c r="L147" s="139">
        <f>IF(E147="M"," ",K147/F147/Workhrs)</f>
        <v>1.931984544123647</v>
      </c>
      <c r="M147" s="139">
        <f t="shared" ref="M147:M150" si="168">IF($E147="L",$J147,0)</f>
        <v>0</v>
      </c>
      <c r="N147" s="139">
        <f t="shared" ref="N147:N150" si="169">IF($E147="M",$J147,0)</f>
        <v>0</v>
      </c>
      <c r="O147" s="139">
        <f t="shared" ref="O147:O150" si="170">IF($E147="P",$J147,0)</f>
        <v>2347.3612211102313</v>
      </c>
      <c r="P147" s="139">
        <f>IF($E147="S",$J147,0)</f>
        <v>0</v>
      </c>
      <c r="Q147" s="139">
        <f t="shared" ref="Q147:Q150" si="171">SUM(M147:P147)</f>
        <v>2347.3612211102313</v>
      </c>
      <c r="R147" s="156">
        <v>53</v>
      </c>
    </row>
    <row r="148" spans="1:22" x14ac:dyDescent="0.35">
      <c r="A148" s="27"/>
      <c r="B148" s="92">
        <v>7</v>
      </c>
      <c r="C148" s="19" t="s">
        <v>51</v>
      </c>
      <c r="D148" s="3" t="s">
        <v>26</v>
      </c>
      <c r="E148" s="27" t="str">
        <f>VLOOKUP(C148,Resources!B:D,3,FALSE)</f>
        <v>P</v>
      </c>
      <c r="F148" s="8">
        <v>2</v>
      </c>
      <c r="G148" s="8">
        <v>27.777999999999999</v>
      </c>
      <c r="H148" s="8">
        <f>H141</f>
        <v>483</v>
      </c>
      <c r="I148" s="22">
        <f>VLOOKUP(C148,Resources!B:G,6,FALSE)</f>
        <v>95</v>
      </c>
      <c r="J148" s="139">
        <f t="shared" si="166"/>
        <v>3303.6935704514362</v>
      </c>
      <c r="K148" s="139">
        <f t="shared" si="167"/>
        <v>34.775721794225646</v>
      </c>
      <c r="L148" s="139">
        <f>IF(E148="M"," ",K148/F148/Workhrs)</f>
        <v>1.931984544123647</v>
      </c>
      <c r="M148" s="139">
        <f t="shared" si="168"/>
        <v>0</v>
      </c>
      <c r="N148" s="139">
        <f t="shared" si="169"/>
        <v>0</v>
      </c>
      <c r="O148" s="139">
        <f t="shared" si="170"/>
        <v>3303.6935704514362</v>
      </c>
      <c r="P148" s="139">
        <f>IF($E148="S",$J148,0)</f>
        <v>0</v>
      </c>
      <c r="Q148" s="139">
        <f t="shared" si="171"/>
        <v>3303.6935704514362</v>
      </c>
      <c r="R148" s="156">
        <v>53</v>
      </c>
    </row>
    <row r="149" spans="1:22" x14ac:dyDescent="0.35">
      <c r="A149" s="27"/>
      <c r="B149" s="92">
        <v>8</v>
      </c>
      <c r="C149" s="19" t="s">
        <v>63</v>
      </c>
      <c r="D149" s="3" t="s">
        <v>26</v>
      </c>
      <c r="E149" s="27" t="str">
        <f>VLOOKUP(C149,Resources!B:D,3,FALSE)</f>
        <v>P</v>
      </c>
      <c r="F149" s="8">
        <v>1</v>
      </c>
      <c r="G149" s="8">
        <v>27.777999999999999</v>
      </c>
      <c r="H149" s="8">
        <f>H141</f>
        <v>483</v>
      </c>
      <c r="I149" s="22">
        <f>VLOOKUP(C149,Resources!B:G,6,FALSE)</f>
        <v>135</v>
      </c>
      <c r="J149" s="139">
        <f t="shared" si="166"/>
        <v>2347.3612211102313</v>
      </c>
      <c r="K149" s="139">
        <f t="shared" si="167"/>
        <v>17.387860897112823</v>
      </c>
      <c r="L149" s="139">
        <f>IF(E149="M"," ",K149/F149/Workhrs)</f>
        <v>1.931984544123647</v>
      </c>
      <c r="M149" s="139">
        <f t="shared" si="168"/>
        <v>0</v>
      </c>
      <c r="N149" s="139">
        <f t="shared" si="169"/>
        <v>0</v>
      </c>
      <c r="O149" s="139">
        <f t="shared" si="170"/>
        <v>2347.3612211102313</v>
      </c>
      <c r="P149" s="139">
        <f>IF($E149="S",$J149,0)</f>
        <v>0</v>
      </c>
      <c r="Q149" s="139">
        <f t="shared" si="171"/>
        <v>2347.3612211102313</v>
      </c>
      <c r="R149" s="156">
        <v>53</v>
      </c>
    </row>
    <row r="150" spans="1:22" x14ac:dyDescent="0.35">
      <c r="A150" s="27"/>
      <c r="B150" s="92">
        <v>9</v>
      </c>
      <c r="C150" s="19" t="s">
        <v>106</v>
      </c>
      <c r="D150" s="3" t="s">
        <v>26</v>
      </c>
      <c r="E150" s="27" t="str">
        <f>VLOOKUP(C150,Resources!B:D,3,FALSE)</f>
        <v>P</v>
      </c>
      <c r="F150" s="8">
        <v>1</v>
      </c>
      <c r="G150" s="8">
        <v>27.777999999999999</v>
      </c>
      <c r="H150" s="8">
        <f>H141</f>
        <v>483</v>
      </c>
      <c r="I150" s="22">
        <f>VLOOKUP(C150,Resources!B:G,6,FALSE)</f>
        <v>55</v>
      </c>
      <c r="J150" s="139">
        <f t="shared" si="166"/>
        <v>956.33234934120526</v>
      </c>
      <c r="K150" s="139">
        <f t="shared" si="167"/>
        <v>17.387860897112823</v>
      </c>
      <c r="L150" s="139">
        <f>IF(E150="M"," ",K150/F150/Workhrs)</f>
        <v>1.931984544123647</v>
      </c>
      <c r="M150" s="139">
        <f t="shared" si="168"/>
        <v>0</v>
      </c>
      <c r="N150" s="139">
        <f t="shared" si="169"/>
        <v>0</v>
      </c>
      <c r="O150" s="139">
        <f t="shared" si="170"/>
        <v>956.33234934120526</v>
      </c>
      <c r="P150" s="139">
        <f>IF($E150="S",$J150,0)</f>
        <v>0</v>
      </c>
      <c r="Q150" s="139">
        <f t="shared" si="171"/>
        <v>956.33234934120526</v>
      </c>
      <c r="R150" s="156">
        <v>53</v>
      </c>
    </row>
    <row r="151" spans="1:22" x14ac:dyDescent="0.35">
      <c r="B151" s="95">
        <v>10</v>
      </c>
      <c r="C151" s="6" t="s">
        <v>670</v>
      </c>
      <c r="F151" s="9"/>
      <c r="G151" s="9"/>
      <c r="H151" s="9"/>
      <c r="I151" s="9"/>
    </row>
    <row r="152" spans="1:22" x14ac:dyDescent="0.35">
      <c r="A152" s="27"/>
      <c r="B152" s="92">
        <v>11</v>
      </c>
      <c r="C152" s="19" t="s">
        <v>76</v>
      </c>
      <c r="D152" s="3" t="s">
        <v>54</v>
      </c>
      <c r="E152" s="27" t="str">
        <f>VLOOKUP(C152,Resources!B:D,3,FALSE)</f>
        <v>M</v>
      </c>
      <c r="F152" s="8">
        <v>1</v>
      </c>
      <c r="G152" s="8">
        <v>1</v>
      </c>
      <c r="H152" s="8">
        <f>H153*0.012</f>
        <v>23.184000000000001</v>
      </c>
      <c r="I152" s="22">
        <f>VLOOKUP(C152,Resources!B:G,6,FALSE)</f>
        <v>357</v>
      </c>
      <c r="J152" s="139">
        <f t="shared" ref="J152" si="172">(H152/(G152/F152))*I152</f>
        <v>8276.6880000000001</v>
      </c>
      <c r="K152" s="139">
        <f t="shared" ref="K152" si="173">IF(E152="M",H152,(H152/(G152)*F152))</f>
        <v>23.184000000000001</v>
      </c>
      <c r="L152" s="139" t="str">
        <f>IF(E152="M"," ",K152/F152/Workhrs)</f>
        <v xml:space="preserve"> </v>
      </c>
      <c r="M152" s="139">
        <f t="shared" ref="M152:M159" si="174">IF($E152="L",$J152,0)</f>
        <v>0</v>
      </c>
      <c r="N152" s="139">
        <f t="shared" ref="N152:N159" si="175">IF($E152="M",$J152,0)</f>
        <v>8276.6880000000001</v>
      </c>
      <c r="O152" s="139">
        <f t="shared" ref="O152:O159" si="176">IF($E152="P",$J152,0)</f>
        <v>0</v>
      </c>
      <c r="P152" s="139">
        <f>IF($E152="S",$J152,0)</f>
        <v>0</v>
      </c>
      <c r="Q152" s="139">
        <f t="shared" ref="Q152" si="177">SUM(M152:P152)</f>
        <v>8276.6880000000001</v>
      </c>
      <c r="R152" s="156" t="s">
        <v>693</v>
      </c>
    </row>
    <row r="153" spans="1:22" x14ac:dyDescent="0.35">
      <c r="A153" s="27"/>
      <c r="B153" s="92">
        <v>12</v>
      </c>
      <c r="C153" s="19" t="s">
        <v>95</v>
      </c>
      <c r="D153" s="16" t="s">
        <v>110</v>
      </c>
      <c r="E153" s="27"/>
      <c r="F153" s="8"/>
      <c r="G153" s="8"/>
      <c r="H153" s="8">
        <f>H141/0.25</f>
        <v>1932</v>
      </c>
      <c r="I153" s="8"/>
      <c r="J153" s="139"/>
      <c r="K153" s="139"/>
      <c r="L153" s="139"/>
      <c r="M153" s="139"/>
      <c r="N153" s="139"/>
      <c r="O153" s="139"/>
      <c r="P153" s="139"/>
      <c r="Q153" s="139"/>
      <c r="R153" s="156"/>
    </row>
    <row r="154" spans="1:22" s="90" customFormat="1" x14ac:dyDescent="0.35">
      <c r="A154" s="27">
        <v>25.1</v>
      </c>
      <c r="B154" s="92">
        <v>13</v>
      </c>
      <c r="C154" s="92" t="s">
        <v>562</v>
      </c>
      <c r="D154" s="22" t="s">
        <v>26</v>
      </c>
      <c r="E154" s="27" t="str">
        <f>VLOOKUP(C154,Resources!B:D,3,FALSE)</f>
        <v>P</v>
      </c>
      <c r="F154" s="22">
        <v>1</v>
      </c>
      <c r="G154" s="97">
        <f>VLOOKUP($A154,'Model Inputs'!$A:$D,4,FALSE)</f>
        <v>66.67</v>
      </c>
      <c r="H154" s="22">
        <f>H153</f>
        <v>1932</v>
      </c>
      <c r="I154" s="22">
        <f>VLOOKUP(C154,Resources!B:G,6,FALSE)</f>
        <v>66.069999999999993</v>
      </c>
      <c r="J154" s="139">
        <f t="shared" ref="J154:J159" si="178">(H154/(G154/F154))*I154</f>
        <v>1914.6128693565317</v>
      </c>
      <c r="K154" s="139">
        <f t="shared" ref="K154:K159" si="179">IF(E154="M",H154,(H154/(G154)*F154))</f>
        <v>28.978551072446376</v>
      </c>
      <c r="L154" s="139">
        <f t="shared" ref="L154:L159" si="180">IF(E154="M"," ",K154/F154/Workhrs)</f>
        <v>3.2198390080495973</v>
      </c>
      <c r="M154" s="139">
        <f t="shared" si="174"/>
        <v>0</v>
      </c>
      <c r="N154" s="139">
        <f t="shared" si="175"/>
        <v>0</v>
      </c>
      <c r="O154" s="139">
        <f t="shared" si="176"/>
        <v>1914.6128693565317</v>
      </c>
      <c r="P154" s="139">
        <f t="shared" ref="P154:P159" si="181">IF($E154="S",$J154,0)</f>
        <v>0</v>
      </c>
      <c r="Q154" s="139">
        <f t="shared" ref="Q154:Q159" si="182">SUM(M154:P154)</f>
        <v>1914.6128693565317</v>
      </c>
      <c r="R154" s="156">
        <v>68</v>
      </c>
      <c r="T154" s="247"/>
      <c r="U154"/>
      <c r="V154" s="277"/>
    </row>
    <row r="155" spans="1:22" s="90" customFormat="1" x14ac:dyDescent="0.35">
      <c r="A155" s="27"/>
      <c r="B155" s="92">
        <v>14</v>
      </c>
      <c r="C155" s="92" t="s">
        <v>576</v>
      </c>
      <c r="D155" s="22" t="s">
        <v>26</v>
      </c>
      <c r="E155" s="27" t="str">
        <f>VLOOKUP(C155,Resources!B:D,3,FALSE)</f>
        <v>P</v>
      </c>
      <c r="F155" s="22">
        <v>1</v>
      </c>
      <c r="G155" s="22">
        <f>G154</f>
        <v>66.67</v>
      </c>
      <c r="H155" s="22">
        <f>H153</f>
        <v>1932</v>
      </c>
      <c r="I155" s="22">
        <f>VLOOKUP(C155,Resources!B:G,6,FALSE)</f>
        <v>25.78</v>
      </c>
      <c r="J155" s="139">
        <f t="shared" si="178"/>
        <v>747.06704664766755</v>
      </c>
      <c r="K155" s="139">
        <f t="shared" si="179"/>
        <v>28.978551072446376</v>
      </c>
      <c r="L155" s="139">
        <f t="shared" si="180"/>
        <v>3.2198390080495973</v>
      </c>
      <c r="M155" s="139">
        <f t="shared" si="174"/>
        <v>0</v>
      </c>
      <c r="N155" s="139">
        <f t="shared" si="175"/>
        <v>0</v>
      </c>
      <c r="O155" s="139">
        <f t="shared" si="176"/>
        <v>747.06704664766755</v>
      </c>
      <c r="P155" s="139">
        <f t="shared" si="181"/>
        <v>0</v>
      </c>
      <c r="Q155" s="139">
        <f t="shared" si="182"/>
        <v>747.06704664766755</v>
      </c>
      <c r="R155" s="156">
        <v>68</v>
      </c>
      <c r="T155" s="247"/>
      <c r="U155"/>
      <c r="V155" s="277"/>
    </row>
    <row r="156" spans="1:22" s="90" customFormat="1" x14ac:dyDescent="0.35">
      <c r="A156" s="27"/>
      <c r="B156" s="92">
        <v>15</v>
      </c>
      <c r="C156" s="92" t="s">
        <v>52</v>
      </c>
      <c r="D156" s="22" t="s">
        <v>26</v>
      </c>
      <c r="E156" s="27" t="str">
        <f>VLOOKUP(C156,Resources!B:D,3,FALSE)</f>
        <v>P</v>
      </c>
      <c r="F156" s="22">
        <v>1</v>
      </c>
      <c r="G156" s="22">
        <f>G154</f>
        <v>66.67</v>
      </c>
      <c r="H156" s="22">
        <f>H153</f>
        <v>1932</v>
      </c>
      <c r="I156" s="22">
        <f>VLOOKUP(C156,Resources!B:G,6,FALSE)</f>
        <v>100</v>
      </c>
      <c r="J156" s="139">
        <f t="shared" si="178"/>
        <v>2897.8551072446376</v>
      </c>
      <c r="K156" s="139">
        <f t="shared" si="179"/>
        <v>28.978551072446376</v>
      </c>
      <c r="L156" s="139">
        <f t="shared" si="180"/>
        <v>3.2198390080495973</v>
      </c>
      <c r="M156" s="139">
        <f t="shared" si="174"/>
        <v>0</v>
      </c>
      <c r="N156" s="139">
        <f t="shared" si="175"/>
        <v>0</v>
      </c>
      <c r="O156" s="139">
        <f t="shared" si="176"/>
        <v>2897.8551072446376</v>
      </c>
      <c r="P156" s="139">
        <f t="shared" si="181"/>
        <v>0</v>
      </c>
      <c r="Q156" s="139">
        <f t="shared" si="182"/>
        <v>2897.8551072446376</v>
      </c>
      <c r="R156" s="156">
        <v>68</v>
      </c>
      <c r="T156" s="247"/>
      <c r="U156"/>
      <c r="V156" s="277"/>
    </row>
    <row r="157" spans="1:22" s="90" customFormat="1" x14ac:dyDescent="0.35">
      <c r="A157" s="27"/>
      <c r="B157" s="92">
        <v>16</v>
      </c>
      <c r="C157" s="92" t="s">
        <v>106</v>
      </c>
      <c r="D157" s="22" t="s">
        <v>26</v>
      </c>
      <c r="E157" s="27" t="str">
        <f>VLOOKUP(C157,Resources!B:D,3,FALSE)</f>
        <v>P</v>
      </c>
      <c r="F157" s="22">
        <v>1</v>
      </c>
      <c r="G157" s="22">
        <f>G154</f>
        <v>66.67</v>
      </c>
      <c r="H157" s="22">
        <f>H153</f>
        <v>1932</v>
      </c>
      <c r="I157" s="22">
        <f>VLOOKUP(C157,Resources!B:G,6,FALSE)</f>
        <v>55</v>
      </c>
      <c r="J157" s="139">
        <f t="shared" si="178"/>
        <v>1593.8203089845506</v>
      </c>
      <c r="K157" s="139">
        <f t="shared" si="179"/>
        <v>28.978551072446376</v>
      </c>
      <c r="L157" s="139">
        <f t="shared" si="180"/>
        <v>3.2198390080495973</v>
      </c>
      <c r="M157" s="139">
        <f t="shared" si="174"/>
        <v>0</v>
      </c>
      <c r="N157" s="139">
        <f t="shared" si="175"/>
        <v>0</v>
      </c>
      <c r="O157" s="139">
        <f t="shared" si="176"/>
        <v>1593.8203089845506</v>
      </c>
      <c r="P157" s="139">
        <f t="shared" si="181"/>
        <v>0</v>
      </c>
      <c r="Q157" s="139">
        <f t="shared" si="182"/>
        <v>1593.8203089845506</v>
      </c>
      <c r="R157" s="156">
        <v>68</v>
      </c>
      <c r="T157" s="247"/>
      <c r="U157"/>
      <c r="V157" s="277"/>
    </row>
    <row r="158" spans="1:22" s="90" customFormat="1" x14ac:dyDescent="0.35">
      <c r="A158" s="27"/>
      <c r="B158" s="92">
        <v>17</v>
      </c>
      <c r="C158" s="92" t="s">
        <v>587</v>
      </c>
      <c r="D158" s="22" t="s">
        <v>26</v>
      </c>
      <c r="E158" s="27" t="str">
        <f>VLOOKUP(C158,Resources!B:D,3,FALSE)</f>
        <v>P</v>
      </c>
      <c r="F158" s="22">
        <v>1</v>
      </c>
      <c r="G158" s="22">
        <f>G154</f>
        <v>66.67</v>
      </c>
      <c r="H158" s="22">
        <f>H153</f>
        <v>1932</v>
      </c>
      <c r="I158" s="22">
        <f>VLOOKUP(C158,Resources!B:G,6,FALSE)</f>
        <v>21.61</v>
      </c>
      <c r="J158" s="139">
        <f t="shared" si="178"/>
        <v>626.2264886755662</v>
      </c>
      <c r="K158" s="139">
        <f t="shared" si="179"/>
        <v>28.978551072446376</v>
      </c>
      <c r="L158" s="139">
        <f t="shared" si="180"/>
        <v>3.2198390080495973</v>
      </c>
      <c r="M158" s="139">
        <f t="shared" si="174"/>
        <v>0</v>
      </c>
      <c r="N158" s="139">
        <f t="shared" si="175"/>
        <v>0</v>
      </c>
      <c r="O158" s="139">
        <f t="shared" si="176"/>
        <v>626.2264886755662</v>
      </c>
      <c r="P158" s="139">
        <f t="shared" si="181"/>
        <v>0</v>
      </c>
      <c r="Q158" s="139">
        <f t="shared" si="182"/>
        <v>626.2264886755662</v>
      </c>
      <c r="R158" s="156">
        <v>68</v>
      </c>
      <c r="T158" s="247"/>
      <c r="U158"/>
      <c r="V158" s="277"/>
    </row>
    <row r="159" spans="1:22" s="90" customFormat="1" x14ac:dyDescent="0.35">
      <c r="A159" s="27"/>
      <c r="B159" s="92">
        <v>18</v>
      </c>
      <c r="C159" s="92" t="s">
        <v>8</v>
      </c>
      <c r="D159" s="22" t="s">
        <v>26</v>
      </c>
      <c r="E159" s="27" t="str">
        <f>VLOOKUP(C159,Resources!B:D,3,FALSE)</f>
        <v>L</v>
      </c>
      <c r="F159" s="22">
        <v>4</v>
      </c>
      <c r="G159" s="22">
        <f>G154</f>
        <v>66.67</v>
      </c>
      <c r="H159" s="22">
        <f>H153</f>
        <v>1932</v>
      </c>
      <c r="I159" s="22">
        <f>VLOOKUP(C159,Resources!B:G,6,FALSE)</f>
        <v>42</v>
      </c>
      <c r="J159" s="139">
        <f t="shared" si="178"/>
        <v>4868.396580170991</v>
      </c>
      <c r="K159" s="139">
        <f t="shared" si="179"/>
        <v>115.9142042897855</v>
      </c>
      <c r="L159" s="139">
        <f t="shared" si="180"/>
        <v>3.2198390080495973</v>
      </c>
      <c r="M159" s="139">
        <f t="shared" si="174"/>
        <v>4868.396580170991</v>
      </c>
      <c r="N159" s="139">
        <f t="shared" si="175"/>
        <v>0</v>
      </c>
      <c r="O159" s="139">
        <f t="shared" si="176"/>
        <v>0</v>
      </c>
      <c r="P159" s="139">
        <f t="shared" si="181"/>
        <v>0</v>
      </c>
      <c r="Q159" s="139">
        <f t="shared" si="182"/>
        <v>4868.396580170991</v>
      </c>
      <c r="R159" s="156">
        <v>68</v>
      </c>
      <c r="T159" s="247"/>
      <c r="U159"/>
      <c r="V159" s="277"/>
    </row>
    <row r="160" spans="1:22" s="90" customFormat="1" x14ac:dyDescent="0.35">
      <c r="A160" s="27"/>
      <c r="B160" s="92"/>
      <c r="C160" s="19"/>
      <c r="D160" s="16"/>
      <c r="E160" s="27"/>
      <c r="F160" s="22"/>
      <c r="G160" s="22"/>
      <c r="H160" s="22"/>
      <c r="I160" s="22"/>
      <c r="J160" s="139"/>
      <c r="K160" s="139"/>
      <c r="L160" s="139"/>
      <c r="M160" s="139"/>
      <c r="N160" s="139"/>
      <c r="O160" s="139"/>
      <c r="P160" s="139"/>
      <c r="Q160" s="139"/>
      <c r="R160" s="156"/>
      <c r="T160" s="247"/>
      <c r="U160"/>
      <c r="V160" s="277"/>
    </row>
    <row r="161" spans="1:22" s="90" customFormat="1" x14ac:dyDescent="0.35">
      <c r="A161" s="27"/>
      <c r="B161" s="92"/>
      <c r="C161" s="19"/>
      <c r="D161" s="16"/>
      <c r="E161" s="27"/>
      <c r="F161" s="22"/>
      <c r="G161" s="22"/>
      <c r="H161" s="22"/>
      <c r="I161" s="22"/>
      <c r="J161" s="139"/>
      <c r="K161" s="139"/>
      <c r="L161" s="139"/>
      <c r="M161" s="139"/>
      <c r="N161" s="139"/>
      <c r="O161" s="139"/>
      <c r="P161" s="139"/>
      <c r="Q161" s="139"/>
      <c r="R161" s="156"/>
      <c r="T161" s="247"/>
      <c r="U161"/>
      <c r="V161" s="277"/>
    </row>
    <row r="162" spans="1:22" s="90" customFormat="1" x14ac:dyDescent="0.35">
      <c r="A162" s="27"/>
      <c r="B162" s="92"/>
      <c r="C162" s="19"/>
      <c r="D162" s="16"/>
      <c r="E162" s="27"/>
      <c r="F162" s="22"/>
      <c r="G162" s="22"/>
      <c r="H162" s="22"/>
      <c r="I162" s="22"/>
      <c r="J162" s="139"/>
      <c r="K162" s="139"/>
      <c r="L162" s="139"/>
      <c r="M162" s="139"/>
      <c r="N162" s="139"/>
      <c r="O162" s="139"/>
      <c r="P162" s="139"/>
      <c r="Q162" s="139"/>
      <c r="R162" s="156"/>
      <c r="T162" s="247"/>
      <c r="U162"/>
      <c r="V162" s="277"/>
    </row>
    <row r="163" spans="1:22" x14ac:dyDescent="0.35">
      <c r="C163" s="6" t="s">
        <v>402</v>
      </c>
      <c r="F163" s="9"/>
      <c r="G163" s="9"/>
      <c r="H163" s="9"/>
      <c r="I163" s="9"/>
    </row>
    <row r="164" spans="1:22" ht="30" x14ac:dyDescent="0.35">
      <c r="A164" s="26">
        <v>26</v>
      </c>
      <c r="B164" s="94" t="s">
        <v>107</v>
      </c>
      <c r="C164" s="1" t="s">
        <v>108</v>
      </c>
      <c r="D164" s="2" t="s">
        <v>94</v>
      </c>
      <c r="E164" s="24"/>
      <c r="F164" s="7"/>
      <c r="G164" s="7"/>
      <c r="H164" s="97">
        <f>VLOOKUP($A164,'Model Inputs'!$A:$D,4,FALSE)</f>
        <v>1661</v>
      </c>
      <c r="I164" s="7"/>
      <c r="J164" s="138">
        <f>SUBTOTAL(9,J165)</f>
        <v>16638.237000000001</v>
      </c>
      <c r="K164" s="138"/>
      <c r="L164" s="138">
        <f>ROUNDUP(L165/2000,0)</f>
        <v>1</v>
      </c>
      <c r="M164" s="138">
        <f>SUBTOTAL(9,M165)</f>
        <v>0</v>
      </c>
      <c r="N164" s="138">
        <f t="shared" ref="N164" si="183">SUBTOTAL(9,N165)</f>
        <v>0</v>
      </c>
      <c r="O164" s="138">
        <f t="shared" ref="O164" si="184">SUBTOTAL(9,O165)</f>
        <v>0</v>
      </c>
      <c r="P164" s="138">
        <f t="shared" ref="P164" si="185">SUBTOTAL(9,P165)</f>
        <v>16638.237000000001</v>
      </c>
      <c r="Q164" s="138">
        <f t="shared" ref="Q164" si="186">SUBTOTAL(9,Q165)</f>
        <v>16638.237000000001</v>
      </c>
      <c r="R164" s="155"/>
    </row>
    <row r="165" spans="1:22" x14ac:dyDescent="0.35">
      <c r="A165" s="27"/>
      <c r="B165" s="92">
        <v>1</v>
      </c>
      <c r="C165" s="19" t="s">
        <v>109</v>
      </c>
      <c r="D165" s="3" t="s">
        <v>110</v>
      </c>
      <c r="E165" s="27" t="str">
        <f>VLOOKUP(C165,Resources!B:D,3,FALSE)</f>
        <v>S</v>
      </c>
      <c r="F165" s="8">
        <v>1</v>
      </c>
      <c r="G165" s="8">
        <v>1</v>
      </c>
      <c r="H165" s="8">
        <f>H164*1.05</f>
        <v>1744.0500000000002</v>
      </c>
      <c r="I165" s="22">
        <f>VLOOKUP(C165,Resources!B:G,6,FALSE)</f>
        <v>9.5399999999999991</v>
      </c>
      <c r="J165" s="139">
        <f t="shared" ref="J165" si="187">(H165/(G165/F165))*I165</f>
        <v>16638.237000000001</v>
      </c>
      <c r="K165" s="139">
        <f t="shared" ref="K165" si="188">IF(E165="M",H165,(H165/(G165)*F165))</f>
        <v>1744.0500000000002</v>
      </c>
      <c r="L165" s="139">
        <f>IF(E165="M"," ",K165/F165/Workhrs)</f>
        <v>193.78333333333336</v>
      </c>
      <c r="M165" s="139">
        <f t="shared" ref="M165" si="189">IF($E165="L",$J165,0)</f>
        <v>0</v>
      </c>
      <c r="N165" s="139">
        <f t="shared" ref="N165" si="190">IF($E165="M",$J165,0)</f>
        <v>0</v>
      </c>
      <c r="O165" s="139">
        <f>IF($E165="P",$J165,0)</f>
        <v>0</v>
      </c>
      <c r="P165" s="139">
        <f>IF($E165="S",$J165,0)</f>
        <v>16638.237000000001</v>
      </c>
      <c r="Q165" s="139">
        <f>SUM(M165:P165)</f>
        <v>16638.237000000001</v>
      </c>
      <c r="R165" s="156">
        <v>64</v>
      </c>
    </row>
    <row r="166" spans="1:22" x14ac:dyDescent="0.35">
      <c r="C166" s="6" t="s">
        <v>402</v>
      </c>
      <c r="F166" s="9"/>
      <c r="G166" s="9"/>
      <c r="H166" s="9"/>
      <c r="I166" s="9"/>
    </row>
    <row r="167" spans="1:22" ht="30" x14ac:dyDescent="0.35">
      <c r="A167" s="26">
        <v>27</v>
      </c>
      <c r="B167" s="94" t="s">
        <v>111</v>
      </c>
      <c r="C167" s="1" t="s">
        <v>112</v>
      </c>
      <c r="D167" s="2" t="s">
        <v>54</v>
      </c>
      <c r="E167" s="24"/>
      <c r="F167" s="7"/>
      <c r="G167" s="7"/>
      <c r="H167" s="97">
        <f>VLOOKUP($A167,'Model Inputs'!$A:$D,4,FALSE)</f>
        <v>195</v>
      </c>
      <c r="I167" s="7"/>
      <c r="J167" s="138">
        <f>SUBTOTAL(9,J168)</f>
        <v>58305</v>
      </c>
      <c r="K167" s="138"/>
      <c r="L167" s="138">
        <f>ROUNDUP(K168/200,0)</f>
        <v>1</v>
      </c>
      <c r="M167" s="138">
        <f>SUBTOTAL(9,M168)</f>
        <v>0</v>
      </c>
      <c r="N167" s="138">
        <f t="shared" ref="N167" si="191">SUBTOTAL(9,N168)</f>
        <v>58305</v>
      </c>
      <c r="O167" s="138">
        <f t="shared" ref="O167" si="192">SUBTOTAL(9,O168)</f>
        <v>0</v>
      </c>
      <c r="P167" s="138">
        <f t="shared" ref="P167" si="193">SUBTOTAL(9,P168)</f>
        <v>0</v>
      </c>
      <c r="Q167" s="138">
        <f t="shared" ref="Q167" si="194">SUBTOTAL(9,Q168)</f>
        <v>58305</v>
      </c>
      <c r="R167" s="155"/>
    </row>
    <row r="168" spans="1:22" x14ac:dyDescent="0.35">
      <c r="A168" s="27"/>
      <c r="B168" s="92">
        <v>1</v>
      </c>
      <c r="C168" s="19" t="s">
        <v>113</v>
      </c>
      <c r="D168" s="3" t="s">
        <v>54</v>
      </c>
      <c r="E168" s="27" t="str">
        <f>VLOOKUP(C168,Resources!B:D,3,FALSE)</f>
        <v>M</v>
      </c>
      <c r="F168" s="8">
        <v>1</v>
      </c>
      <c r="G168" s="8">
        <v>1</v>
      </c>
      <c r="H168" s="8">
        <f>H167</f>
        <v>195</v>
      </c>
      <c r="I168" s="22">
        <f>VLOOKUP(C168,Resources!B:G,6,FALSE)</f>
        <v>299</v>
      </c>
      <c r="J168" s="139">
        <f t="shared" ref="J168" si="195">(H168/(G168/F168))*I168</f>
        <v>58305</v>
      </c>
      <c r="K168" s="139">
        <f t="shared" ref="K168" si="196">IF(E168="M",H168,(H168/(G168)*F168))</f>
        <v>195</v>
      </c>
      <c r="L168" s="139" t="str">
        <f>IF(E168="M"," ",K168/F168/Workhrs)</f>
        <v xml:space="preserve"> </v>
      </c>
      <c r="M168" s="139">
        <f t="shared" ref="M168" si="197">IF($E168="L",$J168,0)</f>
        <v>0</v>
      </c>
      <c r="N168" s="139">
        <f t="shared" ref="N168" si="198">IF($E168="M",$J168,0)</f>
        <v>58305</v>
      </c>
      <c r="O168" s="139">
        <f>IF($E168="P",$J168,0)</f>
        <v>0</v>
      </c>
      <c r="P168" s="139">
        <f>IF($E168="S",$J168,0)</f>
        <v>0</v>
      </c>
      <c r="Q168" s="139">
        <f>SUM(M168:P168)</f>
        <v>58305</v>
      </c>
      <c r="R168" s="156">
        <v>65</v>
      </c>
    </row>
    <row r="169" spans="1:22" x14ac:dyDescent="0.35">
      <c r="C169" s="6" t="s">
        <v>402</v>
      </c>
      <c r="F169" s="9"/>
      <c r="G169" s="9"/>
      <c r="H169" s="9"/>
      <c r="I169" s="9"/>
    </row>
    <row r="170" spans="1:22" ht="30" x14ac:dyDescent="0.35">
      <c r="A170" s="26"/>
      <c r="B170" s="94" t="s">
        <v>114</v>
      </c>
      <c r="C170" s="1" t="s">
        <v>115</v>
      </c>
      <c r="D170" s="2"/>
      <c r="E170" s="24"/>
      <c r="F170" s="7"/>
      <c r="G170" s="7"/>
      <c r="H170" s="7"/>
      <c r="I170" s="7"/>
      <c r="J170" s="138"/>
      <c r="K170" s="138"/>
      <c r="L170" s="138"/>
      <c r="M170" s="138"/>
      <c r="N170" s="138"/>
      <c r="O170" s="138"/>
      <c r="P170" s="138"/>
      <c r="Q170" s="138"/>
      <c r="R170" s="155"/>
    </row>
    <row r="171" spans="1:22" ht="30" x14ac:dyDescent="0.35">
      <c r="A171" s="26">
        <v>28</v>
      </c>
      <c r="B171" s="94" t="s">
        <v>116</v>
      </c>
      <c r="C171" s="1" t="s">
        <v>117</v>
      </c>
      <c r="D171" s="2" t="s">
        <v>86</v>
      </c>
      <c r="E171" s="24"/>
      <c r="F171" s="7"/>
      <c r="G171" s="7"/>
      <c r="H171" s="97">
        <f>VLOOKUP($A171,'Model Inputs'!$A:$D,4,FALSE)</f>
        <v>15</v>
      </c>
      <c r="I171" s="7"/>
      <c r="J171" s="138">
        <f>SUBTOTAL(9,J174:J184)</f>
        <v>40993.687701250004</v>
      </c>
      <c r="K171" s="138"/>
      <c r="L171" s="138">
        <f>ROUNDUP((ROUNDUP(MAX(L179:L181),0)+H184/100),0)</f>
        <v>7</v>
      </c>
      <c r="M171" s="138">
        <f t="shared" ref="M171:Q171" si="199">SUBTOTAL(9,M174:M184)</f>
        <v>217.14021000000005</v>
      </c>
      <c r="N171" s="138">
        <f t="shared" si="199"/>
        <v>25628.432841250004</v>
      </c>
      <c r="O171" s="138">
        <f t="shared" si="199"/>
        <v>1189.1011500000004</v>
      </c>
      <c r="P171" s="138">
        <f t="shared" si="199"/>
        <v>13959.013500000003</v>
      </c>
      <c r="Q171" s="138">
        <f t="shared" si="199"/>
        <v>40993.687701250004</v>
      </c>
      <c r="R171" s="155"/>
    </row>
    <row r="172" spans="1:22" x14ac:dyDescent="0.35">
      <c r="B172" s="95">
        <v>1</v>
      </c>
      <c r="C172" s="6" t="s">
        <v>118</v>
      </c>
      <c r="F172" s="9"/>
      <c r="G172" s="9"/>
      <c r="H172" s="9"/>
      <c r="I172" s="9"/>
    </row>
    <row r="173" spans="1:22" x14ac:dyDescent="0.35">
      <c r="A173" s="27"/>
      <c r="B173" s="92">
        <v>2</v>
      </c>
      <c r="C173" s="5" t="s">
        <v>645</v>
      </c>
      <c r="D173" s="16" t="s">
        <v>110</v>
      </c>
      <c r="E173" s="27"/>
      <c r="F173" s="8"/>
      <c r="G173" s="8"/>
      <c r="H173" s="8">
        <f>H171*34.4667</f>
        <v>517.0005000000001</v>
      </c>
      <c r="I173" s="8"/>
      <c r="J173" s="139"/>
      <c r="K173" s="139"/>
      <c r="L173" s="139"/>
      <c r="M173" s="139"/>
      <c r="N173" s="139"/>
      <c r="O173" s="139"/>
      <c r="P173" s="139"/>
      <c r="Q173" s="139"/>
      <c r="R173" s="156"/>
    </row>
    <row r="174" spans="1:22" x14ac:dyDescent="0.35">
      <c r="A174" s="27"/>
      <c r="B174" s="92">
        <v>3</v>
      </c>
      <c r="C174" s="19" t="s">
        <v>119</v>
      </c>
      <c r="D174" s="3" t="s">
        <v>74</v>
      </c>
      <c r="E174" s="27" t="str">
        <f>VLOOKUP(C174,Resources!B:D,3,FALSE)</f>
        <v>M</v>
      </c>
      <c r="F174" s="8">
        <v>1</v>
      </c>
      <c r="G174" s="8">
        <v>1</v>
      </c>
      <c r="H174" s="8">
        <f>H173*(0.175*1.1)</f>
        <v>99.522596250000021</v>
      </c>
      <c r="I174" s="22">
        <f>VLOOKUP(C174,Resources!B:G,6,FALSE)</f>
        <v>165</v>
      </c>
      <c r="J174" s="139">
        <f t="shared" ref="J174:J177" si="200">(H174/(G174/F174))*I174</f>
        <v>16421.228381250003</v>
      </c>
      <c r="K174" s="139">
        <f t="shared" ref="K174:K177" si="201">IF(E174="M",H174,(H174/(G174)*F174))</f>
        <v>99.522596250000021</v>
      </c>
      <c r="L174" s="139" t="str">
        <f>IF(E174="M"," ",K174/F174/Workhrs)</f>
        <v xml:space="preserve"> </v>
      </c>
      <c r="M174" s="139">
        <f t="shared" ref="M174:M177" si="202">IF($E174="L",$J174,0)</f>
        <v>0</v>
      </c>
      <c r="N174" s="139">
        <f t="shared" ref="N174:N177" si="203">IF($E174="M",$J174,0)</f>
        <v>16421.228381250003</v>
      </c>
      <c r="O174" s="139">
        <f t="shared" ref="O174:O177" si="204">IF($E174="P",$J174,0)</f>
        <v>0</v>
      </c>
      <c r="P174" s="139">
        <f>IF($E174="S",$J174,0)</f>
        <v>0</v>
      </c>
      <c r="Q174" s="139">
        <f t="shared" ref="Q174:Q177" si="205">SUM(M174:P174)</f>
        <v>16421.228381250003</v>
      </c>
      <c r="R174" s="156" t="s">
        <v>694</v>
      </c>
    </row>
    <row r="175" spans="1:22" x14ac:dyDescent="0.35">
      <c r="A175" s="27"/>
      <c r="B175" s="92">
        <v>4</v>
      </c>
      <c r="C175" s="19" t="s">
        <v>75</v>
      </c>
      <c r="D175" s="3" t="s">
        <v>54</v>
      </c>
      <c r="E175" s="27" t="str">
        <f>VLOOKUP(C175,Resources!B:D,3,FALSE)</f>
        <v>M</v>
      </c>
      <c r="F175" s="8">
        <v>1</v>
      </c>
      <c r="G175" s="8">
        <v>1</v>
      </c>
      <c r="H175" s="8">
        <f>H173*0.1*1.5</f>
        <v>77.550075000000021</v>
      </c>
      <c r="I175" s="22">
        <f>VLOOKUP(C175,Resources!B:G,6,FALSE)</f>
        <v>24</v>
      </c>
      <c r="J175" s="139">
        <f t="shared" si="200"/>
        <v>1861.2018000000005</v>
      </c>
      <c r="K175" s="139">
        <f t="shared" si="201"/>
        <v>77.550075000000021</v>
      </c>
      <c r="L175" s="139" t="str">
        <f>IF(E175="M"," ",K175/F175/Workhrs)</f>
        <v xml:space="preserve"> </v>
      </c>
      <c r="M175" s="139">
        <f t="shared" si="202"/>
        <v>0</v>
      </c>
      <c r="N175" s="139">
        <f t="shared" si="203"/>
        <v>1861.2018000000005</v>
      </c>
      <c r="O175" s="139">
        <f t="shared" si="204"/>
        <v>0</v>
      </c>
      <c r="P175" s="139">
        <f>IF($E175="S",$J175,0)</f>
        <v>0</v>
      </c>
      <c r="Q175" s="139">
        <f t="shared" si="205"/>
        <v>1861.2018000000005</v>
      </c>
      <c r="R175" s="156" t="s">
        <v>692</v>
      </c>
    </row>
    <row r="176" spans="1:22" x14ac:dyDescent="0.35">
      <c r="A176" s="27"/>
      <c r="B176" s="92">
        <v>5</v>
      </c>
      <c r="C176" s="19" t="s">
        <v>120</v>
      </c>
      <c r="D176" s="3" t="s">
        <v>110</v>
      </c>
      <c r="E176" s="27" t="str">
        <f>VLOOKUP(C176,Resources!B:D,3,FALSE)</f>
        <v>M</v>
      </c>
      <c r="F176" s="8">
        <v>1</v>
      </c>
      <c r="G176" s="8">
        <v>1</v>
      </c>
      <c r="H176" s="8">
        <f>H173*1.2</f>
        <v>620.40060000000005</v>
      </c>
      <c r="I176" s="22">
        <f>VLOOKUP(C176,Resources!B:G,6,FALSE)</f>
        <v>9.1</v>
      </c>
      <c r="J176" s="139">
        <f t="shared" si="200"/>
        <v>5645.6454600000006</v>
      </c>
      <c r="K176" s="139">
        <f t="shared" si="201"/>
        <v>620.40060000000005</v>
      </c>
      <c r="L176" s="139" t="str">
        <f>IF(E176="M"," ",K176/F176/Workhrs)</f>
        <v xml:space="preserve"> </v>
      </c>
      <c r="M176" s="139">
        <f t="shared" si="202"/>
        <v>0</v>
      </c>
      <c r="N176" s="139">
        <f t="shared" si="203"/>
        <v>5645.6454600000006</v>
      </c>
      <c r="O176" s="139">
        <f t="shared" si="204"/>
        <v>0</v>
      </c>
      <c r="P176" s="139">
        <f>IF($E176="S",$J176,0)</f>
        <v>0</v>
      </c>
      <c r="Q176" s="139">
        <f t="shared" si="205"/>
        <v>5645.6454600000006</v>
      </c>
      <c r="R176" s="156" t="s">
        <v>695</v>
      </c>
    </row>
    <row r="177" spans="1:18" x14ac:dyDescent="0.35">
      <c r="A177" s="27"/>
      <c r="B177" s="92">
        <v>6</v>
      </c>
      <c r="C177" s="19" t="s">
        <v>121</v>
      </c>
      <c r="D177" s="3" t="s">
        <v>45</v>
      </c>
      <c r="E177" s="27" t="str">
        <f>VLOOKUP(C177,Resources!B:D,3,FALSE)</f>
        <v>M</v>
      </c>
      <c r="F177" s="8">
        <v>1</v>
      </c>
      <c r="G177" s="8">
        <v>1</v>
      </c>
      <c r="H177" s="8">
        <f>H173/1.5*1.2</f>
        <v>413.60040000000009</v>
      </c>
      <c r="I177" s="22">
        <f>VLOOKUP(C177,Resources!B:G,6,FALSE)</f>
        <v>3</v>
      </c>
      <c r="J177" s="139">
        <f t="shared" si="200"/>
        <v>1240.8012000000003</v>
      </c>
      <c r="K177" s="139">
        <f t="shared" si="201"/>
        <v>413.60040000000009</v>
      </c>
      <c r="L177" s="139" t="str">
        <f>IF(E177="M"," ",K177/F177/Workhrs)</f>
        <v xml:space="preserve"> </v>
      </c>
      <c r="M177" s="139">
        <f t="shared" si="202"/>
        <v>0</v>
      </c>
      <c r="N177" s="139">
        <f t="shared" si="203"/>
        <v>1240.8012000000003</v>
      </c>
      <c r="O177" s="139">
        <f t="shared" si="204"/>
        <v>0</v>
      </c>
      <c r="P177" s="139">
        <f>IF($E177="S",$J177,0)</f>
        <v>0</v>
      </c>
      <c r="Q177" s="139">
        <f t="shared" si="205"/>
        <v>1240.8012000000003</v>
      </c>
      <c r="R177" s="156" t="s">
        <v>695</v>
      </c>
    </row>
    <row r="178" spans="1:18" x14ac:dyDescent="0.35">
      <c r="B178" s="95">
        <v>7</v>
      </c>
      <c r="C178" s="6" t="s">
        <v>122</v>
      </c>
      <c r="F178" s="9"/>
      <c r="G178" s="9"/>
      <c r="H178" s="9"/>
      <c r="I178" s="9"/>
    </row>
    <row r="179" spans="1:18" x14ac:dyDescent="0.35">
      <c r="A179" s="27">
        <v>28.1</v>
      </c>
      <c r="B179" s="92">
        <v>8</v>
      </c>
      <c r="C179" s="19" t="s">
        <v>50</v>
      </c>
      <c r="D179" s="3" t="s">
        <v>26</v>
      </c>
      <c r="E179" s="27" t="str">
        <f>VLOOKUP(C179,Resources!B:D,3,FALSE)</f>
        <v>P</v>
      </c>
      <c r="F179" s="8">
        <v>1</v>
      </c>
      <c r="G179" s="97">
        <f>VLOOKUP($A179,'Model Inputs'!$A:$D,4,FALSE)</f>
        <v>10</v>
      </c>
      <c r="H179" s="8">
        <f>H173*0.1</f>
        <v>51.700050000000012</v>
      </c>
      <c r="I179" s="22">
        <f>VLOOKUP(C179,Resources!B:G,6,FALSE)</f>
        <v>135</v>
      </c>
      <c r="J179" s="139">
        <f t="shared" ref="J179:J181" si="206">(H179/(G179/F179))*I179</f>
        <v>697.95067500000016</v>
      </c>
      <c r="K179" s="139">
        <f t="shared" ref="K179:K181" si="207">IF(E179="M",H179,(H179/(G179)*F179))</f>
        <v>5.1700050000000015</v>
      </c>
      <c r="L179" s="139">
        <f>IF(E179="M"," ",K179/F179/Workhrs)</f>
        <v>0.57444500000000021</v>
      </c>
      <c r="M179" s="139">
        <f t="shared" ref="M179:M181" si="208">IF($E179="L",$J179,0)</f>
        <v>0</v>
      </c>
      <c r="N179" s="139">
        <f t="shared" ref="N179:N181" si="209">IF($E179="M",$J179,0)</f>
        <v>0</v>
      </c>
      <c r="O179" s="139">
        <f t="shared" ref="O179:O181" si="210">IF($E179="P",$J179,0)</f>
        <v>697.95067500000016</v>
      </c>
      <c r="P179" s="139">
        <f>IF($E179="S",$J179,0)</f>
        <v>0</v>
      </c>
      <c r="Q179" s="139">
        <f t="shared" ref="Q179:Q181" si="211">SUM(M179:P179)</f>
        <v>697.95067500000016</v>
      </c>
      <c r="R179" s="156">
        <v>73</v>
      </c>
    </row>
    <row r="180" spans="1:18" x14ac:dyDescent="0.35">
      <c r="A180" s="27"/>
      <c r="B180" s="92">
        <v>9</v>
      </c>
      <c r="C180" s="19" t="s">
        <v>51</v>
      </c>
      <c r="D180" s="3" t="s">
        <v>26</v>
      </c>
      <c r="E180" s="27" t="str">
        <f>VLOOKUP(C180,Resources!B:D,3,FALSE)</f>
        <v>P</v>
      </c>
      <c r="F180" s="8">
        <v>1</v>
      </c>
      <c r="G180" s="8">
        <f>G179</f>
        <v>10</v>
      </c>
      <c r="H180" s="8">
        <f>H179</f>
        <v>51.700050000000012</v>
      </c>
      <c r="I180" s="22">
        <f>VLOOKUP(C180,Resources!B:G,6,FALSE)</f>
        <v>95</v>
      </c>
      <c r="J180" s="139">
        <f t="shared" si="206"/>
        <v>491.15047500000014</v>
      </c>
      <c r="K180" s="139">
        <f t="shared" si="207"/>
        <v>5.1700050000000015</v>
      </c>
      <c r="L180" s="139">
        <f>IF(E180="M"," ",K180/F180/Workhrs)</f>
        <v>0.57444500000000021</v>
      </c>
      <c r="M180" s="139">
        <f t="shared" si="208"/>
        <v>0</v>
      </c>
      <c r="N180" s="139">
        <f t="shared" si="209"/>
        <v>0</v>
      </c>
      <c r="O180" s="139">
        <f t="shared" si="210"/>
        <v>491.15047500000014</v>
      </c>
      <c r="P180" s="139">
        <f>IF($E180="S",$J180,0)</f>
        <v>0</v>
      </c>
      <c r="Q180" s="139">
        <f t="shared" si="211"/>
        <v>491.15047500000014</v>
      </c>
      <c r="R180" s="156">
        <v>73</v>
      </c>
    </row>
    <row r="181" spans="1:18" x14ac:dyDescent="0.35">
      <c r="A181" s="27"/>
      <c r="B181" s="92">
        <v>10</v>
      </c>
      <c r="C181" s="19" t="s">
        <v>8</v>
      </c>
      <c r="D181" s="3" t="s">
        <v>26</v>
      </c>
      <c r="E181" s="27" t="str">
        <f>VLOOKUP(C181,Resources!B:D,3,FALSE)</f>
        <v>L</v>
      </c>
      <c r="F181" s="8">
        <v>1</v>
      </c>
      <c r="G181" s="8">
        <f>G179</f>
        <v>10</v>
      </c>
      <c r="H181" s="8">
        <f>H179</f>
        <v>51.700050000000012</v>
      </c>
      <c r="I181" s="22">
        <f>VLOOKUP(C181,Resources!B:G,6,FALSE)</f>
        <v>42</v>
      </c>
      <c r="J181" s="139">
        <f t="shared" si="206"/>
        <v>217.14021000000005</v>
      </c>
      <c r="K181" s="139">
        <f t="shared" si="207"/>
        <v>5.1700050000000015</v>
      </c>
      <c r="L181" s="139">
        <f>IF(E181="M"," ",K181/F181/Workhrs)</f>
        <v>0.57444500000000021</v>
      </c>
      <c r="M181" s="139">
        <f t="shared" si="208"/>
        <v>217.14021000000005</v>
      </c>
      <c r="N181" s="139">
        <f t="shared" si="209"/>
        <v>0</v>
      </c>
      <c r="O181" s="139">
        <f t="shared" si="210"/>
        <v>0</v>
      </c>
      <c r="P181" s="139">
        <f>IF($E181="S",$J181,0)</f>
        <v>0</v>
      </c>
      <c r="Q181" s="139">
        <f t="shared" si="211"/>
        <v>217.14021000000005</v>
      </c>
      <c r="R181" s="156">
        <v>73</v>
      </c>
    </row>
    <row r="182" spans="1:18" x14ac:dyDescent="0.35">
      <c r="B182" s="95">
        <v>11</v>
      </c>
      <c r="C182" s="6" t="s">
        <v>123</v>
      </c>
      <c r="F182" s="9"/>
      <c r="G182" s="9"/>
      <c r="H182" s="9"/>
      <c r="I182" s="9"/>
    </row>
    <row r="183" spans="1:18" x14ac:dyDescent="0.35">
      <c r="A183" s="27"/>
      <c r="B183" s="92">
        <v>12</v>
      </c>
      <c r="C183" s="19" t="s">
        <v>124</v>
      </c>
      <c r="D183" s="3" t="s">
        <v>23</v>
      </c>
      <c r="E183" s="27" t="str">
        <f>VLOOKUP(C183,Resources!B:D,3,FALSE)</f>
        <v>M</v>
      </c>
      <c r="F183" s="8">
        <v>1</v>
      </c>
      <c r="G183" s="8">
        <v>1</v>
      </c>
      <c r="H183" s="8">
        <f>H173/0.9</f>
        <v>574.44500000000005</v>
      </c>
      <c r="I183" s="22">
        <f>VLOOKUP(C183,Resources!B:G,6,FALSE)</f>
        <v>0.8</v>
      </c>
      <c r="J183" s="139">
        <f t="shared" ref="J183:J184" si="212">(H183/(G183/F183))*I183</f>
        <v>459.55600000000004</v>
      </c>
      <c r="K183" s="139">
        <f t="shared" ref="K183:K184" si="213">IF(E183="M",H183,(H183/(G183)*F183))</f>
        <v>574.44500000000005</v>
      </c>
      <c r="L183" s="139" t="str">
        <f>IF(E183="M"," ",K183/F183/Workhrs)</f>
        <v xml:space="preserve"> </v>
      </c>
      <c r="M183" s="139">
        <f t="shared" ref="M183:M184" si="214">IF($E183="L",$J183,0)</f>
        <v>0</v>
      </c>
      <c r="N183" s="139">
        <f t="shared" ref="N183:N184" si="215">IF($E183="M",$J183,0)</f>
        <v>459.55600000000004</v>
      </c>
      <c r="O183" s="139">
        <f t="shared" ref="O183:O184" si="216">IF($E183="P",$J183,0)</f>
        <v>0</v>
      </c>
      <c r="P183" s="139">
        <f>IF($E183="S",$J183,0)</f>
        <v>0</v>
      </c>
      <c r="Q183" s="139">
        <f t="shared" ref="Q183:Q184" si="217">SUM(M183:P183)</f>
        <v>459.55600000000004</v>
      </c>
      <c r="R183" s="156">
        <v>73</v>
      </c>
    </row>
    <row r="184" spans="1:18" x14ac:dyDescent="0.35">
      <c r="A184" s="27"/>
      <c r="B184" s="92">
        <v>13</v>
      </c>
      <c r="C184" s="19" t="s">
        <v>125</v>
      </c>
      <c r="D184" s="3" t="s">
        <v>110</v>
      </c>
      <c r="E184" s="27" t="str">
        <f>VLOOKUP(C184,Resources!B:D,3,FALSE)</f>
        <v>S</v>
      </c>
      <c r="F184" s="8">
        <v>1</v>
      </c>
      <c r="G184" s="8">
        <v>1</v>
      </c>
      <c r="H184" s="8">
        <f>H173</f>
        <v>517.0005000000001</v>
      </c>
      <c r="I184" s="22">
        <f>VLOOKUP(C184,Resources!B:G,6,FALSE)</f>
        <v>27</v>
      </c>
      <c r="J184" s="139">
        <f t="shared" si="212"/>
        <v>13959.013500000003</v>
      </c>
      <c r="K184" s="139">
        <f t="shared" si="213"/>
        <v>517.0005000000001</v>
      </c>
      <c r="L184" s="139">
        <f>IF(E184="M"," ",K184/F184/Workhrs)</f>
        <v>57.444500000000012</v>
      </c>
      <c r="M184" s="139">
        <f t="shared" si="214"/>
        <v>0</v>
      </c>
      <c r="N184" s="139">
        <f t="shared" si="215"/>
        <v>0</v>
      </c>
      <c r="O184" s="139">
        <f t="shared" si="216"/>
        <v>0</v>
      </c>
      <c r="P184" s="139">
        <f>IF($E184="S",$J184,0)</f>
        <v>13959.013500000003</v>
      </c>
      <c r="Q184" s="139">
        <f t="shared" si="217"/>
        <v>13959.013500000003</v>
      </c>
      <c r="R184" s="156">
        <v>73</v>
      </c>
    </row>
    <row r="185" spans="1:18" x14ac:dyDescent="0.35">
      <c r="C185" s="6" t="s">
        <v>402</v>
      </c>
      <c r="F185" s="9"/>
      <c r="G185" s="9"/>
      <c r="H185" s="9"/>
      <c r="I185" s="9"/>
    </row>
    <row r="186" spans="1:18" ht="30" x14ac:dyDescent="0.35">
      <c r="A186" s="26">
        <v>29</v>
      </c>
      <c r="B186" s="94" t="s">
        <v>126</v>
      </c>
      <c r="C186" s="1" t="s">
        <v>127</v>
      </c>
      <c r="D186" s="2" t="s">
        <v>94</v>
      </c>
      <c r="E186" s="24"/>
      <c r="F186" s="7"/>
      <c r="G186" s="7"/>
      <c r="H186" s="97">
        <f>VLOOKUP($A186,'Model Inputs'!$A:$D,4,FALSE)</f>
        <v>1000</v>
      </c>
      <c r="I186" s="7"/>
      <c r="J186" s="138">
        <f>SUBTOTAL(9,J187)</f>
        <v>2695</v>
      </c>
      <c r="K186" s="138"/>
      <c r="L186" s="138">
        <f>ROUNDUP(H187/5000,0)</f>
        <v>1</v>
      </c>
      <c r="M186" s="138">
        <f>SUBTOTAL(9,M187)</f>
        <v>0</v>
      </c>
      <c r="N186" s="138">
        <f t="shared" ref="N186" si="218">SUBTOTAL(9,N187)</f>
        <v>0</v>
      </c>
      <c r="O186" s="138">
        <f t="shared" ref="O186" si="219">SUBTOTAL(9,O187)</f>
        <v>0</v>
      </c>
      <c r="P186" s="138">
        <f t="shared" ref="P186" si="220">SUBTOTAL(9,P187)</f>
        <v>2695</v>
      </c>
      <c r="Q186" s="138">
        <f t="shared" ref="Q186" si="221">SUBTOTAL(9,Q187)</f>
        <v>2695</v>
      </c>
      <c r="R186" s="155"/>
    </row>
    <row r="187" spans="1:18" x14ac:dyDescent="0.35">
      <c r="A187" s="27"/>
      <c r="B187" s="92">
        <v>1</v>
      </c>
      <c r="C187" s="19" t="s">
        <v>127</v>
      </c>
      <c r="D187" s="3" t="s">
        <v>110</v>
      </c>
      <c r="E187" s="27" t="str">
        <f>VLOOKUP(C187,Resources!B:D,3,FALSE)</f>
        <v>S</v>
      </c>
      <c r="F187" s="8">
        <v>1</v>
      </c>
      <c r="G187" s="8">
        <v>1</v>
      </c>
      <c r="H187" s="8">
        <f>H186*1.1</f>
        <v>1100</v>
      </c>
      <c r="I187" s="22">
        <f>VLOOKUP(C187,Resources!B:G,6,FALSE)</f>
        <v>2.4500000000000002</v>
      </c>
      <c r="J187" s="139">
        <f t="shared" ref="J187" si="222">(H187/(G187/F187))*I187</f>
        <v>2695</v>
      </c>
      <c r="K187" s="139">
        <f t="shared" ref="K187" si="223">IF(E187="M",H187,(H187/(G187)*F187))</f>
        <v>1100</v>
      </c>
      <c r="L187" s="139">
        <f>IF(E187="M"," ",K187/F187/Workhrs)</f>
        <v>122.22222222222223</v>
      </c>
      <c r="M187" s="139">
        <f t="shared" ref="M187" si="224">IF($E187="L",$J187,0)</f>
        <v>0</v>
      </c>
      <c r="N187" s="139">
        <f t="shared" ref="N187" si="225">IF($E187="M",$J187,0)</f>
        <v>0</v>
      </c>
      <c r="O187" s="139">
        <f>IF($E187="P",$J187,0)</f>
        <v>0</v>
      </c>
      <c r="P187" s="139">
        <f>IF($E187="S",$J187,0)</f>
        <v>2695</v>
      </c>
      <c r="Q187" s="139">
        <f>SUM(M187:P187)</f>
        <v>2695</v>
      </c>
      <c r="R187" s="156">
        <v>121</v>
      </c>
    </row>
    <row r="188" spans="1:18" x14ac:dyDescent="0.35">
      <c r="C188" s="6" t="s">
        <v>402</v>
      </c>
      <c r="F188" s="9"/>
      <c r="G188" s="9"/>
      <c r="H188" s="9"/>
      <c r="I188" s="9"/>
    </row>
    <row r="189" spans="1:18" ht="30" x14ac:dyDescent="0.35">
      <c r="A189" s="26">
        <v>30</v>
      </c>
      <c r="B189" s="94" t="s">
        <v>128</v>
      </c>
      <c r="C189" s="1" t="s">
        <v>129</v>
      </c>
      <c r="D189" s="2"/>
      <c r="E189" s="24"/>
      <c r="F189" s="7"/>
      <c r="G189" s="7"/>
      <c r="H189" s="97">
        <f>VLOOKUP($A189,'Model Inputs'!$A:$D,4,FALSE)</f>
        <v>30</v>
      </c>
      <c r="I189" s="7"/>
      <c r="J189" s="138">
        <f>SUBTOTAL(9,J190)</f>
        <v>900</v>
      </c>
      <c r="K189" s="138"/>
      <c r="L189" s="138">
        <f>ROUNDUP(L190,0)</f>
        <v>1</v>
      </c>
      <c r="M189" s="138">
        <f>SUBTOTAL(9,M190)</f>
        <v>0</v>
      </c>
      <c r="N189" s="138">
        <f t="shared" ref="N189" si="226">SUBTOTAL(9,N190)</f>
        <v>0</v>
      </c>
      <c r="O189" s="138">
        <f t="shared" ref="O189" si="227">SUBTOTAL(9,O190)</f>
        <v>0</v>
      </c>
      <c r="P189" s="138">
        <f t="shared" ref="P189" si="228">SUBTOTAL(9,P190)</f>
        <v>900</v>
      </c>
      <c r="Q189" s="138">
        <f t="shared" ref="Q189" si="229">SUBTOTAL(9,Q190)</f>
        <v>900</v>
      </c>
      <c r="R189" s="155"/>
    </row>
    <row r="190" spans="1:18" x14ac:dyDescent="0.35">
      <c r="A190" s="27"/>
      <c r="B190" s="92">
        <v>1</v>
      </c>
      <c r="C190" s="19" t="s">
        <v>241</v>
      </c>
      <c r="D190" s="3" t="s">
        <v>45</v>
      </c>
      <c r="E190" s="27" t="str">
        <f>VLOOKUP(C190,Resources!B:D,3,FALSE)</f>
        <v>S</v>
      </c>
      <c r="F190" s="8">
        <v>1</v>
      </c>
      <c r="G190" s="8">
        <v>1</v>
      </c>
      <c r="H190" s="8">
        <f>H189</f>
        <v>30</v>
      </c>
      <c r="I190" s="22">
        <f>VLOOKUP(C190,Resources!B:G,6,FALSE)</f>
        <v>30</v>
      </c>
      <c r="J190" s="139">
        <f t="shared" ref="J190" si="230">(H190/(G190/F190))*I190</f>
        <v>900</v>
      </c>
      <c r="K190" s="139">
        <f t="shared" ref="K190" si="231">IF(E190="M",H190,(H190/(G190)*F190))</f>
        <v>30</v>
      </c>
      <c r="L190" s="139">
        <f>IF(E190="M"," ",K190/(F190*25)/Workhrs)</f>
        <v>0.13333333333333333</v>
      </c>
      <c r="M190" s="139">
        <f t="shared" ref="M190" si="232">IF($E190="L",$J190,0)</f>
        <v>0</v>
      </c>
      <c r="N190" s="139">
        <f t="shared" ref="N190" si="233">IF($E190="M",$J190,0)</f>
        <v>0</v>
      </c>
      <c r="O190" s="139">
        <f>IF($E190="P",$J190,0)</f>
        <v>0</v>
      </c>
      <c r="P190" s="139">
        <f>IF($E190="S",$J190,0)</f>
        <v>900</v>
      </c>
      <c r="Q190" s="139">
        <f>SUM(M190:P190)</f>
        <v>900</v>
      </c>
      <c r="R190" s="156">
        <v>75</v>
      </c>
    </row>
    <row r="191" spans="1:18" x14ac:dyDescent="0.35">
      <c r="C191" s="6" t="s">
        <v>402</v>
      </c>
      <c r="F191" s="9"/>
      <c r="G191" s="9"/>
      <c r="H191" s="9"/>
      <c r="I191" s="9"/>
    </row>
    <row r="192" spans="1:18" ht="30" x14ac:dyDescent="0.35">
      <c r="A192" s="26">
        <v>31</v>
      </c>
      <c r="B192" s="94" t="s">
        <v>130</v>
      </c>
      <c r="C192" s="1" t="s">
        <v>131</v>
      </c>
      <c r="D192" s="2" t="s">
        <v>132</v>
      </c>
      <c r="E192" s="24"/>
      <c r="F192" s="7"/>
      <c r="G192" s="7"/>
      <c r="H192" s="97">
        <f>VLOOKUP($A192,'Model Inputs'!$A:$D,4,FALSE)</f>
        <v>1661</v>
      </c>
      <c r="I192" s="7"/>
      <c r="J192" s="138">
        <f>SUBTOTAL(9,J193:J196)</f>
        <v>3708.45</v>
      </c>
      <c r="K192" s="138"/>
      <c r="L192" s="138">
        <f>ROUNDUP(MAX(L193:L195),0)</f>
        <v>1</v>
      </c>
      <c r="M192" s="138">
        <f t="shared" ref="M192:Q192" si="234">SUBTOTAL(9,M193:M196)</f>
        <v>0</v>
      </c>
      <c r="N192" s="138">
        <f t="shared" si="234"/>
        <v>0</v>
      </c>
      <c r="O192" s="138">
        <f t="shared" si="234"/>
        <v>2047.45</v>
      </c>
      <c r="P192" s="138">
        <f t="shared" si="234"/>
        <v>1661</v>
      </c>
      <c r="Q192" s="138">
        <f t="shared" si="234"/>
        <v>3708.45</v>
      </c>
      <c r="R192" s="155"/>
    </row>
    <row r="193" spans="1:18" x14ac:dyDescent="0.35">
      <c r="A193" s="27">
        <v>31.1</v>
      </c>
      <c r="B193" s="92">
        <v>1</v>
      </c>
      <c r="C193" s="19" t="s">
        <v>63</v>
      </c>
      <c r="D193" s="3" t="s">
        <v>26</v>
      </c>
      <c r="E193" s="27" t="str">
        <f>VLOOKUP(C193,Resources!B:D,3,FALSE)</f>
        <v>P</v>
      </c>
      <c r="F193" s="8">
        <v>1</v>
      </c>
      <c r="G193" s="97">
        <f>VLOOKUP($A193,'Model Inputs'!$A:$D,4,FALSE)</f>
        <v>300</v>
      </c>
      <c r="H193" s="8">
        <f>H192</f>
        <v>1661</v>
      </c>
      <c r="I193" s="22">
        <f>VLOOKUP(C193,Resources!B:G,6,FALSE)</f>
        <v>135</v>
      </c>
      <c r="J193" s="139">
        <f t="shared" ref="J193:J196" si="235">(H193/(G193/F193))*I193</f>
        <v>747.45</v>
      </c>
      <c r="K193" s="139">
        <f t="shared" ref="K193:K196" si="236">IF(E193="M",H193,(H193/(G193)*F193))</f>
        <v>5.5366666666666671</v>
      </c>
      <c r="L193" s="139">
        <f>IF(E193="M"," ",K193/F193/Workhrs)</f>
        <v>0.61518518518518528</v>
      </c>
      <c r="M193" s="139">
        <f t="shared" ref="M193:M196" si="237">IF($E193="L",$J193,0)</f>
        <v>0</v>
      </c>
      <c r="N193" s="139">
        <f t="shared" ref="N193:N196" si="238">IF($E193="M",$J193,0)</f>
        <v>0</v>
      </c>
      <c r="O193" s="139">
        <f t="shared" ref="O193:O196" si="239">IF($E193="P",$J193,0)</f>
        <v>747.45</v>
      </c>
      <c r="P193" s="139">
        <f>IF($E193="S",$J193,0)</f>
        <v>0</v>
      </c>
      <c r="Q193" s="139">
        <f t="shared" ref="Q193:Q196" si="240">SUM(M193:P193)</f>
        <v>747.45</v>
      </c>
      <c r="R193" s="156">
        <v>53</v>
      </c>
    </row>
    <row r="194" spans="1:18" x14ac:dyDescent="0.35">
      <c r="A194" s="27">
        <v>31.2</v>
      </c>
      <c r="B194" s="92">
        <v>2</v>
      </c>
      <c r="C194" s="19" t="s">
        <v>50</v>
      </c>
      <c r="D194" s="3" t="s">
        <v>26</v>
      </c>
      <c r="E194" s="27" t="str">
        <f>VLOOKUP(C194,Resources!B:D,3,FALSE)</f>
        <v>P</v>
      </c>
      <c r="F194" s="8">
        <v>1</v>
      </c>
      <c r="G194" s="97">
        <f>VLOOKUP($A194,'Model Inputs'!$A:$D,4,FALSE)</f>
        <v>415.25</v>
      </c>
      <c r="H194" s="8">
        <f>H192</f>
        <v>1661</v>
      </c>
      <c r="I194" s="22">
        <f>VLOOKUP(C194,Resources!B:G,6,FALSE)</f>
        <v>135</v>
      </c>
      <c r="J194" s="139">
        <f t="shared" si="235"/>
        <v>540</v>
      </c>
      <c r="K194" s="139">
        <f t="shared" si="236"/>
        <v>4</v>
      </c>
      <c r="L194" s="139">
        <f>IF(E194="M"," ",K194/F194/Workhrs)</f>
        <v>0.44444444444444442</v>
      </c>
      <c r="M194" s="139">
        <f t="shared" si="237"/>
        <v>0</v>
      </c>
      <c r="N194" s="139">
        <f t="shared" si="238"/>
        <v>0</v>
      </c>
      <c r="O194" s="139">
        <f t="shared" si="239"/>
        <v>540</v>
      </c>
      <c r="P194" s="139">
        <f>IF($E194="S",$J194,0)</f>
        <v>0</v>
      </c>
      <c r="Q194" s="139">
        <f t="shared" si="240"/>
        <v>540</v>
      </c>
      <c r="R194" s="156">
        <v>53</v>
      </c>
    </row>
    <row r="195" spans="1:18" x14ac:dyDescent="0.35">
      <c r="A195" s="27"/>
      <c r="B195" s="92">
        <v>3</v>
      </c>
      <c r="C195" s="19" t="s">
        <v>51</v>
      </c>
      <c r="D195" s="3" t="s">
        <v>26</v>
      </c>
      <c r="E195" s="27" t="str">
        <f>VLOOKUP(C195,Resources!B:D,3,FALSE)</f>
        <v>P</v>
      </c>
      <c r="F195" s="8">
        <v>2</v>
      </c>
      <c r="G195" s="8">
        <f>G194</f>
        <v>415.25</v>
      </c>
      <c r="H195" s="8">
        <f>H192</f>
        <v>1661</v>
      </c>
      <c r="I195" s="22">
        <f>VLOOKUP(C195,Resources!B:G,6,FALSE)</f>
        <v>95</v>
      </c>
      <c r="J195" s="139">
        <f t="shared" si="235"/>
        <v>760</v>
      </c>
      <c r="K195" s="139">
        <f t="shared" si="236"/>
        <v>8</v>
      </c>
      <c r="L195" s="139">
        <f>IF(E195="M"," ",K195/F195/Workhrs)</f>
        <v>0.44444444444444442</v>
      </c>
      <c r="M195" s="139">
        <f t="shared" si="237"/>
        <v>0</v>
      </c>
      <c r="N195" s="139">
        <f t="shared" si="238"/>
        <v>0</v>
      </c>
      <c r="O195" s="139">
        <f t="shared" si="239"/>
        <v>760</v>
      </c>
      <c r="P195" s="139">
        <f>IF($E195="S",$J195,0)</f>
        <v>0</v>
      </c>
      <c r="Q195" s="139">
        <f t="shared" si="240"/>
        <v>760</v>
      </c>
      <c r="R195" s="156">
        <v>53</v>
      </c>
    </row>
    <row r="196" spans="1:18" x14ac:dyDescent="0.35">
      <c r="A196" s="27"/>
      <c r="B196" s="92">
        <v>4</v>
      </c>
      <c r="C196" s="19" t="s">
        <v>53</v>
      </c>
      <c r="D196" s="3" t="s">
        <v>54</v>
      </c>
      <c r="E196" s="27" t="str">
        <f>VLOOKUP(C196,Resources!B:D,3,FALSE)</f>
        <v>S</v>
      </c>
      <c r="F196" s="8">
        <v>1</v>
      </c>
      <c r="G196" s="8">
        <v>1</v>
      </c>
      <c r="H196" s="8">
        <f>H192*0.04</f>
        <v>66.44</v>
      </c>
      <c r="I196" s="22">
        <f>VLOOKUP(C196,Resources!B:G,6,FALSE)</f>
        <v>25</v>
      </c>
      <c r="J196" s="139">
        <f t="shared" si="235"/>
        <v>1661</v>
      </c>
      <c r="K196" s="139">
        <f t="shared" si="236"/>
        <v>66.44</v>
      </c>
      <c r="L196" s="139">
        <f>IF(E196="M"," ",K196/F196/Workhrs)</f>
        <v>7.3822222222222216</v>
      </c>
      <c r="M196" s="139">
        <f t="shared" si="237"/>
        <v>0</v>
      </c>
      <c r="N196" s="139">
        <f t="shared" si="238"/>
        <v>0</v>
      </c>
      <c r="O196" s="139">
        <f t="shared" si="239"/>
        <v>0</v>
      </c>
      <c r="P196" s="139">
        <f>IF($E196="S",$J196,0)</f>
        <v>1661</v>
      </c>
      <c r="Q196" s="139">
        <f t="shared" si="240"/>
        <v>1661</v>
      </c>
      <c r="R196" s="156">
        <v>53</v>
      </c>
    </row>
    <row r="197" spans="1:18" x14ac:dyDescent="0.35">
      <c r="C197" s="6" t="s">
        <v>402</v>
      </c>
      <c r="F197" s="9"/>
      <c r="G197" s="9"/>
      <c r="H197" s="9"/>
      <c r="I197" s="9"/>
    </row>
    <row r="198" spans="1:18" ht="30" x14ac:dyDescent="0.35">
      <c r="A198" s="26">
        <v>32</v>
      </c>
      <c r="B198" s="94" t="s">
        <v>133</v>
      </c>
      <c r="C198" s="1" t="s">
        <v>134</v>
      </c>
      <c r="D198" s="2" t="s">
        <v>17</v>
      </c>
      <c r="E198" s="24"/>
      <c r="F198" s="7"/>
      <c r="G198" s="7"/>
      <c r="H198" s="97">
        <f>VLOOKUP($A198,'Model Inputs'!$A:$D,4,FALSE)</f>
        <v>1</v>
      </c>
      <c r="I198" s="7"/>
      <c r="J198" s="138">
        <f>SUBTOTAL(9,J199)</f>
        <v>2025</v>
      </c>
      <c r="K198" s="138"/>
      <c r="L198" s="138">
        <f>ROUNDUP(L199,0)</f>
        <v>2</v>
      </c>
      <c r="M198" s="138">
        <f>SUBTOTAL(9,M199)</f>
        <v>0</v>
      </c>
      <c r="N198" s="138">
        <f t="shared" ref="N198" si="241">SUBTOTAL(9,N199)</f>
        <v>0</v>
      </c>
      <c r="O198" s="138">
        <f t="shared" ref="O198" si="242">SUBTOTAL(9,O199)</f>
        <v>0</v>
      </c>
      <c r="P198" s="138">
        <f t="shared" ref="P198" si="243">SUBTOTAL(9,P199)</f>
        <v>2025</v>
      </c>
      <c r="Q198" s="138">
        <f t="shared" ref="Q198" si="244">SUBTOTAL(9,Q199)</f>
        <v>2025</v>
      </c>
      <c r="R198" s="155"/>
    </row>
    <row r="199" spans="1:18" x14ac:dyDescent="0.35">
      <c r="A199" s="27"/>
      <c r="B199" s="92">
        <v>1</v>
      </c>
      <c r="C199" s="19" t="s">
        <v>135</v>
      </c>
      <c r="D199" s="3" t="s">
        <v>26</v>
      </c>
      <c r="E199" s="27" t="str">
        <f>VLOOKUP(C199,Resources!B:D,3,FALSE)</f>
        <v>S</v>
      </c>
      <c r="F199" s="8">
        <v>1</v>
      </c>
      <c r="G199" s="8">
        <v>1</v>
      </c>
      <c r="H199" s="8">
        <f>H198*15</f>
        <v>15</v>
      </c>
      <c r="I199" s="22">
        <f>VLOOKUP(C199,Resources!B:G,6,FALSE)</f>
        <v>135</v>
      </c>
      <c r="J199" s="139">
        <f t="shared" ref="J199" si="245">(H199/(G199/F199))*I199</f>
        <v>2025</v>
      </c>
      <c r="K199" s="139">
        <f t="shared" ref="K199" si="246">IF(E199="M",H199,(H199/(G199)*F199))</f>
        <v>15</v>
      </c>
      <c r="L199" s="139">
        <f>IF(E199="M"," ",K199/F199/Workhrs)</f>
        <v>1.6666666666666667</v>
      </c>
      <c r="M199" s="139">
        <f t="shared" ref="M199" si="247">IF($E199="L",$J199,0)</f>
        <v>0</v>
      </c>
      <c r="N199" s="139">
        <f t="shared" ref="N199" si="248">IF($E199="M",$J199,0)</f>
        <v>0</v>
      </c>
      <c r="O199" s="139">
        <f>IF($E199="P",$J199,0)</f>
        <v>0</v>
      </c>
      <c r="P199" s="139">
        <f>IF($E199="S",$J199,0)</f>
        <v>2025</v>
      </c>
      <c r="Q199" s="139">
        <f>SUM(M199:P199)</f>
        <v>2025</v>
      </c>
      <c r="R199" s="156">
        <v>15</v>
      </c>
    </row>
    <row r="200" spans="1:18" x14ac:dyDescent="0.35">
      <c r="C200" s="6" t="s">
        <v>402</v>
      </c>
      <c r="F200" s="9"/>
      <c r="G200" s="9"/>
      <c r="H200" s="9"/>
      <c r="I200" s="9"/>
    </row>
    <row r="201" spans="1:18" ht="30" x14ac:dyDescent="0.35">
      <c r="A201" s="26">
        <v>33</v>
      </c>
      <c r="B201" s="94" t="s">
        <v>136</v>
      </c>
      <c r="C201" s="1" t="s">
        <v>137</v>
      </c>
      <c r="D201" s="2" t="s">
        <v>17</v>
      </c>
      <c r="E201" s="24"/>
      <c r="F201" s="7"/>
      <c r="G201" s="7"/>
      <c r="H201" s="97">
        <f>VLOOKUP($A201,'Model Inputs'!$A:$D,4,FALSE)</f>
        <v>1</v>
      </c>
      <c r="I201" s="7"/>
      <c r="J201" s="138">
        <f>SUBTOTAL(9,J202)</f>
        <v>4995</v>
      </c>
      <c r="K201" s="138"/>
      <c r="L201" s="138">
        <f>ROUNDUP(L202,0)</f>
        <v>3</v>
      </c>
      <c r="M201" s="138">
        <f>SUBTOTAL(9,M202)</f>
        <v>4995</v>
      </c>
      <c r="N201" s="138">
        <f t="shared" ref="N201" si="249">SUBTOTAL(9,N202)</f>
        <v>0</v>
      </c>
      <c r="O201" s="138">
        <f t="shared" ref="O201" si="250">SUBTOTAL(9,O202)</f>
        <v>0</v>
      </c>
      <c r="P201" s="138">
        <f t="shared" ref="P201" si="251">SUBTOTAL(9,P202)</f>
        <v>0</v>
      </c>
      <c r="Q201" s="138">
        <f t="shared" ref="Q201" si="252">SUBTOTAL(9,Q202)</f>
        <v>4995</v>
      </c>
      <c r="R201" s="155"/>
    </row>
    <row r="202" spans="1:18" x14ac:dyDescent="0.35">
      <c r="A202" s="27"/>
      <c r="B202" s="92">
        <v>1</v>
      </c>
      <c r="C202" s="19" t="s">
        <v>25</v>
      </c>
      <c r="D202" s="3" t="s">
        <v>26</v>
      </c>
      <c r="E202" s="27" t="str">
        <f>VLOOKUP(C202,Resources!B:D,3,FALSE)</f>
        <v>L</v>
      </c>
      <c r="F202" s="8">
        <v>1</v>
      </c>
      <c r="G202" s="8">
        <v>1</v>
      </c>
      <c r="H202" s="8">
        <f>H201*27</f>
        <v>27</v>
      </c>
      <c r="I202" s="22">
        <f>VLOOKUP(C202,Resources!B:G,6,FALSE)</f>
        <v>185</v>
      </c>
      <c r="J202" s="139">
        <f t="shared" ref="J202" si="253">(H202/(G202/F202))*I202</f>
        <v>4995</v>
      </c>
      <c r="K202" s="139">
        <f t="shared" ref="K202" si="254">IF(E202="M",H202,(H202/(G202)*F202))</f>
        <v>27</v>
      </c>
      <c r="L202" s="139">
        <f>IF(E202="M"," ",K202/F202/Workhrs)</f>
        <v>3</v>
      </c>
      <c r="M202" s="139">
        <f t="shared" ref="M202" si="255">IF($E202="L",$J202,0)</f>
        <v>4995</v>
      </c>
      <c r="N202" s="139">
        <f t="shared" ref="N202" si="256">IF($E202="M",$J202,0)</f>
        <v>0</v>
      </c>
      <c r="O202" s="139">
        <f>IF($E202="P",$J202,0)</f>
        <v>0</v>
      </c>
      <c r="P202" s="139">
        <f>IF($E202="S",$J202,0)</f>
        <v>0</v>
      </c>
      <c r="Q202" s="139">
        <f>SUM(M202:P202)</f>
        <v>4995</v>
      </c>
      <c r="R202" s="156">
        <v>11</v>
      </c>
    </row>
    <row r="203" spans="1:18" x14ac:dyDescent="0.35">
      <c r="C203" s="6" t="s">
        <v>402</v>
      </c>
      <c r="F203" s="9"/>
      <c r="G203" s="9"/>
      <c r="H203" s="9"/>
      <c r="I203" s="9"/>
    </row>
    <row r="204" spans="1:18" ht="30" x14ac:dyDescent="0.35">
      <c r="A204" s="26">
        <v>34</v>
      </c>
      <c r="B204" s="94" t="s">
        <v>138</v>
      </c>
      <c r="C204" s="1" t="s">
        <v>139</v>
      </c>
      <c r="D204" s="2"/>
      <c r="E204" s="24"/>
      <c r="F204" s="7"/>
      <c r="G204" s="7"/>
      <c r="H204" s="7"/>
      <c r="I204" s="7"/>
      <c r="J204" s="138"/>
      <c r="K204" s="138"/>
      <c r="L204" s="138"/>
      <c r="M204" s="138"/>
      <c r="N204" s="138"/>
      <c r="O204" s="138"/>
      <c r="P204" s="138"/>
      <c r="Q204" s="138"/>
      <c r="R204" s="155"/>
    </row>
    <row r="205" spans="1:18" ht="30" x14ac:dyDescent="0.35">
      <c r="A205" s="26">
        <v>35</v>
      </c>
      <c r="B205" s="94" t="s">
        <v>140</v>
      </c>
      <c r="C205" s="1" t="s">
        <v>16</v>
      </c>
      <c r="D205" s="2" t="s">
        <v>17</v>
      </c>
      <c r="E205" s="24"/>
      <c r="F205" s="7"/>
      <c r="G205" s="7"/>
      <c r="H205" s="97">
        <f>VLOOKUP($A205,'Model Inputs'!$A:$D,4,FALSE)</f>
        <v>1</v>
      </c>
      <c r="I205" s="7"/>
      <c r="J205" s="138">
        <f>SUBTOTAL(9,J206)</f>
        <v>6500</v>
      </c>
      <c r="K205" s="138"/>
      <c r="L205" s="138">
        <f>ROUNDUP(L206,0)</f>
        <v>5</v>
      </c>
      <c r="M205" s="138">
        <f>SUBTOTAL(9,M206)</f>
        <v>6500</v>
      </c>
      <c r="N205" s="138">
        <f t="shared" ref="N205" si="257">SUBTOTAL(9,N206)</f>
        <v>0</v>
      </c>
      <c r="O205" s="138">
        <f t="shared" ref="O205" si="258">SUBTOTAL(9,O206)</f>
        <v>0</v>
      </c>
      <c r="P205" s="138">
        <f t="shared" ref="P205" si="259">SUBTOTAL(9,P206)</f>
        <v>0</v>
      </c>
      <c r="Q205" s="138">
        <f t="shared" ref="Q205" si="260">SUBTOTAL(9,Q206)</f>
        <v>6500</v>
      </c>
      <c r="R205" s="155"/>
    </row>
    <row r="206" spans="1:18" x14ac:dyDescent="0.35">
      <c r="A206" s="27"/>
      <c r="B206" s="92">
        <v>1</v>
      </c>
      <c r="C206" s="19" t="s">
        <v>18</v>
      </c>
      <c r="D206" s="3" t="s">
        <v>19</v>
      </c>
      <c r="E206" s="27" t="str">
        <f>VLOOKUP(C206,Resources!B:D,3,FALSE)</f>
        <v>L</v>
      </c>
      <c r="F206" s="8">
        <v>1</v>
      </c>
      <c r="G206" s="8">
        <v>1</v>
      </c>
      <c r="H206" s="8">
        <f>H205*2</f>
        <v>2</v>
      </c>
      <c r="I206" s="22">
        <f>VLOOKUP(C206,Resources!B:G,6,FALSE)</f>
        <v>3250</v>
      </c>
      <c r="J206" s="139">
        <f t="shared" ref="J206" si="261">(H206/(G206/F206))*I206</f>
        <v>6500</v>
      </c>
      <c r="K206" s="139">
        <f t="shared" ref="K206" si="262">IF(E206="M",H206,(H206/(G206)*F206))</f>
        <v>2</v>
      </c>
      <c r="L206" s="139">
        <f>H206*2.5</f>
        <v>5</v>
      </c>
      <c r="M206" s="139">
        <f t="shared" ref="M206" si="263">IF($E206="L",$J206,0)</f>
        <v>6500</v>
      </c>
      <c r="N206" s="139">
        <f t="shared" ref="N206" si="264">IF($E206="M",$J206,0)</f>
        <v>0</v>
      </c>
      <c r="O206" s="139">
        <f>IF($E206="P",$J206,0)</f>
        <v>0</v>
      </c>
      <c r="P206" s="139">
        <f>IF($E206="S",$J206,0)</f>
        <v>0</v>
      </c>
      <c r="Q206" s="139">
        <f>SUM(M206:P206)</f>
        <v>6500</v>
      </c>
      <c r="R206" s="156">
        <v>13</v>
      </c>
    </row>
    <row r="207" spans="1:18" x14ac:dyDescent="0.35">
      <c r="C207" s="6" t="s">
        <v>402</v>
      </c>
      <c r="F207" s="9"/>
      <c r="G207" s="9"/>
      <c r="H207" s="9"/>
      <c r="I207" s="9"/>
    </row>
    <row r="208" spans="1:18" ht="30" x14ac:dyDescent="0.35">
      <c r="A208" s="26">
        <v>36</v>
      </c>
      <c r="B208" s="94" t="s">
        <v>141</v>
      </c>
      <c r="C208" s="1" t="s">
        <v>21</v>
      </c>
      <c r="D208" s="2" t="s">
        <v>17</v>
      </c>
      <c r="E208" s="24"/>
      <c r="F208" s="7"/>
      <c r="G208" s="7"/>
      <c r="H208" s="97">
        <f>VLOOKUP($A208,'Model Inputs'!$A:$D,4,FALSE)</f>
        <v>1</v>
      </c>
      <c r="I208" s="7"/>
      <c r="J208" s="138">
        <f>SUBTOTAL(9,J210:J214)</f>
        <v>15080</v>
      </c>
      <c r="K208" s="138"/>
      <c r="L208" s="138">
        <v>0</v>
      </c>
      <c r="M208" s="138">
        <f t="shared" ref="M208:Q208" si="265">SUBTOTAL(9,M210:M214)</f>
        <v>8060</v>
      </c>
      <c r="N208" s="138">
        <f t="shared" si="265"/>
        <v>0</v>
      </c>
      <c r="O208" s="138">
        <f t="shared" si="265"/>
        <v>0</v>
      </c>
      <c r="P208" s="138">
        <f t="shared" si="265"/>
        <v>7020</v>
      </c>
      <c r="Q208" s="138">
        <f t="shared" si="265"/>
        <v>15080</v>
      </c>
      <c r="R208" s="155"/>
    </row>
    <row r="209" spans="1:22" x14ac:dyDescent="0.35">
      <c r="A209" s="27"/>
      <c r="B209" s="92">
        <v>1</v>
      </c>
      <c r="C209" s="5" t="s">
        <v>705</v>
      </c>
      <c r="D209" s="16" t="s">
        <v>110</v>
      </c>
      <c r="E209" s="27"/>
      <c r="F209" s="8"/>
      <c r="G209" s="8"/>
      <c r="H209" s="8">
        <v>10000</v>
      </c>
      <c r="I209" s="8"/>
      <c r="J209" s="139"/>
      <c r="K209" s="139"/>
      <c r="L209" s="139"/>
      <c r="M209" s="139"/>
      <c r="N209" s="139"/>
      <c r="O209" s="139"/>
      <c r="P209" s="139"/>
      <c r="Q209" s="139"/>
      <c r="R209" s="156"/>
    </row>
    <row r="210" spans="1:22" x14ac:dyDescent="0.35">
      <c r="A210" s="27"/>
      <c r="B210" s="92">
        <v>2</v>
      </c>
      <c r="C210" s="19" t="s">
        <v>22</v>
      </c>
      <c r="D210" s="3" t="s">
        <v>23</v>
      </c>
      <c r="E210" s="27" t="str">
        <f>VLOOKUP(C210,Resources!B:D,3,FALSE)</f>
        <v>S</v>
      </c>
      <c r="F210" s="8">
        <v>1</v>
      </c>
      <c r="G210" s="8">
        <v>1</v>
      </c>
      <c r="H210" s="8">
        <f>H208*90</f>
        <v>90</v>
      </c>
      <c r="I210" s="22">
        <f>VLOOKUP(C210,Resources!B:G,6,FALSE)</f>
        <v>45</v>
      </c>
      <c r="J210" s="139">
        <f t="shared" ref="J210:J214" si="266">(H210/(G210/F210))*I210</f>
        <v>4050</v>
      </c>
      <c r="K210" s="139">
        <f t="shared" ref="K210:K214" si="267">IF(E210="M",H210,(H210/(G210)*F210))</f>
        <v>90</v>
      </c>
      <c r="L210" s="139"/>
      <c r="M210" s="139">
        <f t="shared" ref="M210:M214" si="268">IF($E210="L",$J210,0)</f>
        <v>0</v>
      </c>
      <c r="N210" s="139">
        <f t="shared" ref="N210:N214" si="269">IF($E210="M",$J210,0)</f>
        <v>0</v>
      </c>
      <c r="O210" s="139">
        <f t="shared" ref="O210:O214" si="270">IF($E210="P",$J210,0)</f>
        <v>0</v>
      </c>
      <c r="P210" s="139">
        <f>IF($E210="S",$J210,0)</f>
        <v>4050</v>
      </c>
      <c r="Q210" s="139">
        <f t="shared" ref="Q210:Q214" si="271">SUM(M210:P210)</f>
        <v>4050</v>
      </c>
      <c r="R210" s="156">
        <v>13</v>
      </c>
    </row>
    <row r="211" spans="1:22" x14ac:dyDescent="0.35">
      <c r="A211" s="27"/>
      <c r="B211" s="92">
        <v>3</v>
      </c>
      <c r="C211" s="19" t="s">
        <v>24</v>
      </c>
      <c r="D211" s="3" t="s">
        <v>23</v>
      </c>
      <c r="E211" s="27" t="str">
        <f>VLOOKUP(C211,Resources!B:D,3,FALSE)</f>
        <v>S</v>
      </c>
      <c r="F211" s="8">
        <v>1</v>
      </c>
      <c r="G211" s="8">
        <v>1</v>
      </c>
      <c r="H211" s="8">
        <f>H208*3</f>
        <v>3</v>
      </c>
      <c r="I211" s="22">
        <f>VLOOKUP(C211,Resources!B:G,6,FALSE)</f>
        <v>390</v>
      </c>
      <c r="J211" s="139">
        <f t="shared" si="266"/>
        <v>1170</v>
      </c>
      <c r="K211" s="139">
        <f t="shared" si="267"/>
        <v>3</v>
      </c>
      <c r="L211" s="139"/>
      <c r="M211" s="139">
        <f t="shared" si="268"/>
        <v>0</v>
      </c>
      <c r="N211" s="139">
        <f t="shared" si="269"/>
        <v>0</v>
      </c>
      <c r="O211" s="139">
        <f t="shared" si="270"/>
        <v>0</v>
      </c>
      <c r="P211" s="139">
        <f>IF($E211="S",$J211,0)</f>
        <v>1170</v>
      </c>
      <c r="Q211" s="139">
        <f t="shared" si="271"/>
        <v>1170</v>
      </c>
      <c r="R211" s="156">
        <v>13</v>
      </c>
    </row>
    <row r="212" spans="1:22" x14ac:dyDescent="0.35">
      <c r="A212" s="27"/>
      <c r="B212" s="92">
        <v>4</v>
      </c>
      <c r="C212" s="19" t="s">
        <v>18</v>
      </c>
      <c r="D212" s="3" t="s">
        <v>19</v>
      </c>
      <c r="E212" s="27" t="str">
        <f>VLOOKUP(C212,Resources!B:D,3,FALSE)</f>
        <v>L</v>
      </c>
      <c r="F212" s="8">
        <v>1</v>
      </c>
      <c r="G212" s="8">
        <v>1</v>
      </c>
      <c r="H212" s="8">
        <f>H208</f>
        <v>1</v>
      </c>
      <c r="I212" s="22">
        <f>VLOOKUP(C212,Resources!B:G,6,FALSE)</f>
        <v>3250</v>
      </c>
      <c r="J212" s="139">
        <f t="shared" si="266"/>
        <v>3250</v>
      </c>
      <c r="K212" s="139">
        <f t="shared" si="267"/>
        <v>1</v>
      </c>
      <c r="L212" s="139"/>
      <c r="M212" s="139">
        <f t="shared" si="268"/>
        <v>3250</v>
      </c>
      <c r="N212" s="139">
        <f t="shared" si="269"/>
        <v>0</v>
      </c>
      <c r="O212" s="139">
        <f t="shared" si="270"/>
        <v>0</v>
      </c>
      <c r="P212" s="139">
        <f>IF($E212="S",$J212,0)</f>
        <v>0</v>
      </c>
      <c r="Q212" s="139">
        <f t="shared" si="271"/>
        <v>3250</v>
      </c>
      <c r="R212" s="156">
        <v>13</v>
      </c>
    </row>
    <row r="213" spans="1:22" x14ac:dyDescent="0.35">
      <c r="A213" s="27"/>
      <c r="B213" s="92">
        <v>5</v>
      </c>
      <c r="C213" s="19" t="s">
        <v>25</v>
      </c>
      <c r="D213" s="3" t="s">
        <v>26</v>
      </c>
      <c r="E213" s="27" t="str">
        <f>VLOOKUP(C213,Resources!B:D,3,FALSE)</f>
        <v>L</v>
      </c>
      <c r="F213" s="8">
        <v>1</v>
      </c>
      <c r="G213" s="8">
        <v>1</v>
      </c>
      <c r="H213" s="8">
        <f>H208*26</f>
        <v>26</v>
      </c>
      <c r="I213" s="22">
        <f>VLOOKUP(C213,Resources!B:G,6,FALSE)</f>
        <v>185</v>
      </c>
      <c r="J213" s="139">
        <f t="shared" si="266"/>
        <v>4810</v>
      </c>
      <c r="K213" s="139">
        <f t="shared" si="267"/>
        <v>26</v>
      </c>
      <c r="L213" s="139"/>
      <c r="M213" s="139">
        <f t="shared" si="268"/>
        <v>4810</v>
      </c>
      <c r="N213" s="139">
        <f t="shared" si="269"/>
        <v>0</v>
      </c>
      <c r="O213" s="139">
        <f t="shared" si="270"/>
        <v>0</v>
      </c>
      <c r="P213" s="139">
        <f>IF($E213="S",$J213,0)</f>
        <v>0</v>
      </c>
      <c r="Q213" s="139">
        <f t="shared" si="271"/>
        <v>4810</v>
      </c>
      <c r="R213" s="156">
        <v>11</v>
      </c>
    </row>
    <row r="214" spans="1:22" x14ac:dyDescent="0.35">
      <c r="A214" s="27"/>
      <c r="B214" s="92">
        <v>6</v>
      </c>
      <c r="C214" s="19" t="s">
        <v>27</v>
      </c>
      <c r="D214" s="3" t="s">
        <v>23</v>
      </c>
      <c r="E214" s="27" t="str">
        <f>VLOOKUP(C214,Resources!B:D,3,FALSE)</f>
        <v>S</v>
      </c>
      <c r="F214" s="8">
        <v>1</v>
      </c>
      <c r="G214" s="8">
        <v>1</v>
      </c>
      <c r="H214" s="8">
        <f>H208*12</f>
        <v>12</v>
      </c>
      <c r="I214" s="22">
        <f>VLOOKUP(C214,Resources!B:G,6,FALSE)</f>
        <v>150</v>
      </c>
      <c r="J214" s="139">
        <f t="shared" si="266"/>
        <v>1800</v>
      </c>
      <c r="K214" s="139">
        <f t="shared" si="267"/>
        <v>12</v>
      </c>
      <c r="L214" s="139"/>
      <c r="M214" s="139">
        <f t="shared" si="268"/>
        <v>0</v>
      </c>
      <c r="N214" s="139">
        <f t="shared" si="269"/>
        <v>0</v>
      </c>
      <c r="O214" s="139">
        <f t="shared" si="270"/>
        <v>0</v>
      </c>
      <c r="P214" s="139">
        <f>IF($E214="S",$J214,0)</f>
        <v>1800</v>
      </c>
      <c r="Q214" s="139">
        <f t="shared" si="271"/>
        <v>1800</v>
      </c>
      <c r="R214" s="156">
        <v>13</v>
      </c>
    </row>
    <row r="215" spans="1:22" x14ac:dyDescent="0.35">
      <c r="C215" s="6" t="s">
        <v>402</v>
      </c>
      <c r="F215" s="9"/>
      <c r="G215" s="9"/>
      <c r="H215" s="9"/>
      <c r="I215" s="9"/>
    </row>
    <row r="216" spans="1:22" ht="30" x14ac:dyDescent="0.35">
      <c r="A216" s="26">
        <v>37</v>
      </c>
      <c r="B216" s="94" t="s">
        <v>142</v>
      </c>
      <c r="C216" s="1" t="s">
        <v>29</v>
      </c>
      <c r="D216" s="2" t="s">
        <v>17</v>
      </c>
      <c r="E216" s="24"/>
      <c r="F216" s="7"/>
      <c r="G216" s="7"/>
      <c r="H216" s="97">
        <f>VLOOKUP($A216,'Model Inputs'!$A:$D,4,FALSE)</f>
        <v>1</v>
      </c>
      <c r="I216" s="7"/>
      <c r="J216" s="138">
        <f>SUBTOTAL(9,J217:J225)</f>
        <v>13100</v>
      </c>
      <c r="K216" s="138"/>
      <c r="L216" s="138">
        <f>ROUNDUP(MAX(L217:L225),0)</f>
        <v>5</v>
      </c>
      <c r="M216" s="138">
        <f t="shared" ref="M216:Q216" si="272">SUBTOTAL(9,M217:M225)</f>
        <v>8700</v>
      </c>
      <c r="N216" s="138">
        <f t="shared" si="272"/>
        <v>0</v>
      </c>
      <c r="O216" s="138">
        <f t="shared" si="272"/>
        <v>4400</v>
      </c>
      <c r="P216" s="138">
        <f t="shared" si="272"/>
        <v>0</v>
      </c>
      <c r="Q216" s="138">
        <f t="shared" si="272"/>
        <v>13100</v>
      </c>
      <c r="R216" s="155"/>
    </row>
    <row r="217" spans="1:22" s="90" customFormat="1" x14ac:dyDescent="0.35">
      <c r="A217" s="27"/>
      <c r="B217" s="92">
        <v>1</v>
      </c>
      <c r="C217" s="19" t="s">
        <v>78</v>
      </c>
      <c r="D217" s="16" t="s">
        <v>17</v>
      </c>
      <c r="E217" s="27" t="str">
        <f>VLOOKUP(C217,Resources!B:D,3,FALSE)</f>
        <v>P</v>
      </c>
      <c r="F217" s="22">
        <v>800</v>
      </c>
      <c r="G217" s="22">
        <v>1</v>
      </c>
      <c r="H217" s="22">
        <f>H216</f>
        <v>1</v>
      </c>
      <c r="I217" s="22">
        <f>VLOOKUP(C217,Resources!B:G,6,FALSE)</f>
        <v>1</v>
      </c>
      <c r="J217" s="139">
        <f t="shared" ref="J217:J225" si="273">(H217/(G217/F217))*I217</f>
        <v>800</v>
      </c>
      <c r="K217" s="139">
        <f t="shared" ref="K217:K225" si="274">IF(E217="M",H217,(H217/(G217)*F217))</f>
        <v>800</v>
      </c>
      <c r="L217" s="139">
        <f>I217</f>
        <v>1</v>
      </c>
      <c r="M217" s="139">
        <f t="shared" ref="M217:M225" si="275">IF($E217="L",$J217,0)</f>
        <v>0</v>
      </c>
      <c r="N217" s="139">
        <f t="shared" ref="N217:N225" si="276">IF($E217="M",$J217,0)</f>
        <v>0</v>
      </c>
      <c r="O217" s="139">
        <f t="shared" ref="O217:O225" si="277">IF($E217="P",$J217,0)</f>
        <v>800</v>
      </c>
      <c r="P217" s="139">
        <f t="shared" ref="P217:P225" si="278">IF($E217="S",$J217,0)</f>
        <v>0</v>
      </c>
      <c r="Q217" s="139">
        <f t="shared" ref="Q217:Q225" si="279">SUM(M217:P217)</f>
        <v>800</v>
      </c>
      <c r="R217" s="156">
        <v>907</v>
      </c>
      <c r="T217" s="247"/>
      <c r="U217"/>
      <c r="V217" s="277"/>
    </row>
    <row r="218" spans="1:22" s="90" customFormat="1" x14ac:dyDescent="0.35">
      <c r="A218" s="27"/>
      <c r="B218" s="92">
        <v>2</v>
      </c>
      <c r="C218" s="19" t="s">
        <v>78</v>
      </c>
      <c r="D218" s="16" t="s">
        <v>17</v>
      </c>
      <c r="E218" s="27" t="str">
        <f>VLOOKUP(C218,Resources!B:D,3,FALSE)</f>
        <v>P</v>
      </c>
      <c r="F218" s="22">
        <v>600</v>
      </c>
      <c r="G218" s="22">
        <v>1</v>
      </c>
      <c r="H218" s="22">
        <f>H216</f>
        <v>1</v>
      </c>
      <c r="I218" s="22">
        <f>VLOOKUP(C218,Resources!B:G,6,FALSE)</f>
        <v>1</v>
      </c>
      <c r="J218" s="139">
        <f t="shared" si="273"/>
        <v>600</v>
      </c>
      <c r="K218" s="139">
        <f t="shared" si="274"/>
        <v>600</v>
      </c>
      <c r="L218" s="139">
        <f t="shared" ref="L218:L222" si="280">I218</f>
        <v>1</v>
      </c>
      <c r="M218" s="139">
        <f t="shared" si="275"/>
        <v>0</v>
      </c>
      <c r="N218" s="139">
        <f t="shared" si="276"/>
        <v>0</v>
      </c>
      <c r="O218" s="139">
        <f t="shared" si="277"/>
        <v>600</v>
      </c>
      <c r="P218" s="139">
        <f t="shared" si="278"/>
        <v>0</v>
      </c>
      <c r="Q218" s="139">
        <f t="shared" si="279"/>
        <v>600</v>
      </c>
      <c r="R218" s="156">
        <v>907</v>
      </c>
      <c r="T218" s="247"/>
      <c r="U218"/>
      <c r="V218" s="277"/>
    </row>
    <row r="219" spans="1:22" s="90" customFormat="1" x14ac:dyDescent="0.35">
      <c r="A219" s="27"/>
      <c r="B219" s="92">
        <v>3</v>
      </c>
      <c r="C219" s="19" t="s">
        <v>78</v>
      </c>
      <c r="D219" s="16" t="s">
        <v>17</v>
      </c>
      <c r="E219" s="27" t="str">
        <f>VLOOKUP(C219,Resources!B:D,3,FALSE)</f>
        <v>P</v>
      </c>
      <c r="F219" s="22">
        <v>600</v>
      </c>
      <c r="G219" s="22">
        <v>1</v>
      </c>
      <c r="H219" s="22">
        <f>H216</f>
        <v>1</v>
      </c>
      <c r="I219" s="22">
        <f>VLOOKUP(C219,Resources!B:G,6,FALSE)</f>
        <v>1</v>
      </c>
      <c r="J219" s="139">
        <f t="shared" si="273"/>
        <v>600</v>
      </c>
      <c r="K219" s="139">
        <f t="shared" si="274"/>
        <v>600</v>
      </c>
      <c r="L219" s="139">
        <f t="shared" si="280"/>
        <v>1</v>
      </c>
      <c r="M219" s="139">
        <f t="shared" si="275"/>
        <v>0</v>
      </c>
      <c r="N219" s="139">
        <f t="shared" si="276"/>
        <v>0</v>
      </c>
      <c r="O219" s="139">
        <f t="shared" si="277"/>
        <v>600</v>
      </c>
      <c r="P219" s="139">
        <f t="shared" si="278"/>
        <v>0</v>
      </c>
      <c r="Q219" s="139">
        <f t="shared" si="279"/>
        <v>600</v>
      </c>
      <c r="R219" s="156">
        <v>907</v>
      </c>
      <c r="T219" s="247"/>
      <c r="U219"/>
      <c r="V219" s="277"/>
    </row>
    <row r="220" spans="1:22" s="90" customFormat="1" x14ac:dyDescent="0.35">
      <c r="A220" s="27"/>
      <c r="B220" s="92">
        <v>4</v>
      </c>
      <c r="C220" s="19" t="s">
        <v>78</v>
      </c>
      <c r="D220" s="16" t="s">
        <v>17</v>
      </c>
      <c r="E220" s="27" t="str">
        <f>VLOOKUP(C220,Resources!B:D,3,FALSE)</f>
        <v>P</v>
      </c>
      <c r="F220" s="22">
        <v>600</v>
      </c>
      <c r="G220" s="22">
        <v>1</v>
      </c>
      <c r="H220" s="22">
        <f>H216</f>
        <v>1</v>
      </c>
      <c r="I220" s="22">
        <f>VLOOKUP(C220,Resources!B:G,6,FALSE)</f>
        <v>1</v>
      </c>
      <c r="J220" s="139">
        <f t="shared" si="273"/>
        <v>600</v>
      </c>
      <c r="K220" s="139">
        <f t="shared" si="274"/>
        <v>600</v>
      </c>
      <c r="L220" s="139">
        <f t="shared" si="280"/>
        <v>1</v>
      </c>
      <c r="M220" s="139">
        <f t="shared" si="275"/>
        <v>0</v>
      </c>
      <c r="N220" s="139">
        <f t="shared" si="276"/>
        <v>0</v>
      </c>
      <c r="O220" s="139">
        <f t="shared" si="277"/>
        <v>600</v>
      </c>
      <c r="P220" s="139">
        <f t="shared" si="278"/>
        <v>0</v>
      </c>
      <c r="Q220" s="139">
        <f t="shared" si="279"/>
        <v>600</v>
      </c>
      <c r="R220" s="156">
        <v>907</v>
      </c>
      <c r="T220" s="247"/>
      <c r="U220"/>
      <c r="V220" s="277"/>
    </row>
    <row r="221" spans="1:22" s="90" customFormat="1" x14ac:dyDescent="0.35">
      <c r="A221" s="27"/>
      <c r="B221" s="92">
        <v>5</v>
      </c>
      <c r="C221" s="19" t="s">
        <v>78</v>
      </c>
      <c r="D221" s="16" t="s">
        <v>17</v>
      </c>
      <c r="E221" s="27" t="str">
        <f>VLOOKUP(C221,Resources!B:D,3,FALSE)</f>
        <v>P</v>
      </c>
      <c r="F221" s="22">
        <v>1200</v>
      </c>
      <c r="G221" s="22">
        <v>1</v>
      </c>
      <c r="H221" s="22">
        <f>H216</f>
        <v>1</v>
      </c>
      <c r="I221" s="22">
        <f>VLOOKUP(C221,Resources!B:G,6,FALSE)</f>
        <v>1</v>
      </c>
      <c r="J221" s="139">
        <f t="shared" si="273"/>
        <v>1200</v>
      </c>
      <c r="K221" s="139">
        <f t="shared" si="274"/>
        <v>1200</v>
      </c>
      <c r="L221" s="139">
        <f t="shared" si="280"/>
        <v>1</v>
      </c>
      <c r="M221" s="139">
        <f t="shared" si="275"/>
        <v>0</v>
      </c>
      <c r="N221" s="139">
        <f t="shared" si="276"/>
        <v>0</v>
      </c>
      <c r="O221" s="139">
        <f t="shared" si="277"/>
        <v>1200</v>
      </c>
      <c r="P221" s="139">
        <f t="shared" si="278"/>
        <v>0</v>
      </c>
      <c r="Q221" s="139">
        <f t="shared" si="279"/>
        <v>1200</v>
      </c>
      <c r="R221" s="156">
        <v>907</v>
      </c>
      <c r="T221" s="247"/>
      <c r="U221"/>
      <c r="V221" s="277"/>
    </row>
    <row r="222" spans="1:22" s="90" customFormat="1" x14ac:dyDescent="0.35">
      <c r="A222" s="27"/>
      <c r="B222" s="92">
        <v>6</v>
      </c>
      <c r="C222" s="19" t="s">
        <v>78</v>
      </c>
      <c r="D222" s="16" t="s">
        <v>17</v>
      </c>
      <c r="E222" s="27" t="str">
        <f>VLOOKUP(C222,Resources!B:D,3,FALSE)</f>
        <v>P</v>
      </c>
      <c r="F222" s="22">
        <v>600</v>
      </c>
      <c r="G222" s="22">
        <v>1</v>
      </c>
      <c r="H222" s="22">
        <f>H216</f>
        <v>1</v>
      </c>
      <c r="I222" s="22">
        <f>VLOOKUP(C222,Resources!B:G,6,FALSE)</f>
        <v>1</v>
      </c>
      <c r="J222" s="139">
        <f t="shared" si="273"/>
        <v>600</v>
      </c>
      <c r="K222" s="139">
        <f t="shared" si="274"/>
        <v>600</v>
      </c>
      <c r="L222" s="139">
        <f t="shared" si="280"/>
        <v>1</v>
      </c>
      <c r="M222" s="139">
        <f t="shared" si="275"/>
        <v>0</v>
      </c>
      <c r="N222" s="139">
        <f t="shared" si="276"/>
        <v>0</v>
      </c>
      <c r="O222" s="139">
        <f t="shared" si="277"/>
        <v>600</v>
      </c>
      <c r="P222" s="139">
        <f t="shared" si="278"/>
        <v>0</v>
      </c>
      <c r="Q222" s="139">
        <f t="shared" si="279"/>
        <v>600</v>
      </c>
      <c r="R222" s="156">
        <v>907</v>
      </c>
      <c r="T222" s="247"/>
      <c r="U222"/>
      <c r="V222" s="277"/>
    </row>
    <row r="223" spans="1:22" s="90" customFormat="1" x14ac:dyDescent="0.35">
      <c r="A223" s="27"/>
      <c r="B223" s="92">
        <v>7</v>
      </c>
      <c r="C223" s="19" t="s">
        <v>30</v>
      </c>
      <c r="D223" s="16" t="s">
        <v>19</v>
      </c>
      <c r="E223" s="27" t="str">
        <f>VLOOKUP(C223,Resources!B:D,3,FALSE)</f>
        <v>L</v>
      </c>
      <c r="F223" s="22">
        <v>1</v>
      </c>
      <c r="G223" s="22">
        <v>1</v>
      </c>
      <c r="H223" s="22">
        <f>H216</f>
        <v>1</v>
      </c>
      <c r="I223" s="22">
        <f>VLOOKUP(C223,Resources!B:G,6,FALSE)</f>
        <v>3350</v>
      </c>
      <c r="J223" s="139">
        <f t="shared" si="273"/>
        <v>3350</v>
      </c>
      <c r="K223" s="139">
        <f t="shared" si="274"/>
        <v>1</v>
      </c>
      <c r="L223" s="139">
        <f>H223*5</f>
        <v>5</v>
      </c>
      <c r="M223" s="139">
        <f t="shared" si="275"/>
        <v>3350</v>
      </c>
      <c r="N223" s="139">
        <f t="shared" si="276"/>
        <v>0</v>
      </c>
      <c r="O223" s="139">
        <f t="shared" si="277"/>
        <v>0</v>
      </c>
      <c r="P223" s="139">
        <f t="shared" si="278"/>
        <v>0</v>
      </c>
      <c r="Q223" s="139">
        <f t="shared" si="279"/>
        <v>3350</v>
      </c>
      <c r="R223" s="156">
        <v>902</v>
      </c>
      <c r="T223" s="247"/>
      <c r="U223"/>
      <c r="V223" s="277"/>
    </row>
    <row r="224" spans="1:22" s="90" customFormat="1" x14ac:dyDescent="0.35">
      <c r="A224" s="27"/>
      <c r="B224" s="92">
        <v>8</v>
      </c>
      <c r="C224" s="19" t="s">
        <v>18</v>
      </c>
      <c r="D224" s="16" t="s">
        <v>19</v>
      </c>
      <c r="E224" s="27" t="str">
        <f>VLOOKUP(C224,Resources!B:D,3,FALSE)</f>
        <v>L</v>
      </c>
      <c r="F224" s="22">
        <v>1</v>
      </c>
      <c r="G224" s="22">
        <v>1</v>
      </c>
      <c r="H224" s="22">
        <f>H216</f>
        <v>1</v>
      </c>
      <c r="I224" s="22">
        <f>VLOOKUP(C224,Resources!B:G,6,FALSE)</f>
        <v>3250</v>
      </c>
      <c r="J224" s="139">
        <f t="shared" si="273"/>
        <v>3250</v>
      </c>
      <c r="K224" s="139">
        <f t="shared" si="274"/>
        <v>1</v>
      </c>
      <c r="L224" s="139">
        <f>H224*5</f>
        <v>5</v>
      </c>
      <c r="M224" s="139">
        <f t="shared" si="275"/>
        <v>3250</v>
      </c>
      <c r="N224" s="139">
        <f t="shared" si="276"/>
        <v>0</v>
      </c>
      <c r="O224" s="139">
        <f t="shared" si="277"/>
        <v>0</v>
      </c>
      <c r="P224" s="139">
        <f t="shared" si="278"/>
        <v>0</v>
      </c>
      <c r="Q224" s="139">
        <f t="shared" si="279"/>
        <v>3250</v>
      </c>
      <c r="R224" s="156">
        <v>902</v>
      </c>
      <c r="T224" s="247"/>
      <c r="U224"/>
      <c r="V224" s="277"/>
    </row>
    <row r="225" spans="1:22" s="90" customFormat="1" x14ac:dyDescent="0.35">
      <c r="A225" s="27"/>
      <c r="B225" s="92">
        <v>9</v>
      </c>
      <c r="C225" s="19" t="s">
        <v>8</v>
      </c>
      <c r="D225" s="16" t="s">
        <v>26</v>
      </c>
      <c r="E225" s="27" t="str">
        <f>VLOOKUP(C225,Resources!B:D,3,FALSE)</f>
        <v>L</v>
      </c>
      <c r="F225" s="22">
        <v>5</v>
      </c>
      <c r="G225" s="22">
        <v>0.1</v>
      </c>
      <c r="H225" s="22">
        <f>H216</f>
        <v>1</v>
      </c>
      <c r="I225" s="22">
        <f>VLOOKUP(C225,Resources!B:G,6,FALSE)</f>
        <v>42</v>
      </c>
      <c r="J225" s="139">
        <f t="shared" si="273"/>
        <v>2100</v>
      </c>
      <c r="K225" s="139">
        <f t="shared" si="274"/>
        <v>50</v>
      </c>
      <c r="L225" s="139">
        <f>IF(E225="M"," ",K225/F225/Workhrs)</f>
        <v>1.1111111111111112</v>
      </c>
      <c r="M225" s="139">
        <f t="shared" si="275"/>
        <v>2100</v>
      </c>
      <c r="N225" s="139">
        <f t="shared" si="276"/>
        <v>0</v>
      </c>
      <c r="O225" s="139">
        <f t="shared" si="277"/>
        <v>0</v>
      </c>
      <c r="P225" s="139">
        <f t="shared" si="278"/>
        <v>0</v>
      </c>
      <c r="Q225" s="139">
        <f t="shared" si="279"/>
        <v>2100</v>
      </c>
      <c r="R225" s="156">
        <v>907</v>
      </c>
      <c r="T225" s="247"/>
      <c r="U225"/>
      <c r="V225" s="277"/>
    </row>
    <row r="226" spans="1:22" x14ac:dyDescent="0.35">
      <c r="C226" s="6" t="s">
        <v>402</v>
      </c>
      <c r="F226" s="9"/>
      <c r="G226" s="9"/>
      <c r="H226" s="9"/>
      <c r="I226" s="9"/>
    </row>
    <row r="227" spans="1:22" ht="30" x14ac:dyDescent="0.35">
      <c r="A227" s="26">
        <v>38</v>
      </c>
      <c r="B227" s="94" t="s">
        <v>143</v>
      </c>
      <c r="C227" s="1" t="s">
        <v>32</v>
      </c>
      <c r="D227" s="2" t="s">
        <v>17</v>
      </c>
      <c r="E227" s="24"/>
      <c r="F227" s="7"/>
      <c r="G227" s="7"/>
      <c r="H227" s="97">
        <f>VLOOKUP($A227,'Model Inputs'!$A:$D,4,FALSE)</f>
        <v>1</v>
      </c>
      <c r="I227" s="7"/>
      <c r="J227" s="138">
        <f>SUBTOTAL(9,J228)</f>
        <v>3250</v>
      </c>
      <c r="K227" s="138"/>
      <c r="L227" s="138">
        <f>ROUNDUP(L228,0)</f>
        <v>5</v>
      </c>
      <c r="M227" s="138">
        <f>SUBTOTAL(9,M228)</f>
        <v>3250</v>
      </c>
      <c r="N227" s="138">
        <f t="shared" ref="N227" si="281">SUBTOTAL(9,N228)</f>
        <v>0</v>
      </c>
      <c r="O227" s="138">
        <f t="shared" ref="O227" si="282">SUBTOTAL(9,O228)</f>
        <v>0</v>
      </c>
      <c r="P227" s="138">
        <f t="shared" ref="P227" si="283">SUBTOTAL(9,P228)</f>
        <v>0</v>
      </c>
      <c r="Q227" s="138">
        <f t="shared" ref="Q227" si="284">SUBTOTAL(9,Q228)</f>
        <v>3250</v>
      </c>
      <c r="R227" s="155"/>
    </row>
    <row r="228" spans="1:22" x14ac:dyDescent="0.35">
      <c r="A228" s="27"/>
      <c r="B228" s="92">
        <v>1</v>
      </c>
      <c r="C228" s="19" t="s">
        <v>18</v>
      </c>
      <c r="D228" s="3" t="s">
        <v>19</v>
      </c>
      <c r="E228" s="27" t="str">
        <f>VLOOKUP(C228,Resources!B:D,3,FALSE)</f>
        <v>L</v>
      </c>
      <c r="F228" s="8">
        <v>1</v>
      </c>
      <c r="G228" s="8">
        <v>1</v>
      </c>
      <c r="H228" s="8">
        <f>H227</f>
        <v>1</v>
      </c>
      <c r="I228" s="22">
        <f>VLOOKUP(C228,Resources!B:G,6,FALSE)</f>
        <v>3250</v>
      </c>
      <c r="J228" s="139">
        <f t="shared" ref="J228" si="285">(H228/(G228/F228))*I228</f>
        <v>3250</v>
      </c>
      <c r="K228" s="139">
        <f t="shared" ref="K228" si="286">IF(E228="M",H228,(H228/(G228)*F228))</f>
        <v>1</v>
      </c>
      <c r="L228" s="139">
        <f>H228*5</f>
        <v>5</v>
      </c>
      <c r="M228" s="139">
        <f t="shared" ref="M228" si="287">IF($E228="L",$J228,0)</f>
        <v>3250</v>
      </c>
      <c r="N228" s="139">
        <f t="shared" ref="N228" si="288">IF($E228="M",$J228,0)</f>
        <v>0</v>
      </c>
      <c r="O228" s="139">
        <f>IF($E228="P",$J228,0)</f>
        <v>0</v>
      </c>
      <c r="P228" s="139">
        <f>IF($E228="S",$J228,0)</f>
        <v>0</v>
      </c>
      <c r="Q228" s="139">
        <f>SUM(M228:P228)</f>
        <v>3250</v>
      </c>
      <c r="R228" s="156">
        <v>13</v>
      </c>
    </row>
    <row r="229" spans="1:22" x14ac:dyDescent="0.35">
      <c r="C229" s="6" t="s">
        <v>402</v>
      </c>
      <c r="F229" s="9"/>
      <c r="G229" s="9"/>
      <c r="H229" s="9"/>
      <c r="I229" s="9"/>
    </row>
    <row r="230" spans="1:22" ht="30" x14ac:dyDescent="0.35">
      <c r="A230" s="26"/>
      <c r="B230" s="94" t="s">
        <v>144</v>
      </c>
      <c r="C230" s="1" t="s">
        <v>34</v>
      </c>
      <c r="D230" s="2"/>
      <c r="E230" s="24"/>
      <c r="F230" s="7"/>
      <c r="G230" s="7"/>
      <c r="H230" s="7"/>
      <c r="I230" s="7"/>
      <c r="J230" s="138"/>
      <c r="K230" s="138"/>
      <c r="L230" s="138"/>
      <c r="M230" s="138"/>
      <c r="N230" s="138"/>
      <c r="O230" s="138"/>
      <c r="P230" s="138"/>
      <c r="Q230" s="138"/>
      <c r="R230" s="155"/>
    </row>
    <row r="231" spans="1:22" ht="30" x14ac:dyDescent="0.35">
      <c r="A231" s="26">
        <v>39</v>
      </c>
      <c r="B231" s="94" t="s">
        <v>145</v>
      </c>
      <c r="C231" s="1" t="s">
        <v>36</v>
      </c>
      <c r="D231" s="2" t="s">
        <v>17</v>
      </c>
      <c r="E231" s="24"/>
      <c r="F231" s="7"/>
      <c r="G231" s="7"/>
      <c r="H231" s="97">
        <f>VLOOKUP($A231,'Model Inputs'!$A:$D,4,FALSE)</f>
        <v>1</v>
      </c>
      <c r="I231" s="7"/>
      <c r="J231" s="138">
        <f>SUBTOTAL(9,J232:J234)</f>
        <v>10024</v>
      </c>
      <c r="K231" s="138"/>
      <c r="L231" s="138">
        <f>ROUNDUP(L234,0)</f>
        <v>28</v>
      </c>
      <c r="M231" s="138">
        <f t="shared" ref="M231:Q231" si="289">SUBTOTAL(9,M232:M234)</f>
        <v>3024</v>
      </c>
      <c r="N231" s="138">
        <f t="shared" si="289"/>
        <v>0</v>
      </c>
      <c r="O231" s="138">
        <f t="shared" si="289"/>
        <v>7000</v>
      </c>
      <c r="P231" s="138">
        <f t="shared" si="289"/>
        <v>0</v>
      </c>
      <c r="Q231" s="138">
        <f t="shared" si="289"/>
        <v>10024</v>
      </c>
      <c r="R231" s="155"/>
    </row>
    <row r="232" spans="1:22" x14ac:dyDescent="0.35">
      <c r="A232" s="27"/>
      <c r="B232" s="92">
        <v>1</v>
      </c>
      <c r="C232" s="19" t="s">
        <v>38</v>
      </c>
      <c r="D232" s="3" t="s">
        <v>26</v>
      </c>
      <c r="E232" s="27" t="str">
        <f>VLOOKUP(C232,Resources!B:D,3,FALSE)</f>
        <v>L</v>
      </c>
      <c r="F232" s="8">
        <v>2</v>
      </c>
      <c r="G232" s="8">
        <v>1</v>
      </c>
      <c r="H232" s="8">
        <f>H231*24</f>
        <v>24</v>
      </c>
      <c r="I232" s="22">
        <f>VLOOKUP(C232,Resources!B:G,6,FALSE)</f>
        <v>42</v>
      </c>
      <c r="J232" s="139">
        <f t="shared" ref="J232:J234" si="290">(H232/(G232/F232))*I232</f>
        <v>2016</v>
      </c>
      <c r="K232" s="139">
        <f t="shared" ref="K232:K234" si="291">IF(E232="M",H232,(H232/(G232)*F232))</f>
        <v>48</v>
      </c>
      <c r="L232" s="139">
        <f>H232</f>
        <v>24</v>
      </c>
      <c r="M232" s="139">
        <f t="shared" ref="M232:M234" si="292">IF($E232="L",$J232,0)</f>
        <v>2016</v>
      </c>
      <c r="N232" s="139">
        <f t="shared" ref="N232:N234" si="293">IF($E232="M",$J232,0)</f>
        <v>0</v>
      </c>
      <c r="O232" s="139">
        <f t="shared" ref="O232:O234" si="294">IF($E232="P",$J232,0)</f>
        <v>0</v>
      </c>
      <c r="P232" s="139">
        <f>IF($E232="S",$J232,0)</f>
        <v>0</v>
      </c>
      <c r="Q232" s="139">
        <f t="shared" ref="Q232:Q234" si="295">SUM(M232:P232)</f>
        <v>2016</v>
      </c>
      <c r="R232" s="156">
        <v>141</v>
      </c>
    </row>
    <row r="233" spans="1:22" x14ac:dyDescent="0.35">
      <c r="A233" s="27"/>
      <c r="B233" s="92">
        <v>2</v>
      </c>
      <c r="C233" s="19" t="s">
        <v>38</v>
      </c>
      <c r="D233" s="3" t="s">
        <v>26</v>
      </c>
      <c r="E233" s="27" t="str">
        <f>VLOOKUP(C233,Resources!B:D,3,FALSE)</f>
        <v>L</v>
      </c>
      <c r="F233" s="8">
        <v>1</v>
      </c>
      <c r="G233" s="8">
        <v>1</v>
      </c>
      <c r="H233" s="8">
        <f>H232</f>
        <v>24</v>
      </c>
      <c r="I233" s="22">
        <f>VLOOKUP(C233,Resources!B:G,6,FALSE)</f>
        <v>42</v>
      </c>
      <c r="J233" s="139">
        <f t="shared" si="290"/>
        <v>1008</v>
      </c>
      <c r="K233" s="139">
        <f t="shared" si="291"/>
        <v>24</v>
      </c>
      <c r="L233" s="139">
        <f t="shared" ref="L233:L234" si="296">H233</f>
        <v>24</v>
      </c>
      <c r="M233" s="139">
        <f t="shared" si="292"/>
        <v>1008</v>
      </c>
      <c r="N233" s="139">
        <f t="shared" si="293"/>
        <v>0</v>
      </c>
      <c r="O233" s="139">
        <f t="shared" si="294"/>
        <v>0</v>
      </c>
      <c r="P233" s="139">
        <f>IF($E233="S",$J233,0)</f>
        <v>0</v>
      </c>
      <c r="Q233" s="139">
        <f t="shared" si="295"/>
        <v>1008</v>
      </c>
      <c r="R233" s="156">
        <v>141</v>
      </c>
    </row>
    <row r="234" spans="1:22" x14ac:dyDescent="0.35">
      <c r="A234" s="27"/>
      <c r="B234" s="92">
        <v>3</v>
      </c>
      <c r="C234" s="19" t="s">
        <v>146</v>
      </c>
      <c r="D234" s="3" t="s">
        <v>39</v>
      </c>
      <c r="E234" s="27" t="str">
        <f>VLOOKUP(C234,Resources!B:D,3,FALSE)</f>
        <v>P</v>
      </c>
      <c r="F234" s="8">
        <v>2</v>
      </c>
      <c r="G234" s="8">
        <v>1</v>
      </c>
      <c r="H234" s="8">
        <f>H232+4</f>
        <v>28</v>
      </c>
      <c r="I234" s="22">
        <f>VLOOKUP(C234,Resources!B:G,6,FALSE)</f>
        <v>125</v>
      </c>
      <c r="J234" s="139">
        <f t="shared" si="290"/>
        <v>7000</v>
      </c>
      <c r="K234" s="139">
        <f t="shared" si="291"/>
        <v>56</v>
      </c>
      <c r="L234" s="139">
        <f t="shared" si="296"/>
        <v>28</v>
      </c>
      <c r="M234" s="139">
        <f t="shared" si="292"/>
        <v>0</v>
      </c>
      <c r="N234" s="139">
        <f t="shared" si="293"/>
        <v>0</v>
      </c>
      <c r="O234" s="139">
        <f t="shared" si="294"/>
        <v>7000</v>
      </c>
      <c r="P234" s="139">
        <f>IF($E234="S",$J234,0)</f>
        <v>0</v>
      </c>
      <c r="Q234" s="139">
        <f t="shared" si="295"/>
        <v>7000</v>
      </c>
      <c r="R234" s="156">
        <v>141</v>
      </c>
    </row>
    <row r="235" spans="1:22" x14ac:dyDescent="0.35">
      <c r="C235" s="6" t="s">
        <v>402</v>
      </c>
      <c r="F235" s="9"/>
      <c r="G235" s="9"/>
      <c r="H235" s="9"/>
      <c r="I235" s="9"/>
    </row>
    <row r="236" spans="1:22" ht="30" x14ac:dyDescent="0.35">
      <c r="A236" s="26">
        <v>40</v>
      </c>
      <c r="B236" s="94" t="s">
        <v>147</v>
      </c>
      <c r="C236" s="1" t="s">
        <v>41</v>
      </c>
      <c r="D236" s="2" t="s">
        <v>17</v>
      </c>
      <c r="E236" s="24"/>
      <c r="F236" s="7"/>
      <c r="G236" s="7"/>
      <c r="H236" s="97">
        <f>VLOOKUP($A236,'Model Inputs'!$A:$D,4,FALSE)</f>
        <v>1</v>
      </c>
      <c r="I236" s="7"/>
      <c r="J236" s="138">
        <f>SUBTOTAL(9,J237)</f>
        <v>2100</v>
      </c>
      <c r="K236" s="138"/>
      <c r="L236" s="138">
        <v>0</v>
      </c>
      <c r="M236" s="138">
        <f>SUBTOTAL(9,M237)</f>
        <v>2100</v>
      </c>
      <c r="N236" s="138">
        <f t="shared" ref="N236" si="297">SUBTOTAL(9,N237)</f>
        <v>0</v>
      </c>
      <c r="O236" s="138">
        <f t="shared" ref="O236" si="298">SUBTOTAL(9,O237)</f>
        <v>0</v>
      </c>
      <c r="P236" s="138">
        <f t="shared" ref="P236" si="299">SUBTOTAL(9,P237)</f>
        <v>0</v>
      </c>
      <c r="Q236" s="138">
        <f t="shared" ref="Q236" si="300">SUBTOTAL(9,Q237)</f>
        <v>2100</v>
      </c>
      <c r="R236" s="155"/>
    </row>
    <row r="237" spans="1:22" x14ac:dyDescent="0.35">
      <c r="A237" s="27"/>
      <c r="B237" s="92">
        <v>1</v>
      </c>
      <c r="C237" s="19" t="s">
        <v>8</v>
      </c>
      <c r="D237" s="3" t="s">
        <v>26</v>
      </c>
      <c r="E237" s="27" t="str">
        <f>VLOOKUP(C237,Resources!B:D,3,FALSE)</f>
        <v>L</v>
      </c>
      <c r="F237" s="8">
        <v>1</v>
      </c>
      <c r="G237" s="8">
        <v>1</v>
      </c>
      <c r="H237" s="8">
        <v>50</v>
      </c>
      <c r="I237" s="22">
        <f>VLOOKUP(C237,Resources!B:G,6,FALSE)</f>
        <v>42</v>
      </c>
      <c r="J237" s="139">
        <f t="shared" ref="J237" si="301">(H237/(G237/F237))*I237</f>
        <v>2100</v>
      </c>
      <c r="K237" s="139">
        <f t="shared" ref="K237" si="302">IF(E237="M",H237,(H237/(G237)*F237))</f>
        <v>50</v>
      </c>
      <c r="L237" s="139">
        <f>IF(E237="M"," ",H237/(G237*F237))</f>
        <v>50</v>
      </c>
      <c r="M237" s="139">
        <f t="shared" ref="M237" si="303">IF($E237="L",$J237,0)</f>
        <v>2100</v>
      </c>
      <c r="N237" s="139">
        <f t="shared" ref="N237" si="304">IF($E237="M",$J237,0)</f>
        <v>0</v>
      </c>
      <c r="O237" s="139">
        <f>IF($E237="P",$J237,0)</f>
        <v>0</v>
      </c>
      <c r="P237" s="139">
        <f>IF($E237="S",$J237,0)</f>
        <v>0</v>
      </c>
      <c r="Q237" s="139">
        <f>SUM(M237:P237)</f>
        <v>2100</v>
      </c>
      <c r="R237" s="156">
        <v>141</v>
      </c>
    </row>
    <row r="238" spans="1:22" x14ac:dyDescent="0.35">
      <c r="C238" s="6" t="s">
        <v>402</v>
      </c>
      <c r="F238" s="9"/>
      <c r="G238" s="9"/>
      <c r="H238" s="9"/>
      <c r="I238" s="9"/>
    </row>
    <row r="239" spans="1:22" ht="30" x14ac:dyDescent="0.35">
      <c r="A239" s="26">
        <v>41</v>
      </c>
      <c r="B239" s="94" t="s">
        <v>148</v>
      </c>
      <c r="C239" s="1" t="s">
        <v>43</v>
      </c>
      <c r="D239" s="2" t="s">
        <v>17</v>
      </c>
      <c r="E239" s="24"/>
      <c r="F239" s="7"/>
      <c r="G239" s="7"/>
      <c r="H239" s="97">
        <f>VLOOKUP($A239,'Model Inputs'!$A:$D,4,FALSE)</f>
        <v>1</v>
      </c>
      <c r="I239" s="7"/>
      <c r="J239" s="138">
        <f>SUBTOTAL(9,J240:J243)</f>
        <v>10950</v>
      </c>
      <c r="K239" s="138"/>
      <c r="L239" s="138">
        <f>ROUNDUP(MAX(L242:L243),0)</f>
        <v>6</v>
      </c>
      <c r="M239" s="138">
        <f t="shared" ref="M239:Q239" si="305">SUBTOTAL(9,M240:M243)</f>
        <v>4200</v>
      </c>
      <c r="N239" s="138">
        <f t="shared" si="305"/>
        <v>2000</v>
      </c>
      <c r="O239" s="138">
        <f t="shared" si="305"/>
        <v>4750</v>
      </c>
      <c r="P239" s="138">
        <f t="shared" si="305"/>
        <v>0</v>
      </c>
      <c r="Q239" s="138">
        <f t="shared" si="305"/>
        <v>10950</v>
      </c>
      <c r="R239" s="155"/>
    </row>
    <row r="240" spans="1:22" x14ac:dyDescent="0.35">
      <c r="A240" s="27"/>
      <c r="B240" s="92">
        <v>1</v>
      </c>
      <c r="C240" s="19" t="s">
        <v>44</v>
      </c>
      <c r="D240" s="3" t="s">
        <v>45</v>
      </c>
      <c r="E240" s="27" t="str">
        <f>VLOOKUP(C240,Resources!B:D,3,FALSE)</f>
        <v>M</v>
      </c>
      <c r="F240" s="8">
        <v>1</v>
      </c>
      <c r="G240" s="8">
        <v>1</v>
      </c>
      <c r="H240" s="8">
        <f>H239*500</f>
        <v>500</v>
      </c>
      <c r="I240" s="22">
        <f>VLOOKUP(C240,Resources!B:G,6,FALSE)</f>
        <v>2</v>
      </c>
      <c r="J240" s="139">
        <f t="shared" ref="J240:J243" si="306">(H240/(G240/F240))*I240</f>
        <v>1000</v>
      </c>
      <c r="K240" s="139">
        <f t="shared" ref="K240:K243" si="307">IF(E240="M",H240,(H240/(G240)*F240))</f>
        <v>500</v>
      </c>
      <c r="L240" s="139" t="str">
        <f>IF(E240="M"," ",K240/F240/Workhrs)</f>
        <v xml:space="preserve"> </v>
      </c>
      <c r="M240" s="139">
        <f t="shared" ref="M240:M243" si="308">IF($E240="L",$J240,0)</f>
        <v>0</v>
      </c>
      <c r="N240" s="139">
        <f t="shared" ref="N240:N243" si="309">IF($E240="M",$J240,0)</f>
        <v>1000</v>
      </c>
      <c r="O240" s="139">
        <f t="shared" ref="O240:O243" si="310">IF($E240="P",$J240,0)</f>
        <v>0</v>
      </c>
      <c r="P240" s="139">
        <f>IF($E240="S",$J240,0)</f>
        <v>0</v>
      </c>
      <c r="Q240" s="139">
        <f t="shared" ref="Q240:Q243" si="311">SUM(M240:P240)</f>
        <v>1000</v>
      </c>
      <c r="R240" s="156">
        <v>151</v>
      </c>
    </row>
    <row r="241" spans="1:22" x14ac:dyDescent="0.35">
      <c r="A241" s="27"/>
      <c r="B241" s="92">
        <v>2</v>
      </c>
      <c r="C241" s="19" t="s">
        <v>46</v>
      </c>
      <c r="D241" s="3" t="s">
        <v>23</v>
      </c>
      <c r="E241" s="27" t="str">
        <f>VLOOKUP(C241,Resources!B:D,3,FALSE)</f>
        <v>M</v>
      </c>
      <c r="F241" s="8">
        <v>1</v>
      </c>
      <c r="G241" s="8">
        <v>1</v>
      </c>
      <c r="H241" s="8">
        <f>H240/3</f>
        <v>166.66666666666666</v>
      </c>
      <c r="I241" s="22">
        <f>VLOOKUP(C241,Resources!B:G,6,FALSE)</f>
        <v>6</v>
      </c>
      <c r="J241" s="139">
        <f t="shared" si="306"/>
        <v>1000</v>
      </c>
      <c r="K241" s="139">
        <f t="shared" si="307"/>
        <v>166.66666666666666</v>
      </c>
      <c r="L241" s="139" t="str">
        <f>IF(E241="M"," ",K241/F241/Workhrs)</f>
        <v xml:space="preserve"> </v>
      </c>
      <c r="M241" s="139">
        <f t="shared" si="308"/>
        <v>0</v>
      </c>
      <c r="N241" s="139">
        <f t="shared" si="309"/>
        <v>1000</v>
      </c>
      <c r="O241" s="139">
        <f t="shared" si="310"/>
        <v>0</v>
      </c>
      <c r="P241" s="139">
        <f>IF($E241="S",$J241,0)</f>
        <v>0</v>
      </c>
      <c r="Q241" s="139">
        <f t="shared" si="311"/>
        <v>1000</v>
      </c>
      <c r="R241" s="156">
        <v>151</v>
      </c>
    </row>
    <row r="242" spans="1:22" x14ac:dyDescent="0.35">
      <c r="A242" s="27">
        <v>41.1</v>
      </c>
      <c r="B242" s="92">
        <v>3</v>
      </c>
      <c r="C242" s="19" t="s">
        <v>47</v>
      </c>
      <c r="D242" s="3" t="s">
        <v>26</v>
      </c>
      <c r="E242" s="27" t="str">
        <f>VLOOKUP(C242,Resources!B:D,3,FALSE)</f>
        <v>P</v>
      </c>
      <c r="F242" s="8">
        <v>1</v>
      </c>
      <c r="G242" s="97">
        <f>VLOOKUP($A242,'Model Inputs'!$A:$D,4,FALSE)</f>
        <v>10</v>
      </c>
      <c r="H242" s="8">
        <f>H240</f>
        <v>500</v>
      </c>
      <c r="I242" s="22">
        <f>VLOOKUP(C242,Resources!B:G,6,FALSE)</f>
        <v>95</v>
      </c>
      <c r="J242" s="139">
        <f t="shared" si="306"/>
        <v>4750</v>
      </c>
      <c r="K242" s="139">
        <f t="shared" si="307"/>
        <v>50</v>
      </c>
      <c r="L242" s="139">
        <f>IF(E242="M"," ",K242/F242/Workhrs)</f>
        <v>5.5555555555555554</v>
      </c>
      <c r="M242" s="139">
        <f t="shared" si="308"/>
        <v>0</v>
      </c>
      <c r="N242" s="139">
        <f t="shared" si="309"/>
        <v>0</v>
      </c>
      <c r="O242" s="139">
        <f t="shared" si="310"/>
        <v>4750</v>
      </c>
      <c r="P242" s="139">
        <f>IF($E242="S",$J242,0)</f>
        <v>0</v>
      </c>
      <c r="Q242" s="139">
        <f t="shared" si="311"/>
        <v>4750</v>
      </c>
      <c r="R242" s="156">
        <v>151</v>
      </c>
    </row>
    <row r="243" spans="1:22" x14ac:dyDescent="0.35">
      <c r="A243" s="27"/>
      <c r="B243" s="92">
        <v>4</v>
      </c>
      <c r="C243" s="19" t="s">
        <v>8</v>
      </c>
      <c r="D243" s="3" t="s">
        <v>26</v>
      </c>
      <c r="E243" s="27" t="str">
        <f>VLOOKUP(C243,Resources!B:D,3,FALSE)</f>
        <v>L</v>
      </c>
      <c r="F243" s="8">
        <v>2</v>
      </c>
      <c r="G243" s="8">
        <f>G242</f>
        <v>10</v>
      </c>
      <c r="H243" s="8">
        <f>H240</f>
        <v>500</v>
      </c>
      <c r="I243" s="22">
        <f>VLOOKUP(C243,Resources!B:G,6,FALSE)</f>
        <v>42</v>
      </c>
      <c r="J243" s="139">
        <f t="shared" si="306"/>
        <v>4200</v>
      </c>
      <c r="K243" s="139">
        <f t="shared" si="307"/>
        <v>100</v>
      </c>
      <c r="L243" s="139">
        <f>IF(E243="M"," ",K243/F243/Workhrs)</f>
        <v>5.5555555555555554</v>
      </c>
      <c r="M243" s="139">
        <f t="shared" si="308"/>
        <v>4200</v>
      </c>
      <c r="N243" s="139">
        <f t="shared" si="309"/>
        <v>0</v>
      </c>
      <c r="O243" s="139">
        <f t="shared" si="310"/>
        <v>0</v>
      </c>
      <c r="P243" s="139">
        <f>IF($E243="S",$J243,0)</f>
        <v>0</v>
      </c>
      <c r="Q243" s="139">
        <f t="shared" si="311"/>
        <v>4200</v>
      </c>
      <c r="R243" s="156">
        <v>151</v>
      </c>
    </row>
    <row r="244" spans="1:22" x14ac:dyDescent="0.35">
      <c r="C244" s="6" t="s">
        <v>402</v>
      </c>
      <c r="F244" s="9"/>
      <c r="G244" s="9"/>
      <c r="H244" s="9"/>
      <c r="I244" s="9"/>
    </row>
    <row r="245" spans="1:22" ht="30" x14ac:dyDescent="0.35">
      <c r="A245" s="26">
        <v>42</v>
      </c>
      <c r="B245" s="94" t="s">
        <v>149</v>
      </c>
      <c r="C245" s="1" t="s">
        <v>49</v>
      </c>
      <c r="D245" s="2" t="s">
        <v>17</v>
      </c>
      <c r="E245" s="24"/>
      <c r="F245" s="7"/>
      <c r="G245" s="7"/>
      <c r="H245" s="97">
        <f>VLOOKUP($A245,'Model Inputs'!$A:$D,4,FALSE)</f>
        <v>1</v>
      </c>
      <c r="I245" s="7"/>
      <c r="J245" s="138">
        <f>SUBTOTAL(9,J246:J249)</f>
        <v>9066.6666666666679</v>
      </c>
      <c r="K245" s="138"/>
      <c r="L245" s="138">
        <f>ROUNDUP(MAX(L246:L249),0)</f>
        <v>2</v>
      </c>
      <c r="M245" s="138">
        <f t="shared" ref="M245" si="312">SUBTOTAL(9,M246:M249)</f>
        <v>1400</v>
      </c>
      <c r="N245" s="138">
        <f t="shared" ref="N245" si="313">SUBTOTAL(9,N246:N249)</f>
        <v>0</v>
      </c>
      <c r="O245" s="138">
        <f t="shared" ref="O245" si="314">SUBTOTAL(9,O246:O249)</f>
        <v>7666.666666666667</v>
      </c>
      <c r="P245" s="138">
        <f t="shared" ref="P245" si="315">SUBTOTAL(9,P246:P249)</f>
        <v>0</v>
      </c>
      <c r="Q245" s="138">
        <f t="shared" ref="Q245" si="316">SUBTOTAL(9,Q246:Q249)</f>
        <v>9066.6666666666679</v>
      </c>
      <c r="R245" s="155"/>
    </row>
    <row r="246" spans="1:22" x14ac:dyDescent="0.35">
      <c r="A246" s="27">
        <v>42.1</v>
      </c>
      <c r="B246" s="92">
        <v>1</v>
      </c>
      <c r="C246" s="19" t="s">
        <v>63</v>
      </c>
      <c r="D246" s="3" t="s">
        <v>26</v>
      </c>
      <c r="E246" s="27" t="str">
        <f>VLOOKUP(C246,Resources!B:D,3,FALSE)</f>
        <v>P</v>
      </c>
      <c r="F246" s="8">
        <v>1</v>
      </c>
      <c r="G246" s="97">
        <f>VLOOKUP($A246,'Model Inputs'!$A:$D,4,FALSE)</f>
        <v>0.06</v>
      </c>
      <c r="H246" s="8">
        <f>H245</f>
        <v>1</v>
      </c>
      <c r="I246" s="22">
        <f>VLOOKUP(C246,Resources!B:G,6,FALSE)</f>
        <v>135</v>
      </c>
      <c r="J246" s="139">
        <f t="shared" ref="J246:J249" si="317">(H246/(G246/F246))*I246</f>
        <v>2250</v>
      </c>
      <c r="K246" s="139">
        <f t="shared" ref="K246:K249" si="318">IF(E246="M",H246,(H246/(G246)*F246))</f>
        <v>16.666666666666668</v>
      </c>
      <c r="L246" s="139">
        <f>IF(E246="M"," ",K246/F246/Workhrs)</f>
        <v>1.8518518518518521</v>
      </c>
      <c r="M246" s="139">
        <f t="shared" ref="M246:M249" si="319">IF($E246="L",$J246,0)</f>
        <v>0</v>
      </c>
      <c r="N246" s="139">
        <f t="shared" ref="N246:N249" si="320">IF($E246="M",$J246,0)</f>
        <v>0</v>
      </c>
      <c r="O246" s="139">
        <f t="shared" ref="O246:O249" si="321">IF($E246="P",$J246,0)</f>
        <v>2250</v>
      </c>
      <c r="P246" s="139">
        <f>IF($E246="S",$J246,0)</f>
        <v>0</v>
      </c>
      <c r="Q246" s="139">
        <f t="shared" ref="Q246:Q249" si="322">SUM(M246:P246)</f>
        <v>2250</v>
      </c>
      <c r="R246" s="156">
        <v>22</v>
      </c>
    </row>
    <row r="247" spans="1:22" x14ac:dyDescent="0.35">
      <c r="A247" s="27"/>
      <c r="B247" s="92">
        <v>2</v>
      </c>
      <c r="C247" s="19" t="s">
        <v>50</v>
      </c>
      <c r="D247" s="3" t="s">
        <v>26</v>
      </c>
      <c r="E247" s="27" t="str">
        <f>VLOOKUP(C247,Resources!B:D,3,FALSE)</f>
        <v>P</v>
      </c>
      <c r="F247" s="8">
        <v>1</v>
      </c>
      <c r="G247" s="8">
        <f>G246</f>
        <v>0.06</v>
      </c>
      <c r="H247" s="8">
        <f>H245</f>
        <v>1</v>
      </c>
      <c r="I247" s="22">
        <f>VLOOKUP(C247,Resources!B:G,6,FALSE)</f>
        <v>135</v>
      </c>
      <c r="J247" s="139">
        <f t="shared" si="317"/>
        <v>2250</v>
      </c>
      <c r="K247" s="139">
        <f t="shared" si="318"/>
        <v>16.666666666666668</v>
      </c>
      <c r="L247" s="139">
        <f>IF(E247="M"," ",K247/F247/Workhrs)</f>
        <v>1.8518518518518521</v>
      </c>
      <c r="M247" s="139">
        <f t="shared" si="319"/>
        <v>0</v>
      </c>
      <c r="N247" s="139">
        <f t="shared" si="320"/>
        <v>0</v>
      </c>
      <c r="O247" s="139">
        <f t="shared" si="321"/>
        <v>2250</v>
      </c>
      <c r="P247" s="139">
        <f>IF($E247="S",$J247,0)</f>
        <v>0</v>
      </c>
      <c r="Q247" s="139">
        <f t="shared" si="322"/>
        <v>2250</v>
      </c>
      <c r="R247" s="156">
        <v>22</v>
      </c>
    </row>
    <row r="248" spans="1:22" x14ac:dyDescent="0.35">
      <c r="A248" s="27"/>
      <c r="B248" s="92">
        <v>3</v>
      </c>
      <c r="C248" s="19" t="s">
        <v>51</v>
      </c>
      <c r="D248" s="3" t="s">
        <v>26</v>
      </c>
      <c r="E248" s="27" t="str">
        <f>VLOOKUP(C248,Resources!B:D,3,FALSE)</f>
        <v>P</v>
      </c>
      <c r="F248" s="8">
        <v>2</v>
      </c>
      <c r="G248" s="8">
        <f>G246</f>
        <v>0.06</v>
      </c>
      <c r="H248" s="8">
        <f>H245</f>
        <v>1</v>
      </c>
      <c r="I248" s="22">
        <f>VLOOKUP(C248,Resources!B:G,6,FALSE)</f>
        <v>95</v>
      </c>
      <c r="J248" s="139">
        <f t="shared" si="317"/>
        <v>3166.666666666667</v>
      </c>
      <c r="K248" s="139">
        <f t="shared" si="318"/>
        <v>33.333333333333336</v>
      </c>
      <c r="L248" s="139">
        <f>IF(E248="M"," ",K248/F248/Workhrs)</f>
        <v>1.8518518518518521</v>
      </c>
      <c r="M248" s="139">
        <f t="shared" si="319"/>
        <v>0</v>
      </c>
      <c r="N248" s="139">
        <f t="shared" si="320"/>
        <v>0</v>
      </c>
      <c r="O248" s="139">
        <f t="shared" si="321"/>
        <v>3166.666666666667</v>
      </c>
      <c r="P248" s="139">
        <f>IF($E248="S",$J248,0)</f>
        <v>0</v>
      </c>
      <c r="Q248" s="139">
        <f t="shared" si="322"/>
        <v>3166.666666666667</v>
      </c>
      <c r="R248" s="156">
        <v>22</v>
      </c>
    </row>
    <row r="249" spans="1:22" x14ac:dyDescent="0.35">
      <c r="A249" s="27"/>
      <c r="B249" s="92">
        <v>4</v>
      </c>
      <c r="C249" s="19" t="s">
        <v>8</v>
      </c>
      <c r="D249" s="3" t="s">
        <v>26</v>
      </c>
      <c r="E249" s="27" t="str">
        <f>VLOOKUP(C249,Resources!B:D,3,FALSE)</f>
        <v>L</v>
      </c>
      <c r="F249" s="8">
        <v>2</v>
      </c>
      <c r="G249" s="8">
        <f>G246</f>
        <v>0.06</v>
      </c>
      <c r="H249" s="8">
        <f>H245</f>
        <v>1</v>
      </c>
      <c r="I249" s="22">
        <f>VLOOKUP(C249,Resources!B:G,6,FALSE)</f>
        <v>42</v>
      </c>
      <c r="J249" s="139">
        <f t="shared" si="317"/>
        <v>1400</v>
      </c>
      <c r="K249" s="139">
        <f t="shared" si="318"/>
        <v>33.333333333333336</v>
      </c>
      <c r="L249" s="139">
        <f>IF(E249="M"," ",K249/F249/Workhrs)</f>
        <v>1.8518518518518521</v>
      </c>
      <c r="M249" s="139">
        <f t="shared" si="319"/>
        <v>1400</v>
      </c>
      <c r="N249" s="139">
        <f t="shared" si="320"/>
        <v>0</v>
      </c>
      <c r="O249" s="139">
        <f t="shared" si="321"/>
        <v>0</v>
      </c>
      <c r="P249" s="139">
        <f>IF($E249="S",$J249,0)</f>
        <v>0</v>
      </c>
      <c r="Q249" s="139">
        <f t="shared" si="322"/>
        <v>1400</v>
      </c>
      <c r="R249" s="156">
        <v>22</v>
      </c>
    </row>
    <row r="250" spans="1:22" x14ac:dyDescent="0.35">
      <c r="C250" s="6" t="s">
        <v>402</v>
      </c>
      <c r="F250" s="9"/>
      <c r="G250" s="9"/>
      <c r="H250" s="9"/>
      <c r="I250" s="9"/>
    </row>
    <row r="251" spans="1:22" ht="30" x14ac:dyDescent="0.35">
      <c r="A251" s="26">
        <v>43</v>
      </c>
      <c r="B251" s="94" t="s">
        <v>150</v>
      </c>
      <c r="C251" s="1" t="s">
        <v>151</v>
      </c>
      <c r="D251" s="2" t="s">
        <v>17</v>
      </c>
      <c r="E251" s="24"/>
      <c r="F251" s="7"/>
      <c r="G251" s="7"/>
      <c r="H251" s="97">
        <f>VLOOKUP($A251,'Model Inputs'!$A:$D,4,FALSE)</f>
        <v>1</v>
      </c>
      <c r="I251" s="7"/>
      <c r="J251" s="138">
        <f>SUBTOTAL(9,J253:J256)</f>
        <v>13800</v>
      </c>
      <c r="K251" s="138"/>
      <c r="L251" s="138">
        <f>ROUNDUP(MAX(L253:L256),0)</f>
        <v>4</v>
      </c>
      <c r="M251" s="138">
        <f t="shared" ref="M251" si="323">SUBTOTAL(9,M253:M256)</f>
        <v>2800</v>
      </c>
      <c r="N251" s="138">
        <f t="shared" ref="N251" si="324">SUBTOTAL(9,N253:N256)</f>
        <v>0</v>
      </c>
      <c r="O251" s="138">
        <f t="shared" ref="O251" si="325">SUBTOTAL(9,O253:O256)</f>
        <v>11000</v>
      </c>
      <c r="P251" s="138">
        <f t="shared" ref="P251" si="326">SUBTOTAL(9,P253:P256)</f>
        <v>0</v>
      </c>
      <c r="Q251" s="138">
        <f t="shared" ref="Q251" si="327">SUBTOTAL(9,Q253:Q256)</f>
        <v>13800</v>
      </c>
      <c r="R251" s="155"/>
    </row>
    <row r="252" spans="1:22" s="98" customFormat="1" x14ac:dyDescent="0.35">
      <c r="A252" s="27"/>
      <c r="B252" s="92"/>
      <c r="C252" s="19" t="s">
        <v>659</v>
      </c>
      <c r="D252" s="16"/>
      <c r="E252" s="27"/>
      <c r="F252" s="22"/>
      <c r="G252" s="22"/>
      <c r="H252" s="22"/>
      <c r="I252" s="22"/>
      <c r="J252" s="139"/>
      <c r="K252" s="139"/>
      <c r="L252" s="139"/>
      <c r="M252" s="139"/>
      <c r="N252" s="139"/>
      <c r="O252" s="139"/>
      <c r="P252" s="139"/>
      <c r="Q252" s="139"/>
      <c r="R252" s="156"/>
      <c r="T252" s="247"/>
      <c r="U252"/>
      <c r="V252" s="277"/>
    </row>
    <row r="253" spans="1:22" x14ac:dyDescent="0.35">
      <c r="A253" s="27">
        <v>43.1</v>
      </c>
      <c r="B253" s="92">
        <v>1</v>
      </c>
      <c r="C253" s="19" t="s">
        <v>50</v>
      </c>
      <c r="D253" s="3" t="s">
        <v>26</v>
      </c>
      <c r="E253" s="27" t="str">
        <f>VLOOKUP(C253,Resources!B:D,3,FALSE)</f>
        <v>P</v>
      </c>
      <c r="F253" s="8">
        <v>1</v>
      </c>
      <c r="G253" s="97">
        <f>VLOOKUP($A253,'Model Inputs'!$A:$D,4,FALSE)</f>
        <v>0.03</v>
      </c>
      <c r="H253" s="8">
        <f>H251</f>
        <v>1</v>
      </c>
      <c r="I253" s="22">
        <f>VLOOKUP(C253,Resources!B:G,6,FALSE)</f>
        <v>135</v>
      </c>
      <c r="J253" s="139">
        <f t="shared" ref="J253:J256" si="328">(H253/(G253/F253))*I253</f>
        <v>4500</v>
      </c>
      <c r="K253" s="139">
        <f t="shared" ref="K253:K256" si="329">IF(E253="M",H253,(H253/(G253)*F253))</f>
        <v>33.333333333333336</v>
      </c>
      <c r="L253" s="139">
        <f>IF(E253="M"," ",K253/F253/Workhrs)</f>
        <v>3.7037037037037042</v>
      </c>
      <c r="M253" s="139">
        <f t="shared" ref="M253:M256" si="330">IF($E253="L",$J253,0)</f>
        <v>0</v>
      </c>
      <c r="N253" s="139">
        <f t="shared" ref="N253:N256" si="331">IF($E253="M",$J253,0)</f>
        <v>0</v>
      </c>
      <c r="O253" s="139">
        <f t="shared" ref="O253:O256" si="332">IF($E253="P",$J253,0)</f>
        <v>4500</v>
      </c>
      <c r="P253" s="139">
        <f>IF($E253="S",$J253,0)</f>
        <v>0</v>
      </c>
      <c r="Q253" s="139">
        <f t="shared" ref="Q253:Q256" si="333">SUM(M253:P253)</f>
        <v>4500</v>
      </c>
      <c r="R253" s="156">
        <v>41</v>
      </c>
    </row>
    <row r="254" spans="1:22" x14ac:dyDescent="0.35">
      <c r="A254" s="27"/>
      <c r="B254" s="92">
        <v>2</v>
      </c>
      <c r="C254" s="19" t="s">
        <v>51</v>
      </c>
      <c r="D254" s="3" t="s">
        <v>26</v>
      </c>
      <c r="E254" s="27" t="str">
        <f>VLOOKUP(C254,Resources!B:D,3,FALSE)</f>
        <v>P</v>
      </c>
      <c r="F254" s="8">
        <v>1</v>
      </c>
      <c r="G254" s="8">
        <f>G253</f>
        <v>0.03</v>
      </c>
      <c r="H254" s="8">
        <f>H251</f>
        <v>1</v>
      </c>
      <c r="I254" s="22">
        <f>VLOOKUP(C254,Resources!B:G,6,FALSE)</f>
        <v>95</v>
      </c>
      <c r="J254" s="139">
        <f t="shared" si="328"/>
        <v>3166.666666666667</v>
      </c>
      <c r="K254" s="139">
        <f t="shared" si="329"/>
        <v>33.333333333333336</v>
      </c>
      <c r="L254" s="139">
        <f>IF(E254="M"," ",K254/F254/Workhrs)</f>
        <v>3.7037037037037042</v>
      </c>
      <c r="M254" s="139">
        <f t="shared" si="330"/>
        <v>0</v>
      </c>
      <c r="N254" s="139">
        <f t="shared" si="331"/>
        <v>0</v>
      </c>
      <c r="O254" s="139">
        <f t="shared" si="332"/>
        <v>3166.666666666667</v>
      </c>
      <c r="P254" s="139">
        <f>IF($E254="S",$J254,0)</f>
        <v>0</v>
      </c>
      <c r="Q254" s="139">
        <f t="shared" si="333"/>
        <v>3166.666666666667</v>
      </c>
      <c r="R254" s="156">
        <v>41</v>
      </c>
    </row>
    <row r="255" spans="1:22" x14ac:dyDescent="0.35">
      <c r="A255" s="27"/>
      <c r="B255" s="92">
        <v>3</v>
      </c>
      <c r="C255" s="19" t="s">
        <v>52</v>
      </c>
      <c r="D255" s="3" t="s">
        <v>26</v>
      </c>
      <c r="E255" s="27" t="str">
        <f>VLOOKUP(C255,Resources!B:D,3,FALSE)</f>
        <v>P</v>
      </c>
      <c r="F255" s="8">
        <v>1</v>
      </c>
      <c r="G255" s="8">
        <f>G253</f>
        <v>0.03</v>
      </c>
      <c r="H255" s="8">
        <f>H251</f>
        <v>1</v>
      </c>
      <c r="I255" s="22">
        <f>VLOOKUP(C255,Resources!B:G,6,FALSE)</f>
        <v>100</v>
      </c>
      <c r="J255" s="139">
        <f t="shared" si="328"/>
        <v>3333.3333333333335</v>
      </c>
      <c r="K255" s="139">
        <f t="shared" si="329"/>
        <v>33.333333333333336</v>
      </c>
      <c r="L255" s="139">
        <f>IF(E255="M"," ",K255/F255/Workhrs)</f>
        <v>3.7037037037037042</v>
      </c>
      <c r="M255" s="139">
        <f t="shared" si="330"/>
        <v>0</v>
      </c>
      <c r="N255" s="139">
        <f t="shared" si="331"/>
        <v>0</v>
      </c>
      <c r="O255" s="139">
        <f t="shared" si="332"/>
        <v>3333.3333333333335</v>
      </c>
      <c r="P255" s="139">
        <f>IF($E255="S",$J255,0)</f>
        <v>0</v>
      </c>
      <c r="Q255" s="139">
        <f t="shared" si="333"/>
        <v>3333.3333333333335</v>
      </c>
      <c r="R255" s="156">
        <v>41</v>
      </c>
    </row>
    <row r="256" spans="1:22" x14ac:dyDescent="0.35">
      <c r="A256" s="27"/>
      <c r="B256" s="92">
        <v>4</v>
      </c>
      <c r="C256" s="19" t="s">
        <v>8</v>
      </c>
      <c r="D256" s="3" t="s">
        <v>26</v>
      </c>
      <c r="E256" s="27" t="str">
        <f>VLOOKUP(C256,Resources!B:D,3,FALSE)</f>
        <v>L</v>
      </c>
      <c r="F256" s="8">
        <v>2</v>
      </c>
      <c r="G256" s="8">
        <f>G253</f>
        <v>0.03</v>
      </c>
      <c r="H256" s="8">
        <f>H251</f>
        <v>1</v>
      </c>
      <c r="I256" s="22">
        <f>VLOOKUP(C256,Resources!B:G,6,FALSE)</f>
        <v>42</v>
      </c>
      <c r="J256" s="139">
        <f t="shared" si="328"/>
        <v>2800</v>
      </c>
      <c r="K256" s="139">
        <f t="shared" si="329"/>
        <v>66.666666666666671</v>
      </c>
      <c r="L256" s="139">
        <f>IF(E256="M"," ",K256/F256/Workhrs)</f>
        <v>3.7037037037037042</v>
      </c>
      <c r="M256" s="139">
        <f t="shared" si="330"/>
        <v>2800</v>
      </c>
      <c r="N256" s="139">
        <f t="shared" si="331"/>
        <v>0</v>
      </c>
      <c r="O256" s="139">
        <f t="shared" si="332"/>
        <v>0</v>
      </c>
      <c r="P256" s="139">
        <f>IF($E256="S",$J256,0)</f>
        <v>0</v>
      </c>
      <c r="Q256" s="139">
        <f t="shared" si="333"/>
        <v>2800</v>
      </c>
      <c r="R256" s="156">
        <v>41</v>
      </c>
    </row>
    <row r="257" spans="1:18" x14ac:dyDescent="0.35">
      <c r="C257" s="6" t="s">
        <v>402</v>
      </c>
      <c r="F257" s="9"/>
      <c r="G257" s="9"/>
      <c r="H257" s="9"/>
      <c r="I257" s="9"/>
    </row>
    <row r="258" spans="1:18" ht="30" x14ac:dyDescent="0.35">
      <c r="A258" s="26">
        <v>44</v>
      </c>
      <c r="B258" s="94" t="s">
        <v>152</v>
      </c>
      <c r="C258" s="1" t="s">
        <v>56</v>
      </c>
      <c r="D258" s="2" t="s">
        <v>57</v>
      </c>
      <c r="E258" s="24"/>
      <c r="F258" s="7"/>
      <c r="G258" s="7"/>
      <c r="H258" s="97">
        <f>VLOOKUP($A258,'Model Inputs'!$A:$D,4,FALSE)</f>
        <v>700</v>
      </c>
      <c r="I258" s="7"/>
      <c r="J258" s="138">
        <f>SUBTOTAL(9,J259:J261)</f>
        <v>7707.770777077707</v>
      </c>
      <c r="K258" s="138"/>
      <c r="L258" s="138">
        <f>ROUNDUP(MAX(L259:L261),0)</f>
        <v>3</v>
      </c>
      <c r="M258" s="138">
        <f t="shared" ref="M258:Q258" si="334">SUBTOTAL(9,M259:M261)</f>
        <v>882.08820882088207</v>
      </c>
      <c r="N258" s="138">
        <f t="shared" si="334"/>
        <v>0</v>
      </c>
      <c r="O258" s="138">
        <f t="shared" si="334"/>
        <v>6825.6825682568251</v>
      </c>
      <c r="P258" s="138">
        <f t="shared" si="334"/>
        <v>0</v>
      </c>
      <c r="Q258" s="138">
        <f t="shared" si="334"/>
        <v>7707.770777077707</v>
      </c>
      <c r="R258" s="155"/>
    </row>
    <row r="259" spans="1:18" x14ac:dyDescent="0.35">
      <c r="A259" s="27">
        <v>44.1</v>
      </c>
      <c r="B259" s="92">
        <v>1</v>
      </c>
      <c r="C259" s="19" t="s">
        <v>50</v>
      </c>
      <c r="D259" s="3" t="s">
        <v>26</v>
      </c>
      <c r="E259" s="27" t="str">
        <f>VLOOKUP(C259,Resources!B:D,3,FALSE)</f>
        <v>P</v>
      </c>
      <c r="F259" s="8">
        <v>1</v>
      </c>
      <c r="G259" s="97">
        <f>VLOOKUP($A259,'Model Inputs'!$A:$D,4,FALSE)</f>
        <v>33.33</v>
      </c>
      <c r="H259" s="8">
        <f>H258</f>
        <v>700</v>
      </c>
      <c r="I259" s="22">
        <f>VLOOKUP(C259,Resources!B:G,6,FALSE)</f>
        <v>135</v>
      </c>
      <c r="J259" s="139">
        <f t="shared" ref="J259:J261" si="335">(H259/(G259/F259))*I259</f>
        <v>2835.2835283528352</v>
      </c>
      <c r="K259" s="139">
        <f t="shared" ref="K259:K261" si="336">IF(E259="M",H259,(H259/(G259)*F259))</f>
        <v>21.002100210021002</v>
      </c>
      <c r="L259" s="139">
        <f>IF(E259="M"," ",K259/F259/Workhrs)</f>
        <v>2.3335666900023337</v>
      </c>
      <c r="M259" s="139">
        <f t="shared" ref="M259:M261" si="337">IF($E259="L",$J259,0)</f>
        <v>0</v>
      </c>
      <c r="N259" s="139">
        <f t="shared" ref="N259:N261" si="338">IF($E259="M",$J259,0)</f>
        <v>0</v>
      </c>
      <c r="O259" s="139">
        <f t="shared" ref="O259:O261" si="339">IF($E259="P",$J259,0)</f>
        <v>2835.2835283528352</v>
      </c>
      <c r="P259" s="139">
        <f>IF($E259="S",$J259,0)</f>
        <v>0</v>
      </c>
      <c r="Q259" s="139">
        <f t="shared" ref="Q259:Q261" si="340">SUM(M259:P259)</f>
        <v>2835.2835283528352</v>
      </c>
      <c r="R259" s="156">
        <v>31</v>
      </c>
    </row>
    <row r="260" spans="1:18" x14ac:dyDescent="0.35">
      <c r="A260" s="27"/>
      <c r="B260" s="92">
        <v>2</v>
      </c>
      <c r="C260" s="19" t="s">
        <v>51</v>
      </c>
      <c r="D260" s="3" t="s">
        <v>26</v>
      </c>
      <c r="E260" s="27" t="str">
        <f>VLOOKUP(C260,Resources!B:D,3,FALSE)</f>
        <v>P</v>
      </c>
      <c r="F260" s="8">
        <v>2</v>
      </c>
      <c r="G260" s="8">
        <f>G259</f>
        <v>33.33</v>
      </c>
      <c r="H260" s="8">
        <f>H258</f>
        <v>700</v>
      </c>
      <c r="I260" s="22">
        <f>VLOOKUP(C260,Resources!B:G,6,FALSE)</f>
        <v>95</v>
      </c>
      <c r="J260" s="139">
        <f t="shared" si="335"/>
        <v>3990.3990399039903</v>
      </c>
      <c r="K260" s="139">
        <f t="shared" si="336"/>
        <v>42.004200420042004</v>
      </c>
      <c r="L260" s="139">
        <f>IF(E260="M"," ",K260/F260/Workhrs)</f>
        <v>2.3335666900023337</v>
      </c>
      <c r="M260" s="139">
        <f t="shared" si="337"/>
        <v>0</v>
      </c>
      <c r="N260" s="139">
        <f t="shared" si="338"/>
        <v>0</v>
      </c>
      <c r="O260" s="139">
        <f t="shared" si="339"/>
        <v>3990.3990399039903</v>
      </c>
      <c r="P260" s="139">
        <f>IF($E260="S",$J260,0)</f>
        <v>0</v>
      </c>
      <c r="Q260" s="139">
        <f t="shared" si="340"/>
        <v>3990.3990399039903</v>
      </c>
      <c r="R260" s="156">
        <v>31</v>
      </c>
    </row>
    <row r="261" spans="1:18" x14ac:dyDescent="0.35">
      <c r="A261" s="27"/>
      <c r="B261" s="92">
        <v>3</v>
      </c>
      <c r="C261" s="19" t="s">
        <v>8</v>
      </c>
      <c r="D261" s="3" t="s">
        <v>26</v>
      </c>
      <c r="E261" s="27" t="str">
        <f>VLOOKUP(C261,Resources!B:D,3,FALSE)</f>
        <v>L</v>
      </c>
      <c r="F261" s="8">
        <v>1</v>
      </c>
      <c r="G261" s="8">
        <f>G259</f>
        <v>33.33</v>
      </c>
      <c r="H261" s="8">
        <f>H258</f>
        <v>700</v>
      </c>
      <c r="I261" s="22">
        <f>VLOOKUP(C261,Resources!B:G,6,FALSE)</f>
        <v>42</v>
      </c>
      <c r="J261" s="139">
        <f t="shared" si="335"/>
        <v>882.08820882088207</v>
      </c>
      <c r="K261" s="139">
        <f t="shared" si="336"/>
        <v>21.002100210021002</v>
      </c>
      <c r="L261" s="139">
        <f>IF(E261="M"," ",K261/F261/Workhrs)</f>
        <v>2.3335666900023337</v>
      </c>
      <c r="M261" s="139">
        <f t="shared" si="337"/>
        <v>882.08820882088207</v>
      </c>
      <c r="N261" s="139">
        <f t="shared" si="338"/>
        <v>0</v>
      </c>
      <c r="O261" s="139">
        <f t="shared" si="339"/>
        <v>0</v>
      </c>
      <c r="P261" s="139">
        <f>IF($E261="S",$J261,0)</f>
        <v>0</v>
      </c>
      <c r="Q261" s="139">
        <f t="shared" si="340"/>
        <v>882.08820882088207</v>
      </c>
      <c r="R261" s="156">
        <v>31</v>
      </c>
    </row>
    <row r="262" spans="1:18" x14ac:dyDescent="0.35">
      <c r="C262" s="6" t="s">
        <v>402</v>
      </c>
      <c r="F262" s="9"/>
      <c r="G262" s="9"/>
      <c r="H262" s="9"/>
      <c r="I262" s="9"/>
    </row>
    <row r="263" spans="1:18" ht="30" x14ac:dyDescent="0.35">
      <c r="A263" s="26">
        <v>44.2</v>
      </c>
      <c r="B263" s="94" t="s">
        <v>153</v>
      </c>
      <c r="C263" s="1" t="s">
        <v>59</v>
      </c>
      <c r="D263" s="2" t="s">
        <v>57</v>
      </c>
      <c r="E263" s="24"/>
      <c r="F263" s="7"/>
      <c r="G263" s="7"/>
      <c r="H263" s="97">
        <f>VLOOKUP($A263,'Model Inputs'!$A:$D,4,FALSE)</f>
        <v>1220</v>
      </c>
      <c r="I263" s="7"/>
      <c r="J263" s="138">
        <f>SUBTOTAL(9,J264:J266)</f>
        <v>10075.157515751576</v>
      </c>
      <c r="K263" s="138"/>
      <c r="L263" s="138">
        <f>ROUNDUP(MAX(L264:L266),0)</f>
        <v>4</v>
      </c>
      <c r="M263" s="138">
        <f t="shared" ref="M263" si="341">SUBTOTAL(9,M264:M266)</f>
        <v>1153.015301530153</v>
      </c>
      <c r="N263" s="138">
        <f t="shared" ref="N263" si="342">SUBTOTAL(9,N264:N266)</f>
        <v>0</v>
      </c>
      <c r="O263" s="138">
        <f t="shared" ref="O263" si="343">SUBTOTAL(9,O264:O266)</f>
        <v>8922.1422142214233</v>
      </c>
      <c r="P263" s="138">
        <f t="shared" ref="P263" si="344">SUBTOTAL(9,P264:P266)</f>
        <v>0</v>
      </c>
      <c r="Q263" s="138">
        <f t="shared" ref="Q263" si="345">SUBTOTAL(9,Q264:Q266)</f>
        <v>10075.157515751576</v>
      </c>
      <c r="R263" s="155"/>
    </row>
    <row r="264" spans="1:18" x14ac:dyDescent="0.35">
      <c r="A264" s="27">
        <v>44.3</v>
      </c>
      <c r="B264" s="92">
        <v>1</v>
      </c>
      <c r="C264" s="19" t="s">
        <v>50</v>
      </c>
      <c r="D264" s="3" t="s">
        <v>26</v>
      </c>
      <c r="E264" s="27" t="str">
        <f>VLOOKUP(C264,Resources!B:D,3,FALSE)</f>
        <v>P</v>
      </c>
      <c r="F264" s="8">
        <v>1</v>
      </c>
      <c r="G264" s="97">
        <f>VLOOKUP($A264,'Model Inputs'!$A:$D,4,FALSE)</f>
        <v>44.44</v>
      </c>
      <c r="H264" s="8">
        <f>H263</f>
        <v>1220</v>
      </c>
      <c r="I264" s="22">
        <f>VLOOKUP(C264,Resources!B:G,6,FALSE)</f>
        <v>135</v>
      </c>
      <c r="J264" s="139">
        <f t="shared" ref="J264:J266" si="346">(H264/(G264/F264))*I264</f>
        <v>3706.1206120612064</v>
      </c>
      <c r="K264" s="139">
        <f t="shared" ref="K264:K266" si="347">IF(E264="M",H264,(H264/(G264)*F264))</f>
        <v>27.452745274527455</v>
      </c>
      <c r="L264" s="139">
        <f>IF(E264="M"," ",K264/F264/Workhrs)</f>
        <v>3.0503050305030506</v>
      </c>
      <c r="M264" s="139">
        <f t="shared" ref="M264:M266" si="348">IF($E264="L",$J264,0)</f>
        <v>0</v>
      </c>
      <c r="N264" s="139">
        <f t="shared" ref="N264:N266" si="349">IF($E264="M",$J264,0)</f>
        <v>0</v>
      </c>
      <c r="O264" s="139">
        <f t="shared" ref="O264:O266" si="350">IF($E264="P",$J264,0)</f>
        <v>3706.1206120612064</v>
      </c>
      <c r="P264" s="139">
        <f>IF($E264="S",$J264,0)</f>
        <v>0</v>
      </c>
      <c r="Q264" s="139">
        <f t="shared" ref="Q264:Q266" si="351">SUM(M264:P264)</f>
        <v>3706.1206120612064</v>
      </c>
      <c r="R264" s="156">
        <v>53</v>
      </c>
    </row>
    <row r="265" spans="1:18" x14ac:dyDescent="0.35">
      <c r="A265" s="27"/>
      <c r="B265" s="92">
        <v>2</v>
      </c>
      <c r="C265" s="19" t="s">
        <v>51</v>
      </c>
      <c r="D265" s="3" t="s">
        <v>26</v>
      </c>
      <c r="E265" s="27" t="str">
        <f>VLOOKUP(C265,Resources!B:D,3,FALSE)</f>
        <v>P</v>
      </c>
      <c r="F265" s="8">
        <v>2</v>
      </c>
      <c r="G265" s="8">
        <f>G264</f>
        <v>44.44</v>
      </c>
      <c r="H265" s="8">
        <f>H263</f>
        <v>1220</v>
      </c>
      <c r="I265" s="22">
        <f>VLOOKUP(C265,Resources!B:G,6,FALSE)</f>
        <v>95</v>
      </c>
      <c r="J265" s="139">
        <f t="shared" si="346"/>
        <v>5216.0216021602164</v>
      </c>
      <c r="K265" s="139">
        <f t="shared" si="347"/>
        <v>54.90549054905491</v>
      </c>
      <c r="L265" s="139">
        <f>IF(E265="M"," ",K265/F265/Workhrs)</f>
        <v>3.0503050305030506</v>
      </c>
      <c r="M265" s="139">
        <f t="shared" si="348"/>
        <v>0</v>
      </c>
      <c r="N265" s="139">
        <f t="shared" si="349"/>
        <v>0</v>
      </c>
      <c r="O265" s="139">
        <f t="shared" si="350"/>
        <v>5216.0216021602164</v>
      </c>
      <c r="P265" s="139">
        <f>IF($E265="S",$J265,0)</f>
        <v>0</v>
      </c>
      <c r="Q265" s="139">
        <f t="shared" si="351"/>
        <v>5216.0216021602164</v>
      </c>
      <c r="R265" s="156">
        <v>53</v>
      </c>
    </row>
    <row r="266" spans="1:18" x14ac:dyDescent="0.35">
      <c r="A266" s="27"/>
      <c r="B266" s="92">
        <v>3</v>
      </c>
      <c r="C266" s="19" t="s">
        <v>8</v>
      </c>
      <c r="D266" s="3" t="s">
        <v>26</v>
      </c>
      <c r="E266" s="27" t="str">
        <f>VLOOKUP(C266,Resources!B:D,3,FALSE)</f>
        <v>L</v>
      </c>
      <c r="F266" s="8">
        <v>1</v>
      </c>
      <c r="G266" s="8">
        <f>G264</f>
        <v>44.44</v>
      </c>
      <c r="H266" s="8">
        <f>H263</f>
        <v>1220</v>
      </c>
      <c r="I266" s="22">
        <f>VLOOKUP(C266,Resources!B:G,6,FALSE)</f>
        <v>42</v>
      </c>
      <c r="J266" s="139">
        <f t="shared" si="346"/>
        <v>1153.015301530153</v>
      </c>
      <c r="K266" s="139">
        <f t="shared" si="347"/>
        <v>27.452745274527455</v>
      </c>
      <c r="L266" s="139">
        <f>IF(E266="M"," ",K266/F266/Workhrs)</f>
        <v>3.0503050305030506</v>
      </c>
      <c r="M266" s="139">
        <f t="shared" si="348"/>
        <v>1153.015301530153</v>
      </c>
      <c r="N266" s="139">
        <f t="shared" si="349"/>
        <v>0</v>
      </c>
      <c r="O266" s="139">
        <f t="shared" si="350"/>
        <v>0</v>
      </c>
      <c r="P266" s="139">
        <f>IF($E266="S",$J266,0)</f>
        <v>0</v>
      </c>
      <c r="Q266" s="139">
        <f t="shared" si="351"/>
        <v>1153.015301530153</v>
      </c>
      <c r="R266" s="156">
        <v>53</v>
      </c>
    </row>
    <row r="267" spans="1:18" x14ac:dyDescent="0.35">
      <c r="C267" s="6" t="s">
        <v>402</v>
      </c>
      <c r="F267" s="9"/>
      <c r="G267" s="9"/>
      <c r="H267" s="9"/>
      <c r="I267" s="9"/>
    </row>
    <row r="268" spans="1:18" ht="30" x14ac:dyDescent="0.35">
      <c r="A268" s="26">
        <v>45</v>
      </c>
      <c r="B268" s="94" t="s">
        <v>154</v>
      </c>
      <c r="C268" s="1" t="s">
        <v>155</v>
      </c>
      <c r="D268" s="2" t="s">
        <v>57</v>
      </c>
      <c r="E268" s="24"/>
      <c r="F268" s="7"/>
      <c r="G268" s="7"/>
      <c r="H268" s="97">
        <f>VLOOKUP($A268,'Model Inputs'!$A:$D,4,FALSE)</f>
        <v>410</v>
      </c>
      <c r="I268" s="7"/>
      <c r="J268" s="138">
        <f>SUBTOTAL(9,J269:J272)</f>
        <v>6310.5310531053119</v>
      </c>
      <c r="K268" s="138"/>
      <c r="L268" s="138">
        <f>ROUNDUP(MAX(L269:L272),0)</f>
        <v>2</v>
      </c>
      <c r="M268" s="138">
        <f t="shared" ref="M268" si="352">SUBTOTAL(9,M269:M272)</f>
        <v>774.97749774977513</v>
      </c>
      <c r="N268" s="138">
        <f t="shared" ref="N268" si="353">SUBTOTAL(9,N269:N272)</f>
        <v>0</v>
      </c>
      <c r="O268" s="138">
        <f t="shared" ref="O268" si="354">SUBTOTAL(9,O269:O272)</f>
        <v>5535.5535553555364</v>
      </c>
      <c r="P268" s="138">
        <f t="shared" ref="P268" si="355">SUBTOTAL(9,P269:P272)</f>
        <v>0</v>
      </c>
      <c r="Q268" s="138">
        <f t="shared" ref="Q268" si="356">SUBTOTAL(9,Q269:Q272)</f>
        <v>6310.5310531053119</v>
      </c>
      <c r="R268" s="155"/>
    </row>
    <row r="269" spans="1:18" x14ac:dyDescent="0.35">
      <c r="A269" s="27">
        <v>45.1</v>
      </c>
      <c r="B269" s="92">
        <v>1</v>
      </c>
      <c r="C269" s="19" t="s">
        <v>63</v>
      </c>
      <c r="D269" s="3" t="s">
        <v>26</v>
      </c>
      <c r="E269" s="27" t="str">
        <f>VLOOKUP(C269,Resources!B:D,3,FALSE)</f>
        <v>P</v>
      </c>
      <c r="F269" s="8">
        <v>1</v>
      </c>
      <c r="G269" s="97">
        <f>VLOOKUP($A269,'Model Inputs'!$A:$D,4,FALSE)</f>
        <v>44.44</v>
      </c>
      <c r="H269" s="8">
        <f>H268</f>
        <v>410</v>
      </c>
      <c r="I269" s="22">
        <f>VLOOKUP(C269,Resources!B:G,6,FALSE)</f>
        <v>135</v>
      </c>
      <c r="J269" s="139">
        <f t="shared" ref="J269:J272" si="357">(H269/(G269/F269))*I269</f>
        <v>1245.4995499549957</v>
      </c>
      <c r="K269" s="139">
        <f t="shared" ref="K269:K272" si="358">IF(E269="M",H269,(H269/(G269)*F269))</f>
        <v>9.2259225922592272</v>
      </c>
      <c r="L269" s="139">
        <f>IF(E269="M"," ",K269/F269/Workhrs)</f>
        <v>1.0251025102510252</v>
      </c>
      <c r="M269" s="139">
        <f t="shared" ref="M269:M272" si="359">IF($E269="L",$J269,0)</f>
        <v>0</v>
      </c>
      <c r="N269" s="139">
        <f t="shared" ref="N269:N272" si="360">IF($E269="M",$J269,0)</f>
        <v>0</v>
      </c>
      <c r="O269" s="139">
        <f t="shared" ref="O269:O272" si="361">IF($E269="P",$J269,0)</f>
        <v>1245.4995499549957</v>
      </c>
      <c r="P269" s="139">
        <f>IF($E269="S",$J269,0)</f>
        <v>0</v>
      </c>
      <c r="Q269" s="139">
        <f t="shared" ref="Q269:Q272" si="362">SUM(M269:P269)</f>
        <v>1245.4995499549957</v>
      </c>
      <c r="R269" s="156">
        <v>55</v>
      </c>
    </row>
    <row r="270" spans="1:18" x14ac:dyDescent="0.35">
      <c r="A270" s="27"/>
      <c r="B270" s="92">
        <v>2</v>
      </c>
      <c r="C270" s="19" t="s">
        <v>156</v>
      </c>
      <c r="D270" s="3" t="s">
        <v>39</v>
      </c>
      <c r="E270" s="27" t="str">
        <f>VLOOKUP(C270,Resources!B:D,3,FALSE)</f>
        <v>P</v>
      </c>
      <c r="F270" s="8">
        <v>1</v>
      </c>
      <c r="G270" s="8">
        <f>G269</f>
        <v>44.44</v>
      </c>
      <c r="H270" s="8">
        <f>H268</f>
        <v>410</v>
      </c>
      <c r="I270" s="22">
        <f>VLOOKUP(C270,Resources!B:G,6,FALSE)</f>
        <v>365</v>
      </c>
      <c r="J270" s="139">
        <f t="shared" si="357"/>
        <v>3367.4617461746179</v>
      </c>
      <c r="K270" s="139">
        <f t="shared" si="358"/>
        <v>9.2259225922592272</v>
      </c>
      <c r="L270" s="139">
        <f>IF(E270="M"," ",K270/F270/Workhrs)</f>
        <v>1.0251025102510252</v>
      </c>
      <c r="M270" s="139">
        <f t="shared" si="359"/>
        <v>0</v>
      </c>
      <c r="N270" s="139">
        <f t="shared" si="360"/>
        <v>0</v>
      </c>
      <c r="O270" s="139">
        <f t="shared" si="361"/>
        <v>3367.4617461746179</v>
      </c>
      <c r="P270" s="139">
        <f>IF($E270="S",$J270,0)</f>
        <v>0</v>
      </c>
      <c r="Q270" s="139">
        <f t="shared" si="362"/>
        <v>3367.4617461746179</v>
      </c>
      <c r="R270" s="156">
        <v>55</v>
      </c>
    </row>
    <row r="271" spans="1:18" x14ac:dyDescent="0.35">
      <c r="A271" s="27"/>
      <c r="B271" s="92">
        <v>3</v>
      </c>
      <c r="C271" s="19" t="s">
        <v>52</v>
      </c>
      <c r="D271" s="3" t="s">
        <v>26</v>
      </c>
      <c r="E271" s="27" t="str">
        <f>VLOOKUP(C271,Resources!B:D,3,FALSE)</f>
        <v>P</v>
      </c>
      <c r="F271" s="8">
        <v>1</v>
      </c>
      <c r="G271" s="8">
        <f>G269</f>
        <v>44.44</v>
      </c>
      <c r="H271" s="8">
        <f>H268</f>
        <v>410</v>
      </c>
      <c r="I271" s="22">
        <f>VLOOKUP(C271,Resources!B:G,6,FALSE)</f>
        <v>100</v>
      </c>
      <c r="J271" s="139">
        <f t="shared" si="357"/>
        <v>922.5922592259227</v>
      </c>
      <c r="K271" s="139">
        <f t="shared" si="358"/>
        <v>9.2259225922592272</v>
      </c>
      <c r="L271" s="139">
        <f>IF(E271="M"," ",K271/F271/Workhrs)</f>
        <v>1.0251025102510252</v>
      </c>
      <c r="M271" s="139">
        <f t="shared" si="359"/>
        <v>0</v>
      </c>
      <c r="N271" s="139">
        <f t="shared" si="360"/>
        <v>0</v>
      </c>
      <c r="O271" s="139">
        <f t="shared" si="361"/>
        <v>922.5922592259227</v>
      </c>
      <c r="P271" s="139">
        <f>IF($E271="S",$J271,0)</f>
        <v>0</v>
      </c>
      <c r="Q271" s="139">
        <f t="shared" si="362"/>
        <v>922.5922592259227</v>
      </c>
      <c r="R271" s="156">
        <v>55</v>
      </c>
    </row>
    <row r="272" spans="1:18" x14ac:dyDescent="0.35">
      <c r="A272" s="27"/>
      <c r="B272" s="92">
        <v>4</v>
      </c>
      <c r="C272" s="19" t="s">
        <v>8</v>
      </c>
      <c r="D272" s="3" t="s">
        <v>26</v>
      </c>
      <c r="E272" s="27" t="str">
        <f>VLOOKUP(C272,Resources!B:D,3,FALSE)</f>
        <v>L</v>
      </c>
      <c r="F272" s="8">
        <v>2</v>
      </c>
      <c r="G272" s="8">
        <f>G269</f>
        <v>44.44</v>
      </c>
      <c r="H272" s="8">
        <f>H268</f>
        <v>410</v>
      </c>
      <c r="I272" s="22">
        <f>VLOOKUP(C272,Resources!B:G,6,FALSE)</f>
        <v>42</v>
      </c>
      <c r="J272" s="139">
        <f t="shared" si="357"/>
        <v>774.97749774977513</v>
      </c>
      <c r="K272" s="139">
        <f t="shared" si="358"/>
        <v>18.451845184518454</v>
      </c>
      <c r="L272" s="139">
        <f>IF(E272="M"," ",K272/F272/Workhrs)</f>
        <v>1.0251025102510252</v>
      </c>
      <c r="M272" s="139">
        <f t="shared" si="359"/>
        <v>774.97749774977513</v>
      </c>
      <c r="N272" s="139">
        <f t="shared" si="360"/>
        <v>0</v>
      </c>
      <c r="O272" s="139">
        <f t="shared" si="361"/>
        <v>0</v>
      </c>
      <c r="P272" s="139">
        <f>IF($E272="S",$J272,0)</f>
        <v>0</v>
      </c>
      <c r="Q272" s="139">
        <f t="shared" si="362"/>
        <v>774.97749774977513</v>
      </c>
      <c r="R272" s="156">
        <v>55</v>
      </c>
    </row>
    <row r="273" spans="1:18" x14ac:dyDescent="0.35">
      <c r="C273" s="6" t="s">
        <v>402</v>
      </c>
      <c r="F273" s="9"/>
      <c r="G273" s="9"/>
      <c r="H273" s="9"/>
      <c r="I273" s="9"/>
    </row>
    <row r="274" spans="1:18" ht="30" x14ac:dyDescent="0.35">
      <c r="A274" s="26">
        <v>46</v>
      </c>
      <c r="B274" s="94" t="s">
        <v>157</v>
      </c>
      <c r="C274" s="1" t="s">
        <v>61</v>
      </c>
      <c r="D274" s="2" t="s">
        <v>57</v>
      </c>
      <c r="E274" s="24"/>
      <c r="F274" s="7"/>
      <c r="G274" s="7"/>
      <c r="H274" s="97">
        <f>VLOOKUP($A274,'Model Inputs'!$A:$D,4,FALSE)</f>
        <v>10</v>
      </c>
      <c r="I274" s="7"/>
      <c r="J274" s="138">
        <f>SUBTOTAL(9,J275:J285)</f>
        <v>922.37083708370835</v>
      </c>
      <c r="K274" s="138"/>
      <c r="L274" s="138">
        <f>ROUNDUP((MAX(L275:L278)+MAX(L281:L285)),0)</f>
        <v>1</v>
      </c>
      <c r="M274" s="138">
        <f t="shared" ref="M274:Q274" si="363">SUBTOTAL(9,M275:M285)</f>
        <v>174.72907290729074</v>
      </c>
      <c r="N274" s="138">
        <f t="shared" si="363"/>
        <v>0</v>
      </c>
      <c r="O274" s="138">
        <f t="shared" si="363"/>
        <v>747.64176417641761</v>
      </c>
      <c r="P274" s="138">
        <f t="shared" si="363"/>
        <v>0</v>
      </c>
      <c r="Q274" s="138">
        <f t="shared" si="363"/>
        <v>922.37083708370835</v>
      </c>
      <c r="R274" s="155"/>
    </row>
    <row r="275" spans="1:18" x14ac:dyDescent="0.35">
      <c r="A275" s="27">
        <v>46.1</v>
      </c>
      <c r="B275" s="92">
        <v>1</v>
      </c>
      <c r="C275" s="19" t="s">
        <v>50</v>
      </c>
      <c r="D275" s="3" t="s">
        <v>26</v>
      </c>
      <c r="E275" s="27" t="str">
        <f>VLOOKUP(C275,Resources!B:D,3,FALSE)</f>
        <v>P</v>
      </c>
      <c r="F275" s="8">
        <v>1</v>
      </c>
      <c r="G275" s="97">
        <f>VLOOKUP($A275,'Model Inputs'!$A:$D,4,FALSE)</f>
        <v>10</v>
      </c>
      <c r="H275" s="8">
        <f>H274</f>
        <v>10</v>
      </c>
      <c r="I275" s="22">
        <f>VLOOKUP(C275,Resources!B:G,6,FALSE)</f>
        <v>135</v>
      </c>
      <c r="J275" s="139">
        <f t="shared" ref="J275:J278" si="364">(H275/(G275/F275))*I275</f>
        <v>135</v>
      </c>
      <c r="K275" s="139">
        <f t="shared" ref="K275:K278" si="365">IF(E275="M",H275,(H275/(G275)*F275))</f>
        <v>1</v>
      </c>
      <c r="L275" s="139">
        <f>IF(E275="M"," ",K275/F275/Workhrs)</f>
        <v>0.1111111111111111</v>
      </c>
      <c r="M275" s="139">
        <f t="shared" ref="M275:M278" si="366">IF($E275="L",$J275,0)</f>
        <v>0</v>
      </c>
      <c r="N275" s="139">
        <f t="shared" ref="N275:N278" si="367">IF($E275="M",$J275,0)</f>
        <v>0</v>
      </c>
      <c r="O275" s="139">
        <f t="shared" ref="O275:O278" si="368">IF($E275="P",$J275,0)</f>
        <v>135</v>
      </c>
      <c r="P275" s="139">
        <f>IF($E275="S",$J275,0)</f>
        <v>0</v>
      </c>
      <c r="Q275" s="139">
        <f t="shared" ref="Q275:Q278" si="369">SUM(M275:P275)</f>
        <v>135</v>
      </c>
      <c r="R275" s="156">
        <v>53</v>
      </c>
    </row>
    <row r="276" spans="1:18" x14ac:dyDescent="0.35">
      <c r="A276" s="27"/>
      <c r="B276" s="92">
        <v>2</v>
      </c>
      <c r="C276" s="19" t="s">
        <v>51</v>
      </c>
      <c r="D276" s="3" t="s">
        <v>26</v>
      </c>
      <c r="E276" s="27" t="str">
        <f>VLOOKUP(C276,Resources!B:D,3,FALSE)</f>
        <v>P</v>
      </c>
      <c r="F276" s="8">
        <v>1</v>
      </c>
      <c r="G276" s="8">
        <f>G275</f>
        <v>10</v>
      </c>
      <c r="H276" s="8">
        <f>H274</f>
        <v>10</v>
      </c>
      <c r="I276" s="22">
        <f>VLOOKUP(C276,Resources!B:G,6,FALSE)</f>
        <v>95</v>
      </c>
      <c r="J276" s="139">
        <f t="shared" si="364"/>
        <v>95</v>
      </c>
      <c r="K276" s="139">
        <f t="shared" si="365"/>
        <v>1</v>
      </c>
      <c r="L276" s="139">
        <f>IF(E276="M"," ",K276/F276/Workhrs)</f>
        <v>0.1111111111111111</v>
      </c>
      <c r="M276" s="139">
        <f t="shared" si="366"/>
        <v>0</v>
      </c>
      <c r="N276" s="139">
        <f t="shared" si="367"/>
        <v>0</v>
      </c>
      <c r="O276" s="139">
        <f t="shared" si="368"/>
        <v>95</v>
      </c>
      <c r="P276" s="139">
        <f>IF($E276="S",$J276,0)</f>
        <v>0</v>
      </c>
      <c r="Q276" s="139">
        <f t="shared" si="369"/>
        <v>95</v>
      </c>
      <c r="R276" s="156">
        <v>53</v>
      </c>
    </row>
    <row r="277" spans="1:18" x14ac:dyDescent="0.35">
      <c r="A277" s="27"/>
      <c r="B277" s="92">
        <v>3</v>
      </c>
      <c r="C277" s="19" t="s">
        <v>8</v>
      </c>
      <c r="D277" s="3" t="s">
        <v>26</v>
      </c>
      <c r="E277" s="27" t="str">
        <f>VLOOKUP(C277,Resources!B:D,3,FALSE)</f>
        <v>L</v>
      </c>
      <c r="F277" s="8">
        <v>2</v>
      </c>
      <c r="G277" s="8">
        <f>G275</f>
        <v>10</v>
      </c>
      <c r="H277" s="8">
        <f>H274</f>
        <v>10</v>
      </c>
      <c r="I277" s="22">
        <f>VLOOKUP(C277,Resources!B:G,6,FALSE)</f>
        <v>42</v>
      </c>
      <c r="J277" s="139">
        <f t="shared" si="364"/>
        <v>84</v>
      </c>
      <c r="K277" s="139">
        <f t="shared" si="365"/>
        <v>2</v>
      </c>
      <c r="L277" s="139">
        <f>IF(E277="M"," ",K277/F277/Workhrs)</f>
        <v>0.1111111111111111</v>
      </c>
      <c r="M277" s="139">
        <f t="shared" si="366"/>
        <v>84</v>
      </c>
      <c r="N277" s="139">
        <f t="shared" si="367"/>
        <v>0</v>
      </c>
      <c r="O277" s="139">
        <f t="shared" si="368"/>
        <v>0</v>
      </c>
      <c r="P277" s="139">
        <f>IF($E277="S",$J277,0)</f>
        <v>0</v>
      </c>
      <c r="Q277" s="139">
        <f t="shared" si="369"/>
        <v>84</v>
      </c>
      <c r="R277" s="156">
        <v>53</v>
      </c>
    </row>
    <row r="278" spans="1:18" x14ac:dyDescent="0.35">
      <c r="A278" s="27"/>
      <c r="B278" s="92">
        <v>4</v>
      </c>
      <c r="C278" s="19" t="s">
        <v>52</v>
      </c>
      <c r="D278" s="3" t="s">
        <v>26</v>
      </c>
      <c r="E278" s="27" t="str">
        <f>VLOOKUP(C278,Resources!B:D,3,FALSE)</f>
        <v>P</v>
      </c>
      <c r="F278" s="8">
        <v>1</v>
      </c>
      <c r="G278" s="8">
        <f>G275</f>
        <v>10</v>
      </c>
      <c r="H278" s="8">
        <f>H274</f>
        <v>10</v>
      </c>
      <c r="I278" s="22">
        <f>VLOOKUP(C278,Resources!B:G,6,FALSE)</f>
        <v>100</v>
      </c>
      <c r="J278" s="139">
        <f t="shared" si="364"/>
        <v>100</v>
      </c>
      <c r="K278" s="139">
        <f t="shared" si="365"/>
        <v>1</v>
      </c>
      <c r="L278" s="139">
        <f>IF(E278="M"," ",K278/F278/Workhrs)</f>
        <v>0.1111111111111111</v>
      </c>
      <c r="M278" s="139">
        <f t="shared" si="366"/>
        <v>0</v>
      </c>
      <c r="N278" s="139">
        <f t="shared" si="367"/>
        <v>0</v>
      </c>
      <c r="O278" s="139">
        <f t="shared" si="368"/>
        <v>100</v>
      </c>
      <c r="P278" s="139">
        <f>IF($E278="S",$J278,0)</f>
        <v>0</v>
      </c>
      <c r="Q278" s="139">
        <f t="shared" si="369"/>
        <v>100</v>
      </c>
      <c r="R278" s="156">
        <v>53</v>
      </c>
    </row>
    <row r="279" spans="1:18" ht="30" x14ac:dyDescent="0.35">
      <c r="B279" s="95">
        <v>5</v>
      </c>
      <c r="C279" s="6" t="s">
        <v>62</v>
      </c>
      <c r="F279" s="9"/>
      <c r="G279" s="9"/>
      <c r="H279" s="9"/>
      <c r="I279" s="9"/>
    </row>
    <row r="280" spans="1:18" x14ac:dyDescent="0.35">
      <c r="A280" s="27"/>
      <c r="B280" s="92">
        <v>6</v>
      </c>
      <c r="C280" s="5" t="s">
        <v>664</v>
      </c>
      <c r="D280" s="3"/>
      <c r="E280" s="27"/>
      <c r="F280" s="8"/>
      <c r="G280" s="8"/>
      <c r="H280" s="8">
        <f>H274*GCF</f>
        <v>24.000000000000004</v>
      </c>
      <c r="I280" s="8"/>
      <c r="J280" s="139"/>
      <c r="K280" s="139"/>
      <c r="L280" s="139"/>
      <c r="M280" s="139"/>
      <c r="N280" s="139"/>
      <c r="O280" s="139"/>
      <c r="P280" s="139"/>
      <c r="Q280" s="139"/>
      <c r="R280" s="156"/>
    </row>
    <row r="281" spans="1:18" x14ac:dyDescent="0.35">
      <c r="A281" s="27">
        <v>46.2</v>
      </c>
      <c r="B281" s="92">
        <v>7</v>
      </c>
      <c r="C281" s="19" t="s">
        <v>63</v>
      </c>
      <c r="D281" s="3" t="s">
        <v>26</v>
      </c>
      <c r="E281" s="27" t="str">
        <f>VLOOKUP(C281,Resources!B:D,3,FALSE)</f>
        <v>P</v>
      </c>
      <c r="F281" s="8">
        <v>1</v>
      </c>
      <c r="G281" s="97">
        <f>VLOOKUP($A281,'Model Inputs'!$A:$D,4,FALSE)</f>
        <v>33.33</v>
      </c>
      <c r="H281" s="8">
        <f>H280</f>
        <v>24.000000000000004</v>
      </c>
      <c r="I281" s="22">
        <f>VLOOKUP(C281,Resources!B:G,6,FALSE)</f>
        <v>135</v>
      </c>
      <c r="J281" s="139">
        <f t="shared" ref="J281:J285" si="370">(H281/(G281/F281))*I281</f>
        <v>97.20972097209723</v>
      </c>
      <c r="K281" s="139">
        <f t="shared" ref="K281:K285" si="371">IF(E281="M",H281,(H281/(G281)*F281))</f>
        <v>0.72007200720072018</v>
      </c>
      <c r="L281" s="139">
        <f>IF(E281="M"," ",K281/F281/Workhrs)</f>
        <v>8.0008000800080026E-2</v>
      </c>
      <c r="M281" s="139">
        <f t="shared" ref="M281:M285" si="372">IF($E281="L",$J281,0)</f>
        <v>0</v>
      </c>
      <c r="N281" s="139">
        <f t="shared" ref="N281:N285" si="373">IF($E281="M",$J281,0)</f>
        <v>0</v>
      </c>
      <c r="O281" s="139">
        <f t="shared" ref="O281:O285" si="374">IF($E281="P",$J281,0)</f>
        <v>97.20972097209723</v>
      </c>
      <c r="P281" s="139">
        <f>IF($E281="S",$J281,0)</f>
        <v>0</v>
      </c>
      <c r="Q281" s="139">
        <f t="shared" ref="Q281:Q285" si="375">SUM(M281:P281)</f>
        <v>97.20972097209723</v>
      </c>
      <c r="R281" s="156">
        <v>62</v>
      </c>
    </row>
    <row r="282" spans="1:18" x14ac:dyDescent="0.35">
      <c r="A282" s="27"/>
      <c r="B282" s="92">
        <v>8</v>
      </c>
      <c r="C282" s="19" t="s">
        <v>64</v>
      </c>
      <c r="D282" s="3" t="s">
        <v>26</v>
      </c>
      <c r="E282" s="27" t="str">
        <f>VLOOKUP(C282,Resources!B:D,3,FALSE)</f>
        <v>P</v>
      </c>
      <c r="F282" s="8">
        <v>2</v>
      </c>
      <c r="G282" s="8">
        <f>G281</f>
        <v>33.33</v>
      </c>
      <c r="H282" s="8">
        <f>H280</f>
        <v>24.000000000000004</v>
      </c>
      <c r="I282" s="22">
        <f>VLOOKUP(C282,Resources!B:G,6,FALSE)</f>
        <v>145</v>
      </c>
      <c r="J282" s="139">
        <f t="shared" si="370"/>
        <v>208.82088208820886</v>
      </c>
      <c r="K282" s="139">
        <f t="shared" si="371"/>
        <v>1.4401440144014404</v>
      </c>
      <c r="L282" s="139">
        <f>IF(E282="M"," ",K282/F282/Workhrs)</f>
        <v>8.0008000800080026E-2</v>
      </c>
      <c r="M282" s="139">
        <f t="shared" si="372"/>
        <v>0</v>
      </c>
      <c r="N282" s="139">
        <f t="shared" si="373"/>
        <v>0</v>
      </c>
      <c r="O282" s="139">
        <f t="shared" si="374"/>
        <v>208.82088208820886</v>
      </c>
      <c r="P282" s="139">
        <f>IF($E282="S",$J282,0)</f>
        <v>0</v>
      </c>
      <c r="Q282" s="139">
        <f t="shared" si="375"/>
        <v>208.82088208820886</v>
      </c>
      <c r="R282" s="156">
        <v>62</v>
      </c>
    </row>
    <row r="283" spans="1:18" x14ac:dyDescent="0.35">
      <c r="A283" s="27"/>
      <c r="B283" s="92">
        <v>9</v>
      </c>
      <c r="C283" s="19" t="s">
        <v>52</v>
      </c>
      <c r="D283" s="3" t="s">
        <v>26</v>
      </c>
      <c r="E283" s="27" t="str">
        <f>VLOOKUP(C283,Resources!B:D,3,FALSE)</f>
        <v>P</v>
      </c>
      <c r="F283" s="8">
        <v>1</v>
      </c>
      <c r="G283" s="8">
        <f>G281</f>
        <v>33.33</v>
      </c>
      <c r="H283" s="8">
        <f>H280</f>
        <v>24.000000000000004</v>
      </c>
      <c r="I283" s="22">
        <f>VLOOKUP(C283,Resources!B:G,6,FALSE)</f>
        <v>100</v>
      </c>
      <c r="J283" s="139">
        <f t="shared" si="370"/>
        <v>72.007200720072021</v>
      </c>
      <c r="K283" s="139">
        <f t="shared" si="371"/>
        <v>0.72007200720072018</v>
      </c>
      <c r="L283" s="139">
        <f>IF(E283="M"," ",K283/F283/Workhrs)</f>
        <v>8.0008000800080026E-2</v>
      </c>
      <c r="M283" s="139">
        <f t="shared" si="372"/>
        <v>0</v>
      </c>
      <c r="N283" s="139">
        <f t="shared" si="373"/>
        <v>0</v>
      </c>
      <c r="O283" s="139">
        <f t="shared" si="374"/>
        <v>72.007200720072021</v>
      </c>
      <c r="P283" s="139">
        <f>IF($E283="S",$J283,0)</f>
        <v>0</v>
      </c>
      <c r="Q283" s="139">
        <f t="shared" si="375"/>
        <v>72.007200720072021</v>
      </c>
      <c r="R283" s="156">
        <v>62</v>
      </c>
    </row>
    <row r="284" spans="1:18" x14ac:dyDescent="0.35">
      <c r="A284" s="27"/>
      <c r="B284" s="92">
        <v>10</v>
      </c>
      <c r="C284" s="19" t="s">
        <v>106</v>
      </c>
      <c r="D284" s="3" t="s">
        <v>26</v>
      </c>
      <c r="E284" s="27" t="str">
        <f>VLOOKUP(C284,Resources!B:D,3,FALSE)</f>
        <v>P</v>
      </c>
      <c r="F284" s="8">
        <v>1</v>
      </c>
      <c r="G284" s="8">
        <f>G281</f>
        <v>33.33</v>
      </c>
      <c r="H284" s="8">
        <f>H280</f>
        <v>24.000000000000004</v>
      </c>
      <c r="I284" s="22">
        <f>VLOOKUP(C284,Resources!B:G,6,FALSE)</f>
        <v>55</v>
      </c>
      <c r="J284" s="139">
        <f t="shared" si="370"/>
        <v>39.603960396039611</v>
      </c>
      <c r="K284" s="139">
        <f t="shared" si="371"/>
        <v>0.72007200720072018</v>
      </c>
      <c r="L284" s="139">
        <f>IF(E284="M"," ",K284/F284/Workhrs)</f>
        <v>8.0008000800080026E-2</v>
      </c>
      <c r="M284" s="139">
        <f t="shared" si="372"/>
        <v>0</v>
      </c>
      <c r="N284" s="139">
        <f t="shared" si="373"/>
        <v>0</v>
      </c>
      <c r="O284" s="139">
        <f t="shared" si="374"/>
        <v>39.603960396039611</v>
      </c>
      <c r="P284" s="139">
        <f>IF($E284="S",$J284,0)</f>
        <v>0</v>
      </c>
      <c r="Q284" s="139">
        <f t="shared" si="375"/>
        <v>39.603960396039611</v>
      </c>
      <c r="R284" s="156">
        <v>62</v>
      </c>
    </row>
    <row r="285" spans="1:18" x14ac:dyDescent="0.35">
      <c r="A285" s="27"/>
      <c r="B285" s="92">
        <v>11</v>
      </c>
      <c r="C285" s="19" t="s">
        <v>8</v>
      </c>
      <c r="D285" s="3" t="s">
        <v>26</v>
      </c>
      <c r="E285" s="27" t="str">
        <f>VLOOKUP(C285,Resources!B:D,3,FALSE)</f>
        <v>L</v>
      </c>
      <c r="F285" s="8">
        <v>3</v>
      </c>
      <c r="G285" s="8">
        <f>G281</f>
        <v>33.33</v>
      </c>
      <c r="H285" s="8">
        <f>H280</f>
        <v>24.000000000000004</v>
      </c>
      <c r="I285" s="22">
        <f>VLOOKUP(C285,Resources!B:G,6,FALSE)</f>
        <v>42</v>
      </c>
      <c r="J285" s="139">
        <f t="shared" si="370"/>
        <v>90.729072907290742</v>
      </c>
      <c r="K285" s="139">
        <f t="shared" si="371"/>
        <v>2.1602160216021606</v>
      </c>
      <c r="L285" s="139">
        <f>IF(E285="M"," ",K285/F285/Workhrs)</f>
        <v>8.0008000800080026E-2</v>
      </c>
      <c r="M285" s="139">
        <f t="shared" si="372"/>
        <v>90.729072907290742</v>
      </c>
      <c r="N285" s="139">
        <f t="shared" si="373"/>
        <v>0</v>
      </c>
      <c r="O285" s="139">
        <f t="shared" si="374"/>
        <v>0</v>
      </c>
      <c r="P285" s="139">
        <f>IF($E285="S",$J285,0)</f>
        <v>0</v>
      </c>
      <c r="Q285" s="139">
        <f t="shared" si="375"/>
        <v>90.729072907290742</v>
      </c>
      <c r="R285" s="156">
        <v>62</v>
      </c>
    </row>
    <row r="286" spans="1:18" x14ac:dyDescent="0.35">
      <c r="C286" s="6" t="s">
        <v>402</v>
      </c>
      <c r="F286" s="9"/>
      <c r="G286" s="9"/>
      <c r="H286" s="9"/>
      <c r="I286" s="9"/>
    </row>
    <row r="287" spans="1:18" ht="30" x14ac:dyDescent="0.35">
      <c r="A287" s="26">
        <v>47</v>
      </c>
      <c r="B287" s="94" t="s">
        <v>158</v>
      </c>
      <c r="C287" s="1" t="s">
        <v>159</v>
      </c>
      <c r="D287" s="2" t="s">
        <v>57</v>
      </c>
      <c r="E287" s="24"/>
      <c r="F287" s="7"/>
      <c r="G287" s="7"/>
      <c r="H287" s="97">
        <f>VLOOKUP($A287,'Model Inputs'!$A:$D,4,FALSE)</f>
        <v>5</v>
      </c>
      <c r="I287" s="7"/>
      <c r="J287" s="138">
        <f>SUBTOTAL(9,J288)</f>
        <v>425</v>
      </c>
      <c r="K287" s="138"/>
      <c r="L287" s="138">
        <v>0</v>
      </c>
      <c r="M287" s="138">
        <f>SUBTOTAL(9,M288)</f>
        <v>0</v>
      </c>
      <c r="N287" s="138">
        <f t="shared" ref="N287" si="376">SUBTOTAL(9,N288)</f>
        <v>0</v>
      </c>
      <c r="O287" s="138">
        <f t="shared" ref="O287" si="377">SUBTOTAL(9,O288)</f>
        <v>425</v>
      </c>
      <c r="P287" s="138">
        <f t="shared" ref="P287" si="378">SUBTOTAL(9,P288)</f>
        <v>0</v>
      </c>
      <c r="Q287" s="138">
        <f t="shared" ref="Q287" si="379">SUBTOTAL(9,Q288)</f>
        <v>425</v>
      </c>
      <c r="R287" s="155"/>
    </row>
    <row r="288" spans="1:18" x14ac:dyDescent="0.35">
      <c r="A288" s="27"/>
      <c r="B288" s="92">
        <v>1</v>
      </c>
      <c r="C288" s="19" t="s">
        <v>160</v>
      </c>
      <c r="D288" s="3" t="s">
        <v>26</v>
      </c>
      <c r="E288" s="27" t="str">
        <f>VLOOKUP(C288,Resources!B:D,3,FALSE)</f>
        <v>P</v>
      </c>
      <c r="F288" s="8">
        <v>1</v>
      </c>
      <c r="G288" s="8">
        <v>1</v>
      </c>
      <c r="H288" s="8">
        <f>H287</f>
        <v>5</v>
      </c>
      <c r="I288" s="22">
        <f>VLOOKUP(C288,Resources!B:G,6,FALSE)</f>
        <v>85</v>
      </c>
      <c r="J288" s="139">
        <f t="shared" ref="J288" si="380">(H288/(G288/F288))*I288</f>
        <v>425</v>
      </c>
      <c r="K288" s="139">
        <f t="shared" ref="K288" si="381">IF(E288="M",H288,(H288/(G288)*F288))</f>
        <v>5</v>
      </c>
      <c r="L288" s="139">
        <f>IF(E288="M"," ",K288/F288/Workhrs)</f>
        <v>0.55555555555555558</v>
      </c>
      <c r="M288" s="139">
        <f t="shared" ref="M288" si="382">IF($E288="L",$J288,0)</f>
        <v>0</v>
      </c>
      <c r="N288" s="139">
        <f t="shared" ref="N288" si="383">IF($E288="M",$J288,0)</f>
        <v>0</v>
      </c>
      <c r="O288" s="139">
        <f>IF($E288="P",$J288,0)</f>
        <v>425</v>
      </c>
      <c r="P288" s="139">
        <f>IF($E288="S",$J288,0)</f>
        <v>0</v>
      </c>
      <c r="Q288" s="139">
        <f>SUM(M288:P288)</f>
        <v>425</v>
      </c>
      <c r="R288" s="156">
        <v>53</v>
      </c>
    </row>
    <row r="289" spans="1:18" x14ac:dyDescent="0.35">
      <c r="C289" s="6" t="s">
        <v>402</v>
      </c>
      <c r="F289" s="9"/>
      <c r="G289" s="9"/>
      <c r="H289" s="9"/>
      <c r="I289" s="9"/>
    </row>
    <row r="290" spans="1:18" ht="30" x14ac:dyDescent="0.35">
      <c r="A290" s="26">
        <v>48</v>
      </c>
      <c r="B290" s="94" t="s">
        <v>161</v>
      </c>
      <c r="C290" s="1" t="s">
        <v>162</v>
      </c>
      <c r="D290" s="2" t="s">
        <v>86</v>
      </c>
      <c r="E290" s="24"/>
      <c r="F290" s="7"/>
      <c r="G290" s="7"/>
      <c r="H290" s="97">
        <f>VLOOKUP($A290,'Model Inputs'!$A:$D,4,FALSE)</f>
        <v>36</v>
      </c>
      <c r="I290" s="7"/>
      <c r="J290" s="138">
        <f>SUBTOTAL(9,J291:J294)</f>
        <v>13464</v>
      </c>
      <c r="K290" s="138"/>
      <c r="L290" s="138">
        <f>ROUNDUP(MAX(L291:L294),0)</f>
        <v>4</v>
      </c>
      <c r="M290" s="138">
        <f t="shared" ref="M290:Q290" si="384">SUBTOTAL(9,M291:M294)</f>
        <v>3024</v>
      </c>
      <c r="N290" s="138">
        <f t="shared" si="384"/>
        <v>0</v>
      </c>
      <c r="O290" s="138">
        <f t="shared" si="384"/>
        <v>10440</v>
      </c>
      <c r="P290" s="138">
        <f t="shared" si="384"/>
        <v>0</v>
      </c>
      <c r="Q290" s="138">
        <f t="shared" si="384"/>
        <v>13464</v>
      </c>
      <c r="R290" s="155"/>
    </row>
    <row r="291" spans="1:18" x14ac:dyDescent="0.35">
      <c r="A291" s="27"/>
      <c r="B291" s="92">
        <v>1</v>
      </c>
      <c r="C291" s="19" t="s">
        <v>63</v>
      </c>
      <c r="D291" s="3" t="s">
        <v>26</v>
      </c>
      <c r="E291" s="27" t="str">
        <f>VLOOKUP(C291,Resources!B:D,3,FALSE)</f>
        <v>P</v>
      </c>
      <c r="F291" s="8">
        <v>1</v>
      </c>
      <c r="G291" s="8">
        <v>1</v>
      </c>
      <c r="H291" s="8">
        <f>H290</f>
        <v>36</v>
      </c>
      <c r="I291" s="22">
        <f>VLOOKUP(C291,Resources!B:G,6,FALSE)</f>
        <v>135</v>
      </c>
      <c r="J291" s="139">
        <f t="shared" ref="J291:J294" si="385">(H291/(G291/F291))*I291</f>
        <v>4860</v>
      </c>
      <c r="K291" s="139">
        <f t="shared" ref="K291:K294" si="386">IF(E291="M",H291,(H291/(G291)*F291))</f>
        <v>36</v>
      </c>
      <c r="L291" s="139">
        <f>IF(E291="M"," ",K291/F291/Workhrs)</f>
        <v>4</v>
      </c>
      <c r="M291" s="139">
        <f t="shared" ref="M291:M294" si="387">IF($E291="L",$J291,0)</f>
        <v>0</v>
      </c>
      <c r="N291" s="139">
        <f t="shared" ref="N291:N294" si="388">IF($E291="M",$J291,0)</f>
        <v>0</v>
      </c>
      <c r="O291" s="139">
        <f t="shared" ref="O291:O294" si="389">IF($E291="P",$J291,0)</f>
        <v>4860</v>
      </c>
      <c r="P291" s="139">
        <f>IF($E291="S",$J291,0)</f>
        <v>0</v>
      </c>
      <c r="Q291" s="139">
        <f t="shared" ref="Q291:Q294" si="390">SUM(M291:P291)</f>
        <v>4860</v>
      </c>
      <c r="R291" s="156">
        <v>61</v>
      </c>
    </row>
    <row r="292" spans="1:18" x14ac:dyDescent="0.35">
      <c r="A292" s="27"/>
      <c r="B292" s="92">
        <v>2</v>
      </c>
      <c r="C292" s="19" t="s">
        <v>106</v>
      </c>
      <c r="D292" s="3" t="s">
        <v>26</v>
      </c>
      <c r="E292" s="27" t="str">
        <f>VLOOKUP(C292,Resources!B:D,3,FALSE)</f>
        <v>P</v>
      </c>
      <c r="F292" s="8">
        <v>1</v>
      </c>
      <c r="G292" s="8">
        <v>1</v>
      </c>
      <c r="H292" s="8">
        <f>H290</f>
        <v>36</v>
      </c>
      <c r="I292" s="22">
        <f>VLOOKUP(C292,Resources!B:G,6,FALSE)</f>
        <v>55</v>
      </c>
      <c r="J292" s="139">
        <f t="shared" si="385"/>
        <v>1980</v>
      </c>
      <c r="K292" s="139">
        <f t="shared" si="386"/>
        <v>36</v>
      </c>
      <c r="L292" s="139">
        <f>IF(E292="M"," ",K292/F292/Workhrs)</f>
        <v>4</v>
      </c>
      <c r="M292" s="139">
        <f t="shared" si="387"/>
        <v>0</v>
      </c>
      <c r="N292" s="139">
        <f t="shared" si="388"/>
        <v>0</v>
      </c>
      <c r="O292" s="139">
        <f t="shared" si="389"/>
        <v>1980</v>
      </c>
      <c r="P292" s="139">
        <f>IF($E292="S",$J292,0)</f>
        <v>0</v>
      </c>
      <c r="Q292" s="139">
        <f t="shared" si="390"/>
        <v>1980</v>
      </c>
      <c r="R292" s="156">
        <v>61</v>
      </c>
    </row>
    <row r="293" spans="1:18" x14ac:dyDescent="0.35">
      <c r="A293" s="27"/>
      <c r="B293" s="92">
        <v>3</v>
      </c>
      <c r="C293" s="19" t="s">
        <v>52</v>
      </c>
      <c r="D293" s="3" t="s">
        <v>26</v>
      </c>
      <c r="E293" s="27" t="str">
        <f>VLOOKUP(C293,Resources!B:D,3,FALSE)</f>
        <v>P</v>
      </c>
      <c r="F293" s="8">
        <v>1</v>
      </c>
      <c r="G293" s="8">
        <v>1</v>
      </c>
      <c r="H293" s="8">
        <f>H290</f>
        <v>36</v>
      </c>
      <c r="I293" s="22">
        <f>VLOOKUP(C293,Resources!B:G,6,FALSE)</f>
        <v>100</v>
      </c>
      <c r="J293" s="139">
        <f t="shared" si="385"/>
        <v>3600</v>
      </c>
      <c r="K293" s="139">
        <f t="shared" si="386"/>
        <v>36</v>
      </c>
      <c r="L293" s="139">
        <f>IF(E293="M"," ",K293/F293/Workhrs)</f>
        <v>4</v>
      </c>
      <c r="M293" s="139">
        <f t="shared" si="387"/>
        <v>0</v>
      </c>
      <c r="N293" s="139">
        <f t="shared" si="388"/>
        <v>0</v>
      </c>
      <c r="O293" s="139">
        <f t="shared" si="389"/>
        <v>3600</v>
      </c>
      <c r="P293" s="139">
        <f>IF($E293="S",$J293,0)</f>
        <v>0</v>
      </c>
      <c r="Q293" s="139">
        <f t="shared" si="390"/>
        <v>3600</v>
      </c>
      <c r="R293" s="156">
        <v>61</v>
      </c>
    </row>
    <row r="294" spans="1:18" x14ac:dyDescent="0.35">
      <c r="A294" s="27"/>
      <c r="B294" s="92">
        <v>4</v>
      </c>
      <c r="C294" s="19" t="s">
        <v>8</v>
      </c>
      <c r="D294" s="3" t="s">
        <v>26</v>
      </c>
      <c r="E294" s="27" t="str">
        <f>VLOOKUP(C294,Resources!B:D,3,FALSE)</f>
        <v>L</v>
      </c>
      <c r="F294" s="8">
        <v>2</v>
      </c>
      <c r="G294" s="8">
        <v>1</v>
      </c>
      <c r="H294" s="8">
        <f>H290</f>
        <v>36</v>
      </c>
      <c r="I294" s="22">
        <f>VLOOKUP(C294,Resources!B:G,6,FALSE)</f>
        <v>42</v>
      </c>
      <c r="J294" s="139">
        <f t="shared" si="385"/>
        <v>3024</v>
      </c>
      <c r="K294" s="139">
        <f t="shared" si="386"/>
        <v>72</v>
      </c>
      <c r="L294" s="139">
        <f>IF(E294="M"," ",K294/F294/Workhrs)</f>
        <v>4</v>
      </c>
      <c r="M294" s="139">
        <f t="shared" si="387"/>
        <v>3024</v>
      </c>
      <c r="N294" s="139">
        <f t="shared" si="388"/>
        <v>0</v>
      </c>
      <c r="O294" s="139">
        <f t="shared" si="389"/>
        <v>0</v>
      </c>
      <c r="P294" s="139">
        <f>IF($E294="S",$J294,0)</f>
        <v>0</v>
      </c>
      <c r="Q294" s="139">
        <f t="shared" si="390"/>
        <v>3024</v>
      </c>
      <c r="R294" s="156">
        <v>61</v>
      </c>
    </row>
    <row r="295" spans="1:18" x14ac:dyDescent="0.35">
      <c r="C295" s="6" t="s">
        <v>402</v>
      </c>
      <c r="F295" s="9"/>
      <c r="G295" s="9"/>
      <c r="H295" s="9"/>
      <c r="I295" s="9"/>
    </row>
    <row r="296" spans="1:18" ht="30" x14ac:dyDescent="0.35">
      <c r="A296" s="26"/>
      <c r="B296" s="94" t="s">
        <v>163</v>
      </c>
      <c r="C296" s="1" t="s">
        <v>66</v>
      </c>
      <c r="D296" s="2"/>
      <c r="E296" s="24"/>
      <c r="F296" s="7"/>
      <c r="G296" s="7"/>
      <c r="H296" s="7"/>
      <c r="I296" s="7"/>
      <c r="J296" s="138"/>
      <c r="K296" s="138"/>
      <c r="L296" s="138"/>
      <c r="M296" s="138"/>
      <c r="N296" s="138"/>
      <c r="O296" s="138"/>
      <c r="P296" s="138"/>
      <c r="Q296" s="138"/>
      <c r="R296" s="155"/>
    </row>
    <row r="297" spans="1:18" ht="30" x14ac:dyDescent="0.35">
      <c r="A297" s="26">
        <v>49</v>
      </c>
      <c r="B297" s="94" t="s">
        <v>164</v>
      </c>
      <c r="C297" s="1" t="s">
        <v>165</v>
      </c>
      <c r="D297" s="2" t="s">
        <v>57</v>
      </c>
      <c r="E297" s="24"/>
      <c r="F297" s="7"/>
      <c r="G297" s="7"/>
      <c r="H297" s="97">
        <f>VLOOKUP($A297,'Model Inputs'!$A:$D,4,FALSE)</f>
        <v>300</v>
      </c>
      <c r="I297" s="7"/>
      <c r="J297" s="138">
        <f>SUBTOTAL(9,J298:J300)</f>
        <v>7362</v>
      </c>
      <c r="K297" s="138"/>
      <c r="L297" s="138">
        <f>ROUNDUP(MAX(L298:L300),0)</f>
        <v>2</v>
      </c>
      <c r="M297" s="138">
        <f t="shared" ref="M297:Q297" si="391">SUBTOTAL(9,M298:M300)</f>
        <v>1512</v>
      </c>
      <c r="N297" s="138">
        <f t="shared" si="391"/>
        <v>0</v>
      </c>
      <c r="O297" s="138">
        <f t="shared" si="391"/>
        <v>5850</v>
      </c>
      <c r="P297" s="138">
        <f t="shared" si="391"/>
        <v>0</v>
      </c>
      <c r="Q297" s="138">
        <f t="shared" si="391"/>
        <v>7362</v>
      </c>
      <c r="R297" s="155"/>
    </row>
    <row r="298" spans="1:18" x14ac:dyDescent="0.35">
      <c r="A298" s="27">
        <v>49.1</v>
      </c>
      <c r="B298" s="92">
        <v>1</v>
      </c>
      <c r="C298" s="19" t="s">
        <v>50</v>
      </c>
      <c r="D298" s="3" t="s">
        <v>26</v>
      </c>
      <c r="E298" s="27" t="str">
        <f>VLOOKUP(C298,Resources!B:D,3,FALSE)</f>
        <v>P</v>
      </c>
      <c r="F298" s="8">
        <v>1</v>
      </c>
      <c r="G298" s="97">
        <f>VLOOKUP($A298,'Model Inputs'!$A:$D,4,FALSE)</f>
        <v>20</v>
      </c>
      <c r="H298" s="8">
        <f>H297*1.2</f>
        <v>360</v>
      </c>
      <c r="I298" s="22">
        <f>VLOOKUP(C298,Resources!B:G,6,FALSE)</f>
        <v>135</v>
      </c>
      <c r="J298" s="139">
        <f t="shared" ref="J298:J300" si="392">(H298/(G298/F298))*I298</f>
        <v>2430</v>
      </c>
      <c r="K298" s="139">
        <f t="shared" ref="K298:K300" si="393">IF(E298="M",H298,(H298/(G298)*F298))</f>
        <v>18</v>
      </c>
      <c r="L298" s="139">
        <f>IF(E298="M"," ",K298/F298/Workhrs)</f>
        <v>2</v>
      </c>
      <c r="M298" s="139">
        <f t="shared" ref="M298:M300" si="394">IF($E298="L",$J298,0)</f>
        <v>0</v>
      </c>
      <c r="N298" s="139">
        <f t="shared" ref="N298:N300" si="395">IF($E298="M",$J298,0)</f>
        <v>0</v>
      </c>
      <c r="O298" s="139">
        <f t="shared" ref="O298:O300" si="396">IF($E298="P",$J298,0)</f>
        <v>2430</v>
      </c>
      <c r="P298" s="139">
        <f>IF($E298="S",$J298,0)</f>
        <v>0</v>
      </c>
      <c r="Q298" s="139">
        <f t="shared" ref="Q298:Q300" si="397">SUM(M298:P298)</f>
        <v>2430</v>
      </c>
      <c r="R298" s="156">
        <v>53</v>
      </c>
    </row>
    <row r="299" spans="1:18" x14ac:dyDescent="0.35">
      <c r="A299" s="27"/>
      <c r="B299" s="92">
        <v>2</v>
      </c>
      <c r="C299" s="19" t="s">
        <v>51</v>
      </c>
      <c r="D299" s="3" t="s">
        <v>26</v>
      </c>
      <c r="E299" s="27" t="str">
        <f>VLOOKUP(C299,Resources!B:D,3,FALSE)</f>
        <v>P</v>
      </c>
      <c r="F299" s="8">
        <v>2</v>
      </c>
      <c r="G299" s="8">
        <f>G298</f>
        <v>20</v>
      </c>
      <c r="H299" s="8">
        <f>H298</f>
        <v>360</v>
      </c>
      <c r="I299" s="22">
        <f>VLOOKUP(C299,Resources!B:G,6,FALSE)</f>
        <v>95</v>
      </c>
      <c r="J299" s="139">
        <f t="shared" si="392"/>
        <v>3420</v>
      </c>
      <c r="K299" s="139">
        <f t="shared" si="393"/>
        <v>36</v>
      </c>
      <c r="L299" s="139">
        <f>IF(E299="M"," ",K299/F299/Workhrs)</f>
        <v>2</v>
      </c>
      <c r="M299" s="139">
        <f t="shared" si="394"/>
        <v>0</v>
      </c>
      <c r="N299" s="139">
        <f t="shared" si="395"/>
        <v>0</v>
      </c>
      <c r="O299" s="139">
        <f t="shared" si="396"/>
        <v>3420</v>
      </c>
      <c r="P299" s="139">
        <f>IF($E299="S",$J299,0)</f>
        <v>0</v>
      </c>
      <c r="Q299" s="139">
        <f t="shared" si="397"/>
        <v>3420</v>
      </c>
      <c r="R299" s="156">
        <v>53</v>
      </c>
    </row>
    <row r="300" spans="1:18" x14ac:dyDescent="0.35">
      <c r="A300" s="27"/>
      <c r="B300" s="92">
        <v>3</v>
      </c>
      <c r="C300" s="19" t="s">
        <v>8</v>
      </c>
      <c r="D300" s="3" t="s">
        <v>26</v>
      </c>
      <c r="E300" s="27" t="str">
        <f>VLOOKUP(C300,Resources!B:D,3,FALSE)</f>
        <v>L</v>
      </c>
      <c r="F300" s="8">
        <v>2</v>
      </c>
      <c r="G300" s="8">
        <f>G298</f>
        <v>20</v>
      </c>
      <c r="H300" s="8">
        <f>H298</f>
        <v>360</v>
      </c>
      <c r="I300" s="22">
        <f>VLOOKUP(C300,Resources!B:G,6,FALSE)</f>
        <v>42</v>
      </c>
      <c r="J300" s="139">
        <f t="shared" si="392"/>
        <v>1512</v>
      </c>
      <c r="K300" s="139">
        <f t="shared" si="393"/>
        <v>36</v>
      </c>
      <c r="L300" s="139">
        <f>IF(E300="M"," ",K300/F300/Workhrs)</f>
        <v>2</v>
      </c>
      <c r="M300" s="139">
        <f t="shared" si="394"/>
        <v>1512</v>
      </c>
      <c r="N300" s="139">
        <f t="shared" si="395"/>
        <v>0</v>
      </c>
      <c r="O300" s="139">
        <f t="shared" si="396"/>
        <v>0</v>
      </c>
      <c r="P300" s="139">
        <f>IF($E300="S",$J300,0)</f>
        <v>0</v>
      </c>
      <c r="Q300" s="139">
        <f t="shared" si="397"/>
        <v>1512</v>
      </c>
      <c r="R300" s="156">
        <v>53</v>
      </c>
    </row>
    <row r="301" spans="1:18" x14ac:dyDescent="0.35">
      <c r="C301" s="6" t="s">
        <v>402</v>
      </c>
      <c r="F301" s="9"/>
      <c r="G301" s="9"/>
      <c r="H301" s="9"/>
      <c r="I301" s="9"/>
    </row>
    <row r="302" spans="1:18" ht="30" x14ac:dyDescent="0.35">
      <c r="A302" s="26">
        <v>50</v>
      </c>
      <c r="B302" s="94" t="s">
        <v>166</v>
      </c>
      <c r="C302" s="1" t="s">
        <v>167</v>
      </c>
      <c r="D302" s="2" t="s">
        <v>17</v>
      </c>
      <c r="E302" s="24"/>
      <c r="F302" s="7"/>
      <c r="G302" s="7"/>
      <c r="H302" s="97">
        <f>VLOOKUP($A302,'Model Inputs'!$A:$D,4,FALSE)</f>
        <v>1</v>
      </c>
      <c r="I302" s="7"/>
      <c r="J302" s="138">
        <f>SUBTOTAL(9,J303)</f>
        <v>2100</v>
      </c>
      <c r="K302" s="138"/>
      <c r="L302" s="138">
        <f>ROUNDUP(L303,0)</f>
        <v>6</v>
      </c>
      <c r="M302" s="138">
        <f>SUBTOTAL(9,M303)</f>
        <v>2100</v>
      </c>
      <c r="N302" s="138">
        <f t="shared" ref="N302" si="398">SUBTOTAL(9,N303)</f>
        <v>0</v>
      </c>
      <c r="O302" s="138">
        <f t="shared" ref="O302" si="399">SUBTOTAL(9,O303)</f>
        <v>0</v>
      </c>
      <c r="P302" s="138">
        <f t="shared" ref="P302" si="400">SUBTOTAL(9,P303)</f>
        <v>0</v>
      </c>
      <c r="Q302" s="138">
        <f t="shared" ref="Q302" si="401">SUBTOTAL(9,Q303)</f>
        <v>2100</v>
      </c>
      <c r="R302" s="155"/>
    </row>
    <row r="303" spans="1:18" x14ac:dyDescent="0.35">
      <c r="A303" s="27"/>
      <c r="B303" s="92">
        <v>1</v>
      </c>
      <c r="C303" s="19" t="s">
        <v>8</v>
      </c>
      <c r="D303" s="3" t="s">
        <v>26</v>
      </c>
      <c r="E303" s="27" t="str">
        <f>VLOOKUP(C303,Resources!B:D,3,FALSE)</f>
        <v>L</v>
      </c>
      <c r="F303" s="8">
        <v>1</v>
      </c>
      <c r="G303" s="8">
        <v>1</v>
      </c>
      <c r="H303" s="8">
        <f>H302*50</f>
        <v>50</v>
      </c>
      <c r="I303" s="22">
        <f>VLOOKUP(C303,Resources!B:G,6,FALSE)</f>
        <v>42</v>
      </c>
      <c r="J303" s="139">
        <f t="shared" ref="J303" si="402">(H303/(G303/F303))*I303</f>
        <v>2100</v>
      </c>
      <c r="K303" s="139">
        <f t="shared" ref="K303" si="403">IF(E303="M",H303,(H303/(G303)*F303))</f>
        <v>50</v>
      </c>
      <c r="L303" s="139">
        <f>IF(E303="M"," ",K303/F303/Workhrs)</f>
        <v>5.5555555555555554</v>
      </c>
      <c r="M303" s="139">
        <f t="shared" ref="M303" si="404">IF($E303="L",$J303,0)</f>
        <v>2100</v>
      </c>
      <c r="N303" s="139">
        <f t="shared" ref="N303" si="405">IF($E303="M",$J303,0)</f>
        <v>0</v>
      </c>
      <c r="O303" s="139">
        <f>IF($E303="P",$J303,0)</f>
        <v>0</v>
      </c>
      <c r="P303" s="139">
        <f>IF($E303="S",$J303,0)</f>
        <v>0</v>
      </c>
      <c r="Q303" s="139">
        <f>SUM(M303:P303)</f>
        <v>2100</v>
      </c>
      <c r="R303" s="156">
        <v>41</v>
      </c>
    </row>
    <row r="304" spans="1:18" x14ac:dyDescent="0.35">
      <c r="C304" s="6" t="s">
        <v>402</v>
      </c>
      <c r="F304" s="9"/>
      <c r="G304" s="9"/>
      <c r="H304" s="9"/>
      <c r="I304" s="9"/>
    </row>
    <row r="305" spans="1:18" ht="30" x14ac:dyDescent="0.35">
      <c r="A305" s="26">
        <v>51</v>
      </c>
      <c r="B305" s="94" t="s">
        <v>168</v>
      </c>
      <c r="C305" s="1" t="s">
        <v>169</v>
      </c>
      <c r="D305" s="2" t="s">
        <v>45</v>
      </c>
      <c r="E305" s="24"/>
      <c r="F305" s="7"/>
      <c r="G305" s="7"/>
      <c r="H305" s="97">
        <f>VLOOKUP($A305,'Model Inputs'!$A:$D,4,FALSE)</f>
        <v>58</v>
      </c>
      <c r="I305" s="7"/>
      <c r="J305" s="138">
        <f>SUBTOTAL(9,J306:J311)</f>
        <v>20796.503917525777</v>
      </c>
      <c r="K305" s="138"/>
      <c r="L305" s="138">
        <f>ROUNDUP(MAX(L309:L311),0)</f>
        <v>7</v>
      </c>
      <c r="M305" s="138">
        <f t="shared" ref="M305:Q305" si="406">SUBTOTAL(9,M306:M311)</f>
        <v>7534.0206185567022</v>
      </c>
      <c r="N305" s="138">
        <f t="shared" si="406"/>
        <v>4981.04</v>
      </c>
      <c r="O305" s="138">
        <f t="shared" si="406"/>
        <v>8281.4432989690722</v>
      </c>
      <c r="P305" s="138">
        <f t="shared" si="406"/>
        <v>0</v>
      </c>
      <c r="Q305" s="138">
        <f t="shared" si="406"/>
        <v>20796.503917525777</v>
      </c>
      <c r="R305" s="155"/>
    </row>
    <row r="306" spans="1:18" x14ac:dyDescent="0.35">
      <c r="A306" s="27"/>
      <c r="B306" s="92">
        <v>1</v>
      </c>
      <c r="C306" s="19" t="s">
        <v>169</v>
      </c>
      <c r="D306" s="3" t="s">
        <v>45</v>
      </c>
      <c r="E306" s="27" t="str">
        <f>VLOOKUP(C306,Resources!B:D,3,FALSE)</f>
        <v>M</v>
      </c>
      <c r="F306" s="8">
        <v>1</v>
      </c>
      <c r="G306" s="8">
        <v>1</v>
      </c>
      <c r="H306" s="8">
        <f>H305</f>
        <v>58</v>
      </c>
      <c r="I306" s="22">
        <f>VLOOKUP(C306,Resources!B:G,6,FALSE)</f>
        <v>68.599999999999994</v>
      </c>
      <c r="J306" s="139">
        <f t="shared" ref="J306:J307" si="407">(H306/(G306/F306))*I306</f>
        <v>3978.7999999999997</v>
      </c>
      <c r="K306" s="139">
        <f t="shared" ref="K306:K307" si="408">IF(E306="M",H306,(H306/(G306)*F306))</f>
        <v>58</v>
      </c>
      <c r="L306" s="139" t="str">
        <f>IF(E306="M"," ",K306/F306/Workhrs)</f>
        <v xml:space="preserve"> </v>
      </c>
      <c r="M306" s="139">
        <f t="shared" ref="M306:M307" si="409">IF($E306="L",$J306,0)</f>
        <v>0</v>
      </c>
      <c r="N306" s="139">
        <f t="shared" ref="N306:N307" si="410">IF($E306="M",$J306,0)</f>
        <v>3978.7999999999997</v>
      </c>
      <c r="O306" s="139">
        <f t="shared" ref="O306:O307" si="411">IF($E306="P",$J306,0)</f>
        <v>0</v>
      </c>
      <c r="P306" s="139">
        <f>IF($E306="S",$J306,0)</f>
        <v>0</v>
      </c>
      <c r="Q306" s="139">
        <f t="shared" ref="Q306:Q307" si="412">SUM(M306:P306)</f>
        <v>3978.7999999999997</v>
      </c>
      <c r="R306" s="156" t="s">
        <v>696</v>
      </c>
    </row>
    <row r="307" spans="1:18" x14ac:dyDescent="0.35">
      <c r="A307" s="27"/>
      <c r="B307" s="92">
        <v>2</v>
      </c>
      <c r="C307" s="19" t="s">
        <v>75</v>
      </c>
      <c r="D307" s="3" t="s">
        <v>54</v>
      </c>
      <c r="E307" s="27" t="str">
        <f>VLOOKUP(C307,Resources!B:D,3,FALSE)</f>
        <v>M</v>
      </c>
      <c r="F307" s="8">
        <v>1</v>
      </c>
      <c r="G307" s="8">
        <v>1</v>
      </c>
      <c r="H307" s="8">
        <f>H305*0.8*0.6*1.5</f>
        <v>41.760000000000005</v>
      </c>
      <c r="I307" s="22">
        <f>VLOOKUP(C307,Resources!B:G,6,FALSE)</f>
        <v>24</v>
      </c>
      <c r="J307" s="139">
        <f t="shared" si="407"/>
        <v>1002.2400000000001</v>
      </c>
      <c r="K307" s="139">
        <f t="shared" si="408"/>
        <v>41.760000000000005</v>
      </c>
      <c r="L307" s="139" t="str">
        <f>IF(E307="M"," ",K307/F307/Workhrs)</f>
        <v xml:space="preserve"> </v>
      </c>
      <c r="M307" s="139">
        <f t="shared" si="409"/>
        <v>0</v>
      </c>
      <c r="N307" s="139">
        <f t="shared" si="410"/>
        <v>1002.2400000000001</v>
      </c>
      <c r="O307" s="139">
        <f t="shared" si="411"/>
        <v>0</v>
      </c>
      <c r="P307" s="139">
        <f>IF($E307="S",$J307,0)</f>
        <v>0</v>
      </c>
      <c r="Q307" s="139">
        <f t="shared" si="412"/>
        <v>1002.2400000000001</v>
      </c>
      <c r="R307" s="156" t="s">
        <v>692</v>
      </c>
    </row>
    <row r="308" spans="1:18" ht="30" x14ac:dyDescent="0.35">
      <c r="B308" s="95">
        <v>3</v>
      </c>
      <c r="C308" s="6" t="s">
        <v>170</v>
      </c>
      <c r="F308" s="9"/>
      <c r="G308" s="9"/>
      <c r="H308" s="9"/>
      <c r="I308" s="9"/>
    </row>
    <row r="309" spans="1:18" x14ac:dyDescent="0.35">
      <c r="A309" s="27">
        <v>51.1</v>
      </c>
      <c r="B309" s="92">
        <v>4</v>
      </c>
      <c r="C309" s="19" t="s">
        <v>50</v>
      </c>
      <c r="D309" s="3" t="s">
        <v>26</v>
      </c>
      <c r="E309" s="27" t="str">
        <f>VLOOKUP(C309,Resources!B:D,3,FALSE)</f>
        <v>P</v>
      </c>
      <c r="F309" s="8">
        <v>1</v>
      </c>
      <c r="G309" s="97">
        <f>VLOOKUP($A309,'Model Inputs'!$A:$D,4,FALSE)</f>
        <v>0.97</v>
      </c>
      <c r="H309" s="8">
        <f>H305</f>
        <v>58</v>
      </c>
      <c r="I309" s="22">
        <f>VLOOKUP(C309,Resources!B:G,6,FALSE)</f>
        <v>135</v>
      </c>
      <c r="J309" s="139">
        <f t="shared" ref="J309:J311" si="413">(H309/(G309/F309))*I309</f>
        <v>8072.1649484536083</v>
      </c>
      <c r="K309" s="139">
        <f t="shared" ref="K309:K311" si="414">IF(E309="M",H309,(H309/(G309)*F309))</f>
        <v>59.793814432989691</v>
      </c>
      <c r="L309" s="139">
        <f>IF(E309="M"," ",K309/F309/Workhrs)</f>
        <v>6.6437571592210771</v>
      </c>
      <c r="M309" s="139">
        <f t="shared" ref="M309:M311" si="415">IF($E309="L",$J309,0)</f>
        <v>0</v>
      </c>
      <c r="N309" s="139">
        <f t="shared" ref="N309:N311" si="416">IF($E309="M",$J309,0)</f>
        <v>0</v>
      </c>
      <c r="O309" s="139">
        <f t="shared" ref="O309:O311" si="417">IF($E309="P",$J309,0)</f>
        <v>8072.1649484536083</v>
      </c>
      <c r="P309" s="139">
        <f>IF($E309="S",$J309,0)</f>
        <v>0</v>
      </c>
      <c r="Q309" s="139">
        <f t="shared" ref="Q309:Q311" si="418">SUM(M309:P309)</f>
        <v>8072.1649484536083</v>
      </c>
      <c r="R309" s="156">
        <v>81</v>
      </c>
    </row>
    <row r="310" spans="1:18" x14ac:dyDescent="0.35">
      <c r="A310" s="27"/>
      <c r="B310" s="92">
        <v>5</v>
      </c>
      <c r="C310" s="19" t="s">
        <v>8</v>
      </c>
      <c r="D310" s="3" t="s">
        <v>26</v>
      </c>
      <c r="E310" s="27" t="str">
        <f>VLOOKUP(C310,Resources!B:D,3,FALSE)</f>
        <v>L</v>
      </c>
      <c r="F310" s="8">
        <v>3</v>
      </c>
      <c r="G310" s="8">
        <f>G309</f>
        <v>0.97</v>
      </c>
      <c r="H310" s="8">
        <f>H305</f>
        <v>58</v>
      </c>
      <c r="I310" s="22">
        <f>VLOOKUP(C310,Resources!B:G,6,FALSE)</f>
        <v>42</v>
      </c>
      <c r="J310" s="139">
        <f t="shared" si="413"/>
        <v>7534.0206185567022</v>
      </c>
      <c r="K310" s="139">
        <f t="shared" si="414"/>
        <v>179.38144329896909</v>
      </c>
      <c r="L310" s="139">
        <f>IF(E310="M"," ",K310/F310/Workhrs)</f>
        <v>6.643757159221078</v>
      </c>
      <c r="M310" s="139">
        <f t="shared" si="415"/>
        <v>7534.0206185567022</v>
      </c>
      <c r="N310" s="139">
        <f t="shared" si="416"/>
        <v>0</v>
      </c>
      <c r="O310" s="139">
        <f t="shared" si="417"/>
        <v>0</v>
      </c>
      <c r="P310" s="139">
        <f>IF($E310="S",$J310,0)</f>
        <v>0</v>
      </c>
      <c r="Q310" s="139">
        <f t="shared" si="418"/>
        <v>7534.0206185567022</v>
      </c>
      <c r="R310" s="156">
        <v>81</v>
      </c>
    </row>
    <row r="311" spans="1:18" x14ac:dyDescent="0.35">
      <c r="A311" s="27"/>
      <c r="B311" s="92">
        <v>6</v>
      </c>
      <c r="C311" s="19" t="s">
        <v>83</v>
      </c>
      <c r="D311" s="3" t="s">
        <v>26</v>
      </c>
      <c r="E311" s="27" t="str">
        <f>VLOOKUP(C311,Resources!B:D,3,FALSE)</f>
        <v>P</v>
      </c>
      <c r="F311" s="8">
        <v>1</v>
      </c>
      <c r="G311" s="8">
        <f>G309</f>
        <v>0.97</v>
      </c>
      <c r="H311" s="8">
        <f>H305</f>
        <v>58</v>
      </c>
      <c r="I311" s="22">
        <f>VLOOKUP(C311,Resources!B:G,6,FALSE)</f>
        <v>3.5</v>
      </c>
      <c r="J311" s="139">
        <f t="shared" si="413"/>
        <v>209.27835051546393</v>
      </c>
      <c r="K311" s="139">
        <f t="shared" si="414"/>
        <v>59.793814432989691</v>
      </c>
      <c r="L311" s="139">
        <f>IF(E311="M"," ",K311/F311/Workhrs)</f>
        <v>6.6437571592210771</v>
      </c>
      <c r="M311" s="139">
        <f t="shared" si="415"/>
        <v>0</v>
      </c>
      <c r="N311" s="139">
        <f t="shared" si="416"/>
        <v>0</v>
      </c>
      <c r="O311" s="139">
        <f t="shared" si="417"/>
        <v>209.27835051546393</v>
      </c>
      <c r="P311" s="139">
        <f>IF($E311="S",$J311,0)</f>
        <v>0</v>
      </c>
      <c r="Q311" s="139">
        <f t="shared" si="418"/>
        <v>209.27835051546393</v>
      </c>
      <c r="R311" s="156">
        <v>81</v>
      </c>
    </row>
    <row r="312" spans="1:18" x14ac:dyDescent="0.35">
      <c r="C312" s="6" t="s">
        <v>402</v>
      </c>
      <c r="F312" s="9"/>
      <c r="G312" s="9"/>
      <c r="H312" s="9"/>
      <c r="I312" s="9"/>
    </row>
    <row r="313" spans="1:18" ht="30" x14ac:dyDescent="0.35">
      <c r="A313" s="26">
        <v>52</v>
      </c>
      <c r="B313" s="94" t="s">
        <v>171</v>
      </c>
      <c r="C313" s="1" t="s">
        <v>172</v>
      </c>
      <c r="D313" s="2" t="s">
        <v>45</v>
      </c>
      <c r="E313" s="24"/>
      <c r="F313" s="7"/>
      <c r="G313" s="7"/>
      <c r="H313" s="97">
        <f>VLOOKUP($A313,'Model Inputs'!$A:$D,4,FALSE)</f>
        <v>44</v>
      </c>
      <c r="I313" s="7"/>
      <c r="J313" s="138">
        <f>SUBTOTAL(9,J314:J319)</f>
        <v>17462.719999999998</v>
      </c>
      <c r="K313" s="138"/>
      <c r="L313" s="138">
        <f>ROUNDUP(MAX(L317:L319),0)</f>
        <v>6</v>
      </c>
      <c r="M313" s="138">
        <f t="shared" ref="M313" si="419">SUBTOTAL(9,M314:M319)</f>
        <v>6026.0869565217381</v>
      </c>
      <c r="N313" s="138">
        <f t="shared" ref="N313" si="420">SUBTOTAL(9,N314:N319)</f>
        <v>4812.7199999999993</v>
      </c>
      <c r="O313" s="138">
        <f t="shared" ref="O313" si="421">SUBTOTAL(9,O314:O319)</f>
        <v>6623.9130434782601</v>
      </c>
      <c r="P313" s="138">
        <f t="shared" ref="P313" si="422">SUBTOTAL(9,P314:P319)</f>
        <v>0</v>
      </c>
      <c r="Q313" s="138">
        <f t="shared" ref="Q313" si="423">SUBTOTAL(9,Q314:Q319)</f>
        <v>17462.719999999998</v>
      </c>
      <c r="R313" s="155"/>
    </row>
    <row r="314" spans="1:18" x14ac:dyDescent="0.35">
      <c r="A314" s="27"/>
      <c r="B314" s="92">
        <v>1</v>
      </c>
      <c r="C314" s="19" t="s">
        <v>406</v>
      </c>
      <c r="D314" s="3" t="s">
        <v>45</v>
      </c>
      <c r="E314" s="27" t="str">
        <f>VLOOKUP(C314,Resources!B:D,3,FALSE)</f>
        <v>M</v>
      </c>
      <c r="F314" s="8">
        <v>1</v>
      </c>
      <c r="G314" s="8">
        <v>1</v>
      </c>
      <c r="H314" s="8">
        <f>H313</f>
        <v>44</v>
      </c>
      <c r="I314" s="22">
        <f>VLOOKUP(C314,Resources!B:G,6,FALSE)</f>
        <v>92.1</v>
      </c>
      <c r="J314" s="139">
        <f t="shared" ref="J314:J315" si="424">(H314/(G314/F314))*I314</f>
        <v>4052.3999999999996</v>
      </c>
      <c r="K314" s="139">
        <f t="shared" ref="K314:K315" si="425">IF(E314="M",H314,(H314/(G314)*F314))</f>
        <v>44</v>
      </c>
      <c r="L314" s="139" t="str">
        <f>IF(E314="M"," ",K314/F314/Workhrs)</f>
        <v xml:space="preserve"> </v>
      </c>
      <c r="M314" s="139">
        <f t="shared" ref="M314:M315" si="426">IF($E314="L",$J314,0)</f>
        <v>0</v>
      </c>
      <c r="N314" s="139">
        <f t="shared" ref="N314:N315" si="427">IF($E314="M",$J314,0)</f>
        <v>4052.3999999999996</v>
      </c>
      <c r="O314" s="139">
        <f t="shared" ref="O314:O315" si="428">IF($E314="P",$J314,0)</f>
        <v>0</v>
      </c>
      <c r="P314" s="139">
        <f>IF($E314="S",$J314,0)</f>
        <v>0</v>
      </c>
      <c r="Q314" s="139">
        <f t="shared" ref="Q314:Q315" si="429">SUM(M314:P314)</f>
        <v>4052.3999999999996</v>
      </c>
      <c r="R314" s="156" t="s">
        <v>696</v>
      </c>
    </row>
    <row r="315" spans="1:18" x14ac:dyDescent="0.35">
      <c r="A315" s="27"/>
      <c r="B315" s="92">
        <v>2</v>
      </c>
      <c r="C315" s="19" t="s">
        <v>75</v>
      </c>
      <c r="D315" s="3" t="s">
        <v>54</v>
      </c>
      <c r="E315" s="27" t="str">
        <f>VLOOKUP(C315,Resources!B:D,3,FALSE)</f>
        <v>M</v>
      </c>
      <c r="F315" s="8">
        <v>1</v>
      </c>
      <c r="G315" s="8">
        <v>1</v>
      </c>
      <c r="H315" s="8">
        <f>H313*0.8*0.6*1.5</f>
        <v>31.68</v>
      </c>
      <c r="I315" s="22">
        <f>VLOOKUP(C315,Resources!B:G,6,FALSE)</f>
        <v>24</v>
      </c>
      <c r="J315" s="139">
        <f t="shared" si="424"/>
        <v>760.31999999999994</v>
      </c>
      <c r="K315" s="139">
        <f t="shared" si="425"/>
        <v>31.68</v>
      </c>
      <c r="L315" s="139" t="str">
        <f>IF(E315="M"," ",K315/F315/Workhrs)</f>
        <v xml:space="preserve"> </v>
      </c>
      <c r="M315" s="139">
        <f t="shared" si="426"/>
        <v>0</v>
      </c>
      <c r="N315" s="139">
        <f t="shared" si="427"/>
        <v>760.31999999999994</v>
      </c>
      <c r="O315" s="139">
        <f t="shared" si="428"/>
        <v>0</v>
      </c>
      <c r="P315" s="139">
        <f>IF($E315="S",$J315,0)</f>
        <v>0</v>
      </c>
      <c r="Q315" s="139">
        <f t="shared" si="429"/>
        <v>760.31999999999994</v>
      </c>
      <c r="R315" s="156" t="s">
        <v>692</v>
      </c>
    </row>
    <row r="316" spans="1:18" ht="30" x14ac:dyDescent="0.35">
      <c r="B316" s="95">
        <v>3</v>
      </c>
      <c r="C316" s="6" t="s">
        <v>173</v>
      </c>
      <c r="F316" s="9"/>
      <c r="G316" s="9"/>
      <c r="H316" s="9"/>
      <c r="I316" s="9"/>
    </row>
    <row r="317" spans="1:18" x14ac:dyDescent="0.35">
      <c r="A317" s="27">
        <v>52.2</v>
      </c>
      <c r="B317" s="92">
        <v>4</v>
      </c>
      <c r="C317" s="19" t="s">
        <v>50</v>
      </c>
      <c r="D317" s="3" t="s">
        <v>26</v>
      </c>
      <c r="E317" s="27" t="str">
        <f>VLOOKUP(C317,Resources!B:D,3,FALSE)</f>
        <v>P</v>
      </c>
      <c r="F317" s="8">
        <v>1</v>
      </c>
      <c r="G317" s="97">
        <f>VLOOKUP($A317,'Model Inputs'!$A:$D,4,FALSE)</f>
        <v>0.92</v>
      </c>
      <c r="H317" s="8">
        <f>H313</f>
        <v>44</v>
      </c>
      <c r="I317" s="22">
        <f>VLOOKUP(C317,Resources!B:G,6,FALSE)</f>
        <v>135</v>
      </c>
      <c r="J317" s="139">
        <f t="shared" ref="J317:J319" si="430">(H317/(G317/F317))*I317</f>
        <v>6456.5217391304341</v>
      </c>
      <c r="K317" s="139">
        <f t="shared" ref="K317:K319" si="431">IF(E317="M",H317,(H317/(G317)*F317))</f>
        <v>47.826086956521735</v>
      </c>
      <c r="L317" s="139">
        <f>IF(E317="M"," ",K317/F317/Workhrs)</f>
        <v>5.3140096618357484</v>
      </c>
      <c r="M317" s="139">
        <f t="shared" ref="M317:M319" si="432">IF($E317="L",$J317,0)</f>
        <v>0</v>
      </c>
      <c r="N317" s="139">
        <f t="shared" ref="N317:N319" si="433">IF($E317="M",$J317,0)</f>
        <v>0</v>
      </c>
      <c r="O317" s="139">
        <f t="shared" ref="O317:O319" si="434">IF($E317="P",$J317,0)</f>
        <v>6456.5217391304341</v>
      </c>
      <c r="P317" s="139">
        <f>IF($E317="S",$J317,0)</f>
        <v>0</v>
      </c>
      <c r="Q317" s="139">
        <f t="shared" ref="Q317:Q319" si="435">SUM(M317:P317)</f>
        <v>6456.5217391304341</v>
      </c>
      <c r="R317" s="156">
        <v>81</v>
      </c>
    </row>
    <row r="318" spans="1:18" x14ac:dyDescent="0.35">
      <c r="A318" s="27"/>
      <c r="B318" s="92">
        <v>5</v>
      </c>
      <c r="C318" s="19" t="s">
        <v>8</v>
      </c>
      <c r="D318" s="3" t="s">
        <v>26</v>
      </c>
      <c r="E318" s="27" t="str">
        <f>VLOOKUP(C318,Resources!B:D,3,FALSE)</f>
        <v>L</v>
      </c>
      <c r="F318" s="8">
        <v>3</v>
      </c>
      <c r="G318" s="8">
        <f>G317</f>
        <v>0.92</v>
      </c>
      <c r="H318" s="8">
        <f>H313</f>
        <v>44</v>
      </c>
      <c r="I318" s="22">
        <f>VLOOKUP(C318,Resources!B:G,6,FALSE)</f>
        <v>42</v>
      </c>
      <c r="J318" s="139">
        <f t="shared" si="430"/>
        <v>6026.0869565217381</v>
      </c>
      <c r="K318" s="139">
        <f t="shared" si="431"/>
        <v>143.47826086956519</v>
      </c>
      <c r="L318" s="139">
        <f>IF(E318="M"," ",K318/F318/Workhrs)</f>
        <v>5.3140096618357475</v>
      </c>
      <c r="M318" s="139">
        <f t="shared" si="432"/>
        <v>6026.0869565217381</v>
      </c>
      <c r="N318" s="139">
        <f t="shared" si="433"/>
        <v>0</v>
      </c>
      <c r="O318" s="139">
        <f t="shared" si="434"/>
        <v>0</v>
      </c>
      <c r="P318" s="139">
        <f>IF($E318="S",$J318,0)</f>
        <v>0</v>
      </c>
      <c r="Q318" s="139">
        <f t="shared" si="435"/>
        <v>6026.0869565217381</v>
      </c>
      <c r="R318" s="156">
        <v>81</v>
      </c>
    </row>
    <row r="319" spans="1:18" x14ac:dyDescent="0.35">
      <c r="A319" s="27"/>
      <c r="B319" s="92">
        <v>6</v>
      </c>
      <c r="C319" s="19" t="s">
        <v>83</v>
      </c>
      <c r="D319" s="3" t="s">
        <v>26</v>
      </c>
      <c r="E319" s="27" t="str">
        <f>VLOOKUP(C319,Resources!B:D,3,FALSE)</f>
        <v>P</v>
      </c>
      <c r="F319" s="8">
        <v>1</v>
      </c>
      <c r="G319" s="8">
        <f>G317</f>
        <v>0.92</v>
      </c>
      <c r="H319" s="8">
        <f>H313</f>
        <v>44</v>
      </c>
      <c r="I319" s="22">
        <f>VLOOKUP(C319,Resources!B:G,6,FALSE)</f>
        <v>3.5</v>
      </c>
      <c r="J319" s="139">
        <f t="shared" si="430"/>
        <v>167.39130434782606</v>
      </c>
      <c r="K319" s="139">
        <f t="shared" si="431"/>
        <v>47.826086956521735</v>
      </c>
      <c r="L319" s="139">
        <f>IF(E319="M"," ",K319/F319/Workhrs)</f>
        <v>5.3140096618357484</v>
      </c>
      <c r="M319" s="139">
        <f t="shared" si="432"/>
        <v>0</v>
      </c>
      <c r="N319" s="139">
        <f t="shared" si="433"/>
        <v>0</v>
      </c>
      <c r="O319" s="139">
        <f t="shared" si="434"/>
        <v>167.39130434782606</v>
      </c>
      <c r="P319" s="139">
        <f>IF($E319="S",$J319,0)</f>
        <v>0</v>
      </c>
      <c r="Q319" s="139">
        <f t="shared" si="435"/>
        <v>167.39130434782606</v>
      </c>
      <c r="R319" s="156">
        <v>81</v>
      </c>
    </row>
    <row r="320" spans="1:18" x14ac:dyDescent="0.35">
      <c r="C320" s="6" t="s">
        <v>402</v>
      </c>
      <c r="F320" s="9"/>
      <c r="G320" s="9"/>
      <c r="H320" s="9"/>
      <c r="I320" s="9"/>
    </row>
    <row r="321" spans="1:22" ht="30" x14ac:dyDescent="0.35">
      <c r="A321" s="26">
        <v>53</v>
      </c>
      <c r="B321" s="94" t="s">
        <v>174</v>
      </c>
      <c r="C321" s="1" t="s">
        <v>175</v>
      </c>
      <c r="D321" s="2" t="s">
        <v>57</v>
      </c>
      <c r="E321" s="24"/>
      <c r="F321" s="7"/>
      <c r="G321" s="7"/>
      <c r="H321" s="97">
        <f>VLOOKUP($A321,'Model Inputs'!$A:$D,4,FALSE)</f>
        <v>57</v>
      </c>
      <c r="I321" s="7"/>
      <c r="J321" s="138">
        <f>SUBTOTAL(9,J325:J441)</f>
        <v>28611.019644444434</v>
      </c>
      <c r="K321" s="138"/>
      <c r="L321" s="138"/>
      <c r="M321" s="138">
        <f t="shared" ref="M321:Q321" si="436">SUBTOTAL(9,M325:M441)</f>
        <v>0</v>
      </c>
      <c r="N321" s="138">
        <f t="shared" si="436"/>
        <v>19339.219644444438</v>
      </c>
      <c r="O321" s="138">
        <f t="shared" si="436"/>
        <v>0</v>
      </c>
      <c r="P321" s="138">
        <f t="shared" si="436"/>
        <v>9271.8000000000011</v>
      </c>
      <c r="Q321" s="138">
        <f t="shared" si="436"/>
        <v>28611.019644444434</v>
      </c>
      <c r="R321" s="155"/>
    </row>
    <row r="322" spans="1:22" s="90" customFormat="1" x14ac:dyDescent="0.35">
      <c r="A322" s="26"/>
      <c r="B322" s="94"/>
      <c r="C322" s="14"/>
      <c r="D322" s="15"/>
      <c r="E322" s="24"/>
      <c r="F322" s="21"/>
      <c r="G322" s="21"/>
      <c r="H322" s="21"/>
      <c r="I322" s="21"/>
      <c r="J322" s="138"/>
      <c r="K322" s="138"/>
      <c r="L322" s="138"/>
      <c r="M322" s="138"/>
      <c r="N322" s="138"/>
      <c r="O322" s="138"/>
      <c r="P322" s="138"/>
      <c r="Q322" s="138"/>
      <c r="R322" s="155"/>
      <c r="T322" s="247"/>
      <c r="U322"/>
      <c r="V322" s="277"/>
    </row>
    <row r="323" spans="1:22" s="90" customFormat="1" x14ac:dyDescent="0.35">
      <c r="A323" s="26">
        <v>54</v>
      </c>
      <c r="B323" s="94">
        <v>1</v>
      </c>
      <c r="C323" s="14" t="s">
        <v>176</v>
      </c>
      <c r="D323" s="15"/>
      <c r="E323" s="24"/>
      <c r="F323" s="21"/>
      <c r="G323" s="21"/>
      <c r="H323" s="21"/>
      <c r="I323" s="21"/>
      <c r="J323" s="138">
        <f>SUBTOTAL(9,J325:J329)</f>
        <v>666.53511111111118</v>
      </c>
      <c r="K323" s="138"/>
      <c r="L323" s="138">
        <f>ROUNDUP(MAX(L325:L329),0)+1</f>
        <v>2</v>
      </c>
      <c r="M323" s="138">
        <f t="shared" ref="M323:Q323" si="437">SUBTOTAL(9,M325:M329)</f>
        <v>0</v>
      </c>
      <c r="N323" s="138">
        <f t="shared" si="437"/>
        <v>450.53511111111118</v>
      </c>
      <c r="O323" s="138">
        <f t="shared" si="437"/>
        <v>0</v>
      </c>
      <c r="P323" s="138">
        <f t="shared" si="437"/>
        <v>216</v>
      </c>
      <c r="Q323" s="138">
        <f t="shared" si="437"/>
        <v>666.53511111111118</v>
      </c>
      <c r="R323" s="155"/>
      <c r="T323" s="247"/>
      <c r="U323"/>
      <c r="V323" s="277"/>
    </row>
    <row r="324" spans="1:22" x14ac:dyDescent="0.35">
      <c r="A324" s="27">
        <v>54.1</v>
      </c>
      <c r="B324" s="92">
        <v>2</v>
      </c>
      <c r="C324" s="5" t="s">
        <v>704</v>
      </c>
      <c r="D324" s="16" t="s">
        <v>110</v>
      </c>
      <c r="E324" s="27"/>
      <c r="F324" s="8"/>
      <c r="G324" s="8"/>
      <c r="H324" s="97">
        <f>VLOOKUP($A324,'Model Inputs'!$A:$D,4,FALSE)</f>
        <v>8</v>
      </c>
      <c r="I324" s="8"/>
      <c r="J324" s="139"/>
      <c r="K324" s="139"/>
      <c r="L324" s="139"/>
      <c r="M324" s="139"/>
      <c r="N324" s="139"/>
      <c r="O324" s="139"/>
      <c r="P324" s="139"/>
      <c r="Q324" s="139"/>
      <c r="R324" s="156"/>
    </row>
    <row r="325" spans="1:22" x14ac:dyDescent="0.35">
      <c r="A325" s="27"/>
      <c r="B325" s="92">
        <v>3</v>
      </c>
      <c r="C325" s="19" t="s">
        <v>75</v>
      </c>
      <c r="D325" s="3" t="s">
        <v>54</v>
      </c>
      <c r="E325" s="27" t="str">
        <f>VLOOKUP(C325,Resources!B:D,3,FALSE)</f>
        <v>M</v>
      </c>
      <c r="F325" s="8">
        <v>1</v>
      </c>
      <c r="G325" s="8">
        <v>1</v>
      </c>
      <c r="H325" s="8">
        <f>H324*0.1</f>
        <v>0.8</v>
      </c>
      <c r="I325" s="22">
        <f>VLOOKUP(C325,Resources!B:G,6,FALSE)</f>
        <v>24</v>
      </c>
      <c r="J325" s="139">
        <f t="shared" ref="J325:J329" si="438">(H325/(G325/F325))*I325</f>
        <v>19.200000000000003</v>
      </c>
      <c r="K325" s="139">
        <f t="shared" ref="K325:K329" si="439">IF(E325="M",H325,(H325/(G325)*F325))</f>
        <v>0.8</v>
      </c>
      <c r="L325" s="139" t="str">
        <f>IF(E325="M"," ",K325/F325/Workhrs)</f>
        <v xml:space="preserve"> </v>
      </c>
      <c r="M325" s="139">
        <f t="shared" ref="M325:M329" si="440">IF($E325="L",$J325,0)</f>
        <v>0</v>
      </c>
      <c r="N325" s="139">
        <f t="shared" ref="N325:N329" si="441">IF($E325="M",$J325,0)</f>
        <v>19.200000000000003</v>
      </c>
      <c r="O325" s="139">
        <f t="shared" ref="O325:O329" si="442">IF($E325="P",$J325,0)</f>
        <v>0</v>
      </c>
      <c r="P325" s="139">
        <f>IF($E325="S",$J325,0)</f>
        <v>0</v>
      </c>
      <c r="Q325" s="139">
        <f t="shared" ref="Q325:Q329" si="443">SUM(M325:P325)</f>
        <v>19.200000000000003</v>
      </c>
      <c r="R325" s="156" t="s">
        <v>692</v>
      </c>
    </row>
    <row r="326" spans="1:22" x14ac:dyDescent="0.35">
      <c r="A326" s="27"/>
      <c r="B326" s="92">
        <v>4</v>
      </c>
      <c r="C326" s="19" t="s">
        <v>120</v>
      </c>
      <c r="D326" s="3" t="s">
        <v>110</v>
      </c>
      <c r="E326" s="27" t="str">
        <f>VLOOKUP(C326,Resources!B:D,3,FALSE)</f>
        <v>M</v>
      </c>
      <c r="F326" s="8">
        <v>1</v>
      </c>
      <c r="G326" s="8">
        <v>1</v>
      </c>
      <c r="H326" s="8">
        <f>H324*1.2</f>
        <v>9.6</v>
      </c>
      <c r="I326" s="22">
        <f>VLOOKUP(C326,Resources!B:G,6,FALSE)</f>
        <v>9.1</v>
      </c>
      <c r="J326" s="139">
        <f t="shared" si="438"/>
        <v>87.36</v>
      </c>
      <c r="K326" s="139">
        <f t="shared" si="439"/>
        <v>9.6</v>
      </c>
      <c r="L326" s="139" t="str">
        <f>IF(E326="M"," ",K326/F326/Workhrs)</f>
        <v xml:space="preserve"> </v>
      </c>
      <c r="M326" s="139">
        <f t="shared" si="440"/>
        <v>0</v>
      </c>
      <c r="N326" s="139">
        <f t="shared" si="441"/>
        <v>87.36</v>
      </c>
      <c r="O326" s="139">
        <f t="shared" si="442"/>
        <v>0</v>
      </c>
      <c r="P326" s="139">
        <f>IF($E326="S",$J326,0)</f>
        <v>0</v>
      </c>
      <c r="Q326" s="139">
        <f t="shared" si="443"/>
        <v>87.36</v>
      </c>
      <c r="R326" s="156" t="s">
        <v>695</v>
      </c>
    </row>
    <row r="327" spans="1:22" x14ac:dyDescent="0.35">
      <c r="A327" s="27"/>
      <c r="B327" s="92">
        <v>5</v>
      </c>
      <c r="C327" s="19" t="s">
        <v>124</v>
      </c>
      <c r="D327" s="3" t="s">
        <v>23</v>
      </c>
      <c r="E327" s="27" t="str">
        <f>VLOOKUP(C327,Resources!B:D,3,FALSE)</f>
        <v>M</v>
      </c>
      <c r="F327" s="8">
        <v>1</v>
      </c>
      <c r="G327" s="8">
        <v>1</v>
      </c>
      <c r="H327" s="8">
        <f>H324/0.9</f>
        <v>8.8888888888888893</v>
      </c>
      <c r="I327" s="22">
        <f>VLOOKUP(C327,Resources!B:G,6,FALSE)</f>
        <v>0.8</v>
      </c>
      <c r="J327" s="139">
        <f t="shared" si="438"/>
        <v>7.1111111111111116</v>
      </c>
      <c r="K327" s="139">
        <f t="shared" si="439"/>
        <v>8.8888888888888893</v>
      </c>
      <c r="L327" s="139" t="str">
        <f>IF(E327="M"," ",K327/F327/Workhrs)</f>
        <v xml:space="preserve"> </v>
      </c>
      <c r="M327" s="139">
        <f t="shared" si="440"/>
        <v>0</v>
      </c>
      <c r="N327" s="139">
        <f t="shared" si="441"/>
        <v>7.1111111111111116</v>
      </c>
      <c r="O327" s="139">
        <f t="shared" si="442"/>
        <v>0</v>
      </c>
      <c r="P327" s="139">
        <f>IF($E327="S",$J327,0)</f>
        <v>0</v>
      </c>
      <c r="Q327" s="139">
        <f t="shared" si="443"/>
        <v>7.1111111111111116</v>
      </c>
      <c r="R327" s="156" t="s">
        <v>695</v>
      </c>
    </row>
    <row r="328" spans="1:22" x14ac:dyDescent="0.35">
      <c r="A328" s="27"/>
      <c r="B328" s="92">
        <v>6</v>
      </c>
      <c r="C328" s="19" t="s">
        <v>177</v>
      </c>
      <c r="D328" s="3" t="s">
        <v>74</v>
      </c>
      <c r="E328" s="27" t="str">
        <f>VLOOKUP(C328,Resources!B:D,3,FALSE)</f>
        <v>M</v>
      </c>
      <c r="F328" s="8">
        <v>1</v>
      </c>
      <c r="G328" s="8">
        <v>1</v>
      </c>
      <c r="H328" s="8">
        <f>H324*0.22*1.1</f>
        <v>1.9360000000000002</v>
      </c>
      <c r="I328" s="22">
        <f>VLOOKUP(C328,Resources!B:G,6,FALSE)</f>
        <v>174</v>
      </c>
      <c r="J328" s="139">
        <f t="shared" si="438"/>
        <v>336.86400000000003</v>
      </c>
      <c r="K328" s="139">
        <f t="shared" si="439"/>
        <v>1.9360000000000002</v>
      </c>
      <c r="L328" s="139" t="str">
        <f>IF(E328="M"," ",K328/F328/Workhrs)</f>
        <v xml:space="preserve"> </v>
      </c>
      <c r="M328" s="139">
        <f t="shared" si="440"/>
        <v>0</v>
      </c>
      <c r="N328" s="139">
        <f t="shared" si="441"/>
        <v>336.86400000000003</v>
      </c>
      <c r="O328" s="139">
        <f t="shared" si="442"/>
        <v>0</v>
      </c>
      <c r="P328" s="139">
        <f>IF($E328="S",$J328,0)</f>
        <v>0</v>
      </c>
      <c r="Q328" s="139">
        <f t="shared" si="443"/>
        <v>336.86400000000003</v>
      </c>
      <c r="R328" s="156" t="s">
        <v>697</v>
      </c>
    </row>
    <row r="329" spans="1:22" x14ac:dyDescent="0.35">
      <c r="A329" s="27"/>
      <c r="B329" s="92">
        <v>7</v>
      </c>
      <c r="C329" s="19" t="s">
        <v>125</v>
      </c>
      <c r="D329" s="3" t="s">
        <v>110</v>
      </c>
      <c r="E329" s="27" t="str">
        <f>VLOOKUP(C329,Resources!B:D,3,FALSE)</f>
        <v>S</v>
      </c>
      <c r="F329" s="8">
        <v>1</v>
      </c>
      <c r="G329" s="8">
        <v>1</v>
      </c>
      <c r="H329" s="8">
        <f>H324</f>
        <v>8</v>
      </c>
      <c r="I329" s="22">
        <f>VLOOKUP(C329,Resources!B:G,6,FALSE)</f>
        <v>27</v>
      </c>
      <c r="J329" s="139">
        <f t="shared" si="438"/>
        <v>216</v>
      </c>
      <c r="K329" s="139">
        <f t="shared" si="439"/>
        <v>8</v>
      </c>
      <c r="L329" s="139">
        <f>IF(E329="M"," ",K329/F329/Workhrs)</f>
        <v>0.88888888888888884</v>
      </c>
      <c r="M329" s="139">
        <f t="shared" si="440"/>
        <v>0</v>
      </c>
      <c r="N329" s="139">
        <f t="shared" si="441"/>
        <v>0</v>
      </c>
      <c r="O329" s="139">
        <f t="shared" si="442"/>
        <v>0</v>
      </c>
      <c r="P329" s="139">
        <f>IF($E329="S",$J329,0)</f>
        <v>216</v>
      </c>
      <c r="Q329" s="139">
        <f t="shared" si="443"/>
        <v>216</v>
      </c>
      <c r="R329" s="156">
        <v>182</v>
      </c>
    </row>
    <row r="330" spans="1:22" x14ac:dyDescent="0.35">
      <c r="B330" s="95">
        <v>8</v>
      </c>
      <c r="C330" s="6" t="s">
        <v>402</v>
      </c>
      <c r="F330" s="9"/>
      <c r="G330" s="9"/>
      <c r="H330" s="9"/>
      <c r="I330" s="9"/>
    </row>
    <row r="331" spans="1:22" s="90" customFormat="1" x14ac:dyDescent="0.35">
      <c r="A331" s="26">
        <v>55</v>
      </c>
      <c r="B331" s="94">
        <v>9</v>
      </c>
      <c r="C331" s="14" t="s">
        <v>178</v>
      </c>
      <c r="D331" s="15"/>
      <c r="E331" s="24"/>
      <c r="F331" s="21"/>
      <c r="G331" s="21"/>
      <c r="H331" s="21"/>
      <c r="I331" s="21"/>
      <c r="J331" s="138">
        <f>SUBTOTAL(9,J333:J337)</f>
        <v>666.53511111111118</v>
      </c>
      <c r="K331" s="138"/>
      <c r="L331" s="138">
        <f>ROUNDUP(MAX(L333:L337),0)+1</f>
        <v>2</v>
      </c>
      <c r="M331" s="138">
        <f t="shared" ref="M331:Q331" si="444">SUBTOTAL(9,M333:M337)</f>
        <v>0</v>
      </c>
      <c r="N331" s="138">
        <f t="shared" si="444"/>
        <v>450.53511111111118</v>
      </c>
      <c r="O331" s="138">
        <f t="shared" si="444"/>
        <v>0</v>
      </c>
      <c r="P331" s="138">
        <f t="shared" si="444"/>
        <v>216</v>
      </c>
      <c r="Q331" s="138">
        <f t="shared" si="444"/>
        <v>666.53511111111118</v>
      </c>
      <c r="R331" s="155"/>
      <c r="T331" s="247"/>
      <c r="U331"/>
      <c r="V331" s="277"/>
    </row>
    <row r="332" spans="1:22" x14ac:dyDescent="0.35">
      <c r="A332" s="27">
        <v>55.1</v>
      </c>
      <c r="B332" s="92">
        <v>10</v>
      </c>
      <c r="C332" s="5" t="s">
        <v>704</v>
      </c>
      <c r="D332" s="16" t="s">
        <v>110</v>
      </c>
      <c r="E332" s="27"/>
      <c r="F332" s="8"/>
      <c r="G332" s="8"/>
      <c r="H332" s="97">
        <f>VLOOKUP($A332,'Model Inputs'!$A:$D,4,FALSE)</f>
        <v>8</v>
      </c>
      <c r="I332" s="8"/>
      <c r="J332" s="139"/>
      <c r="K332" s="139"/>
      <c r="L332" s="139"/>
      <c r="M332" s="139"/>
      <c r="N332" s="139"/>
      <c r="O332" s="139"/>
      <c r="P332" s="139"/>
      <c r="Q332" s="139"/>
      <c r="R332" s="156"/>
    </row>
    <row r="333" spans="1:22" x14ac:dyDescent="0.35">
      <c r="A333" s="27"/>
      <c r="B333" s="92">
        <v>11</v>
      </c>
      <c r="C333" s="19" t="s">
        <v>75</v>
      </c>
      <c r="D333" s="3" t="s">
        <v>54</v>
      </c>
      <c r="E333" s="27" t="str">
        <f>VLOOKUP(C333,Resources!B:D,3,FALSE)</f>
        <v>M</v>
      </c>
      <c r="F333" s="8">
        <v>1</v>
      </c>
      <c r="G333" s="8">
        <v>1</v>
      </c>
      <c r="H333" s="22">
        <f>H332*0.1</f>
        <v>0.8</v>
      </c>
      <c r="I333" s="22">
        <f>VLOOKUP(C333,Resources!B:G,6,FALSE)</f>
        <v>24</v>
      </c>
      <c r="J333" s="139">
        <f t="shared" ref="J333:J337" si="445">(H333/(G333/F333))*I333</f>
        <v>19.200000000000003</v>
      </c>
      <c r="K333" s="139">
        <f t="shared" ref="K333:K337" si="446">IF(E333="M",H333,(H333/(G333)*F333))</f>
        <v>0.8</v>
      </c>
      <c r="L333" s="139" t="str">
        <f>IF(E333="M"," ",K333/F333/Workhrs)</f>
        <v xml:space="preserve"> </v>
      </c>
      <c r="M333" s="139">
        <f t="shared" ref="M333:M337" si="447">IF($E333="L",$J333,0)</f>
        <v>0</v>
      </c>
      <c r="N333" s="139">
        <f t="shared" ref="N333:N337" si="448">IF($E333="M",$J333,0)</f>
        <v>19.200000000000003</v>
      </c>
      <c r="O333" s="139">
        <f t="shared" ref="O333:O337" si="449">IF($E333="P",$J333,0)</f>
        <v>0</v>
      </c>
      <c r="P333" s="139">
        <f>IF($E333="S",$J333,0)</f>
        <v>0</v>
      </c>
      <c r="Q333" s="139">
        <f t="shared" ref="Q333:Q337" si="450">SUM(M333:P333)</f>
        <v>19.200000000000003</v>
      </c>
      <c r="R333" s="156" t="s">
        <v>692</v>
      </c>
    </row>
    <row r="334" spans="1:22" x14ac:dyDescent="0.35">
      <c r="A334" s="27"/>
      <c r="B334" s="92">
        <v>12</v>
      </c>
      <c r="C334" s="19" t="s">
        <v>120</v>
      </c>
      <c r="D334" s="3" t="s">
        <v>110</v>
      </c>
      <c r="E334" s="27" t="str">
        <f>VLOOKUP(C334,Resources!B:D,3,FALSE)</f>
        <v>M</v>
      </c>
      <c r="F334" s="8">
        <v>1</v>
      </c>
      <c r="G334" s="8">
        <v>1</v>
      </c>
      <c r="H334" s="22">
        <f>H332*1.2</f>
        <v>9.6</v>
      </c>
      <c r="I334" s="22">
        <f>VLOOKUP(C334,Resources!B:G,6,FALSE)</f>
        <v>9.1</v>
      </c>
      <c r="J334" s="139">
        <f t="shared" si="445"/>
        <v>87.36</v>
      </c>
      <c r="K334" s="139">
        <f t="shared" si="446"/>
        <v>9.6</v>
      </c>
      <c r="L334" s="139" t="str">
        <f>IF(E334="M"," ",K334/F334/Workhrs)</f>
        <v xml:space="preserve"> </v>
      </c>
      <c r="M334" s="139">
        <f t="shared" si="447"/>
        <v>0</v>
      </c>
      <c r="N334" s="139">
        <f t="shared" si="448"/>
        <v>87.36</v>
      </c>
      <c r="O334" s="139">
        <f t="shared" si="449"/>
        <v>0</v>
      </c>
      <c r="P334" s="139">
        <f>IF($E334="S",$J334,0)</f>
        <v>0</v>
      </c>
      <c r="Q334" s="139">
        <f t="shared" si="450"/>
        <v>87.36</v>
      </c>
      <c r="R334" s="156" t="s">
        <v>695</v>
      </c>
    </row>
    <row r="335" spans="1:22" x14ac:dyDescent="0.35">
      <c r="A335" s="27"/>
      <c r="B335" s="92">
        <v>13</v>
      </c>
      <c r="C335" s="19" t="s">
        <v>124</v>
      </c>
      <c r="D335" s="3" t="s">
        <v>23</v>
      </c>
      <c r="E335" s="27" t="str">
        <f>VLOOKUP(C335,Resources!B:D,3,FALSE)</f>
        <v>M</v>
      </c>
      <c r="F335" s="8">
        <v>1</v>
      </c>
      <c r="G335" s="8">
        <v>1</v>
      </c>
      <c r="H335" s="22">
        <f>H332/0.9</f>
        <v>8.8888888888888893</v>
      </c>
      <c r="I335" s="22">
        <f>VLOOKUP(C335,Resources!B:G,6,FALSE)</f>
        <v>0.8</v>
      </c>
      <c r="J335" s="139">
        <f t="shared" si="445"/>
        <v>7.1111111111111116</v>
      </c>
      <c r="K335" s="139">
        <f t="shared" si="446"/>
        <v>8.8888888888888893</v>
      </c>
      <c r="L335" s="139" t="str">
        <f>IF(E335="M"," ",K335/F335/Workhrs)</f>
        <v xml:space="preserve"> </v>
      </c>
      <c r="M335" s="139">
        <f t="shared" si="447"/>
        <v>0</v>
      </c>
      <c r="N335" s="139">
        <f t="shared" si="448"/>
        <v>7.1111111111111116</v>
      </c>
      <c r="O335" s="139">
        <f t="shared" si="449"/>
        <v>0</v>
      </c>
      <c r="P335" s="139">
        <f>IF($E335="S",$J335,0)</f>
        <v>0</v>
      </c>
      <c r="Q335" s="139">
        <f t="shared" si="450"/>
        <v>7.1111111111111116</v>
      </c>
      <c r="R335" s="156" t="s">
        <v>695</v>
      </c>
    </row>
    <row r="336" spans="1:22" x14ac:dyDescent="0.35">
      <c r="A336" s="27"/>
      <c r="B336" s="92">
        <v>14</v>
      </c>
      <c r="C336" s="19" t="s">
        <v>177</v>
      </c>
      <c r="D336" s="3" t="s">
        <v>74</v>
      </c>
      <c r="E336" s="27" t="str">
        <f>VLOOKUP(C336,Resources!B:D,3,FALSE)</f>
        <v>M</v>
      </c>
      <c r="F336" s="8">
        <v>1</v>
      </c>
      <c r="G336" s="8">
        <v>1</v>
      </c>
      <c r="H336" s="22">
        <f>H332*0.22*1.1</f>
        <v>1.9360000000000002</v>
      </c>
      <c r="I336" s="22">
        <f>VLOOKUP(C336,Resources!B:G,6,FALSE)</f>
        <v>174</v>
      </c>
      <c r="J336" s="139">
        <f t="shared" si="445"/>
        <v>336.86400000000003</v>
      </c>
      <c r="K336" s="139">
        <f t="shared" si="446"/>
        <v>1.9360000000000002</v>
      </c>
      <c r="L336" s="139" t="str">
        <f>IF(E336="M"," ",K336/F336/Workhrs)</f>
        <v xml:space="preserve"> </v>
      </c>
      <c r="M336" s="139">
        <f t="shared" si="447"/>
        <v>0</v>
      </c>
      <c r="N336" s="139">
        <f t="shared" si="448"/>
        <v>336.86400000000003</v>
      </c>
      <c r="O336" s="139">
        <f t="shared" si="449"/>
        <v>0</v>
      </c>
      <c r="P336" s="139">
        <f>IF($E336="S",$J336,0)</f>
        <v>0</v>
      </c>
      <c r="Q336" s="139">
        <f t="shared" si="450"/>
        <v>336.86400000000003</v>
      </c>
      <c r="R336" s="156" t="s">
        <v>697</v>
      </c>
    </row>
    <row r="337" spans="1:22" x14ac:dyDescent="0.35">
      <c r="A337" s="27"/>
      <c r="B337" s="92">
        <v>15</v>
      </c>
      <c r="C337" s="19" t="s">
        <v>125</v>
      </c>
      <c r="D337" s="3" t="s">
        <v>110</v>
      </c>
      <c r="E337" s="27" t="str">
        <f>VLOOKUP(C337,Resources!B:D,3,FALSE)</f>
        <v>S</v>
      </c>
      <c r="F337" s="8">
        <v>1</v>
      </c>
      <c r="G337" s="8">
        <v>1</v>
      </c>
      <c r="H337" s="22">
        <f>H332</f>
        <v>8</v>
      </c>
      <c r="I337" s="22">
        <f>VLOOKUP(C337,Resources!B:G,6,FALSE)</f>
        <v>27</v>
      </c>
      <c r="J337" s="139">
        <f t="shared" si="445"/>
        <v>216</v>
      </c>
      <c r="K337" s="139">
        <f t="shared" si="446"/>
        <v>8</v>
      </c>
      <c r="L337" s="139">
        <f>IF(E337="M"," ",K337/F337/Workhrs)</f>
        <v>0.88888888888888884</v>
      </c>
      <c r="M337" s="139">
        <f t="shared" si="447"/>
        <v>0</v>
      </c>
      <c r="N337" s="139">
        <f t="shared" si="448"/>
        <v>0</v>
      </c>
      <c r="O337" s="139">
        <f t="shared" si="449"/>
        <v>0</v>
      </c>
      <c r="P337" s="139">
        <f>IF($E337="S",$J337,0)</f>
        <v>216</v>
      </c>
      <c r="Q337" s="139">
        <f t="shared" si="450"/>
        <v>216</v>
      </c>
      <c r="R337" s="156">
        <v>182</v>
      </c>
    </row>
    <row r="338" spans="1:22" x14ac:dyDescent="0.35">
      <c r="B338" s="95">
        <v>16</v>
      </c>
      <c r="C338" s="6" t="s">
        <v>402</v>
      </c>
      <c r="F338" s="9"/>
      <c r="G338" s="9"/>
      <c r="H338" s="9"/>
      <c r="I338" s="9"/>
    </row>
    <row r="339" spans="1:22" s="90" customFormat="1" x14ac:dyDescent="0.35">
      <c r="A339" s="26">
        <v>56</v>
      </c>
      <c r="B339" s="94">
        <v>17</v>
      </c>
      <c r="C339" s="14" t="s">
        <v>179</v>
      </c>
      <c r="D339" s="15"/>
      <c r="E339" s="24"/>
      <c r="F339" s="21"/>
      <c r="G339" s="21"/>
      <c r="H339" s="21"/>
      <c r="I339" s="21"/>
      <c r="J339" s="138">
        <f>SUBTOTAL(9,J341:J345)</f>
        <v>1499.704</v>
      </c>
      <c r="K339" s="138"/>
      <c r="L339" s="138">
        <f>ROUNDUP(MAX(L341:L345),0)+1</f>
        <v>3</v>
      </c>
      <c r="M339" s="138">
        <f t="shared" ref="M339:Q339" si="451">SUBTOTAL(9,M341:M345)</f>
        <v>0</v>
      </c>
      <c r="N339" s="138">
        <f t="shared" si="451"/>
        <v>1013.704</v>
      </c>
      <c r="O339" s="138">
        <f t="shared" si="451"/>
        <v>0</v>
      </c>
      <c r="P339" s="138">
        <f t="shared" si="451"/>
        <v>486</v>
      </c>
      <c r="Q339" s="138">
        <f t="shared" si="451"/>
        <v>1499.704</v>
      </c>
      <c r="R339" s="155"/>
      <c r="T339" s="247"/>
      <c r="U339"/>
      <c r="V339" s="277"/>
    </row>
    <row r="340" spans="1:22" x14ac:dyDescent="0.35">
      <c r="A340" s="27">
        <v>56.1</v>
      </c>
      <c r="B340" s="92">
        <v>18</v>
      </c>
      <c r="C340" s="5" t="s">
        <v>704</v>
      </c>
      <c r="D340" s="16" t="s">
        <v>110</v>
      </c>
      <c r="E340" s="27"/>
      <c r="F340" s="8"/>
      <c r="G340" s="8"/>
      <c r="H340" s="97">
        <f>VLOOKUP($A340,'Model Inputs'!$A:$D,4,FALSE)</f>
        <v>18</v>
      </c>
      <c r="I340" s="8"/>
      <c r="J340" s="139"/>
      <c r="K340" s="139"/>
      <c r="L340" s="139"/>
      <c r="M340" s="139"/>
      <c r="N340" s="139"/>
      <c r="O340" s="139"/>
      <c r="P340" s="139"/>
      <c r="Q340" s="139"/>
      <c r="R340" s="156"/>
    </row>
    <row r="341" spans="1:22" x14ac:dyDescent="0.35">
      <c r="A341" s="27"/>
      <c r="B341" s="92">
        <v>19</v>
      </c>
      <c r="C341" s="19" t="s">
        <v>75</v>
      </c>
      <c r="D341" s="3" t="s">
        <v>54</v>
      </c>
      <c r="E341" s="27" t="str">
        <f>VLOOKUP(C341,Resources!B:D,3,FALSE)</f>
        <v>M</v>
      </c>
      <c r="F341" s="8">
        <v>1</v>
      </c>
      <c r="G341" s="8">
        <v>1</v>
      </c>
      <c r="H341" s="22">
        <f>H340*0.1</f>
        <v>1.8</v>
      </c>
      <c r="I341" s="22">
        <f>VLOOKUP(C341,Resources!B:G,6,FALSE)</f>
        <v>24</v>
      </c>
      <c r="J341" s="139">
        <f t="shared" ref="J341:J345" si="452">(H341/(G341/F341))*I341</f>
        <v>43.2</v>
      </c>
      <c r="K341" s="139">
        <f t="shared" ref="K341:K345" si="453">IF(E341="M",H341,(H341/(G341)*F341))</f>
        <v>1.8</v>
      </c>
      <c r="L341" s="139" t="str">
        <f>IF(E341="M"," ",K341/F341/Workhrs)</f>
        <v xml:space="preserve"> </v>
      </c>
      <c r="M341" s="139">
        <f t="shared" ref="M341:M345" si="454">IF($E341="L",$J341,0)</f>
        <v>0</v>
      </c>
      <c r="N341" s="139">
        <f t="shared" ref="N341:N345" si="455">IF($E341="M",$J341,0)</f>
        <v>43.2</v>
      </c>
      <c r="O341" s="139">
        <f t="shared" ref="O341:O345" si="456">IF($E341="P",$J341,0)</f>
        <v>0</v>
      </c>
      <c r="P341" s="139">
        <f>IF($E341="S",$J341,0)</f>
        <v>0</v>
      </c>
      <c r="Q341" s="139">
        <f t="shared" ref="Q341:Q345" si="457">SUM(M341:P341)</f>
        <v>43.2</v>
      </c>
      <c r="R341" s="156" t="s">
        <v>692</v>
      </c>
    </row>
    <row r="342" spans="1:22" x14ac:dyDescent="0.35">
      <c r="A342" s="27"/>
      <c r="B342" s="92">
        <v>20</v>
      </c>
      <c r="C342" s="19" t="s">
        <v>120</v>
      </c>
      <c r="D342" s="3" t="s">
        <v>110</v>
      </c>
      <c r="E342" s="27" t="str">
        <f>VLOOKUP(C342,Resources!B:D,3,FALSE)</f>
        <v>M</v>
      </c>
      <c r="F342" s="8">
        <v>1</v>
      </c>
      <c r="G342" s="8">
        <v>1</v>
      </c>
      <c r="H342" s="22">
        <f>H340*1.2</f>
        <v>21.599999999999998</v>
      </c>
      <c r="I342" s="22">
        <f>VLOOKUP(C342,Resources!B:G,6,FALSE)</f>
        <v>9.1</v>
      </c>
      <c r="J342" s="139">
        <f t="shared" si="452"/>
        <v>196.55999999999997</v>
      </c>
      <c r="K342" s="139">
        <f t="shared" si="453"/>
        <v>21.599999999999998</v>
      </c>
      <c r="L342" s="139" t="str">
        <f>IF(E342="M"," ",K342/F342/Workhrs)</f>
        <v xml:space="preserve"> </v>
      </c>
      <c r="M342" s="139">
        <f t="shared" si="454"/>
        <v>0</v>
      </c>
      <c r="N342" s="139">
        <f t="shared" si="455"/>
        <v>196.55999999999997</v>
      </c>
      <c r="O342" s="139">
        <f t="shared" si="456"/>
        <v>0</v>
      </c>
      <c r="P342" s="139">
        <f>IF($E342="S",$J342,0)</f>
        <v>0</v>
      </c>
      <c r="Q342" s="139">
        <f t="shared" si="457"/>
        <v>196.55999999999997</v>
      </c>
      <c r="R342" s="156" t="s">
        <v>695</v>
      </c>
    </row>
    <row r="343" spans="1:22" x14ac:dyDescent="0.35">
      <c r="A343" s="27"/>
      <c r="B343" s="92">
        <v>21</v>
      </c>
      <c r="C343" s="19" t="s">
        <v>124</v>
      </c>
      <c r="D343" s="3" t="s">
        <v>23</v>
      </c>
      <c r="E343" s="27" t="str">
        <f>VLOOKUP(C343,Resources!B:D,3,FALSE)</f>
        <v>M</v>
      </c>
      <c r="F343" s="8">
        <v>1</v>
      </c>
      <c r="G343" s="8">
        <v>1</v>
      </c>
      <c r="H343" s="22">
        <f>H340/0.9</f>
        <v>20</v>
      </c>
      <c r="I343" s="22">
        <f>VLOOKUP(C343,Resources!B:G,6,FALSE)</f>
        <v>0.8</v>
      </c>
      <c r="J343" s="139">
        <f t="shared" si="452"/>
        <v>16</v>
      </c>
      <c r="K343" s="139">
        <f t="shared" si="453"/>
        <v>20</v>
      </c>
      <c r="L343" s="139" t="str">
        <f>IF(E343="M"," ",K343/F343/Workhrs)</f>
        <v xml:space="preserve"> </v>
      </c>
      <c r="M343" s="139">
        <f t="shared" si="454"/>
        <v>0</v>
      </c>
      <c r="N343" s="139">
        <f t="shared" si="455"/>
        <v>16</v>
      </c>
      <c r="O343" s="139">
        <f t="shared" si="456"/>
        <v>0</v>
      </c>
      <c r="P343" s="139">
        <f>IF($E343="S",$J343,0)</f>
        <v>0</v>
      </c>
      <c r="Q343" s="139">
        <f t="shared" si="457"/>
        <v>16</v>
      </c>
      <c r="R343" s="156" t="s">
        <v>695</v>
      </c>
    </row>
    <row r="344" spans="1:22" x14ac:dyDescent="0.35">
      <c r="A344" s="27"/>
      <c r="B344" s="92">
        <v>22</v>
      </c>
      <c r="C344" s="19" t="s">
        <v>177</v>
      </c>
      <c r="D344" s="3" t="s">
        <v>74</v>
      </c>
      <c r="E344" s="27" t="str">
        <f>VLOOKUP(C344,Resources!B:D,3,FALSE)</f>
        <v>M</v>
      </c>
      <c r="F344" s="8">
        <v>1</v>
      </c>
      <c r="G344" s="8">
        <v>1</v>
      </c>
      <c r="H344" s="22">
        <f>H340*0.22*1.1</f>
        <v>4.3559999999999999</v>
      </c>
      <c r="I344" s="22">
        <f>VLOOKUP(C344,Resources!B:G,6,FALSE)</f>
        <v>174</v>
      </c>
      <c r="J344" s="139">
        <f t="shared" si="452"/>
        <v>757.94399999999996</v>
      </c>
      <c r="K344" s="139">
        <f t="shared" si="453"/>
        <v>4.3559999999999999</v>
      </c>
      <c r="L344" s="139" t="str">
        <f>IF(E344="M"," ",K344/F344/Workhrs)</f>
        <v xml:space="preserve"> </v>
      </c>
      <c r="M344" s="139">
        <f t="shared" si="454"/>
        <v>0</v>
      </c>
      <c r="N344" s="139">
        <f t="shared" si="455"/>
        <v>757.94399999999996</v>
      </c>
      <c r="O344" s="139">
        <f t="shared" si="456"/>
        <v>0</v>
      </c>
      <c r="P344" s="139">
        <f>IF($E344="S",$J344,0)</f>
        <v>0</v>
      </c>
      <c r="Q344" s="139">
        <f t="shared" si="457"/>
        <v>757.94399999999996</v>
      </c>
      <c r="R344" s="156" t="s">
        <v>697</v>
      </c>
    </row>
    <row r="345" spans="1:22" x14ac:dyDescent="0.35">
      <c r="A345" s="27"/>
      <c r="B345" s="92">
        <v>23</v>
      </c>
      <c r="C345" s="19" t="s">
        <v>125</v>
      </c>
      <c r="D345" s="3" t="s">
        <v>110</v>
      </c>
      <c r="E345" s="27" t="str">
        <f>VLOOKUP(C345,Resources!B:D,3,FALSE)</f>
        <v>S</v>
      </c>
      <c r="F345" s="8">
        <v>1</v>
      </c>
      <c r="G345" s="8">
        <v>1</v>
      </c>
      <c r="H345" s="22">
        <f>H340</f>
        <v>18</v>
      </c>
      <c r="I345" s="22">
        <f>VLOOKUP(C345,Resources!B:G,6,FALSE)</f>
        <v>27</v>
      </c>
      <c r="J345" s="139">
        <f t="shared" si="452"/>
        <v>486</v>
      </c>
      <c r="K345" s="139">
        <f t="shared" si="453"/>
        <v>18</v>
      </c>
      <c r="L345" s="139">
        <f>IF(E345="M"," ",K345/F345/Workhrs)</f>
        <v>2</v>
      </c>
      <c r="M345" s="139">
        <f t="shared" si="454"/>
        <v>0</v>
      </c>
      <c r="N345" s="139">
        <f t="shared" si="455"/>
        <v>0</v>
      </c>
      <c r="O345" s="139">
        <f t="shared" si="456"/>
        <v>0</v>
      </c>
      <c r="P345" s="139">
        <f>IF($E345="S",$J345,0)</f>
        <v>486</v>
      </c>
      <c r="Q345" s="139">
        <f t="shared" si="457"/>
        <v>486</v>
      </c>
      <c r="R345" s="156">
        <v>182</v>
      </c>
    </row>
    <row r="346" spans="1:22" x14ac:dyDescent="0.35">
      <c r="B346" s="95">
        <v>24</v>
      </c>
      <c r="C346" s="6" t="s">
        <v>402</v>
      </c>
      <c r="F346" s="9"/>
      <c r="G346" s="9"/>
      <c r="H346" s="9"/>
      <c r="I346" s="9"/>
    </row>
    <row r="347" spans="1:22" s="90" customFormat="1" x14ac:dyDescent="0.35">
      <c r="A347" s="26">
        <v>57</v>
      </c>
      <c r="B347" s="94">
        <v>25</v>
      </c>
      <c r="C347" s="14" t="s">
        <v>180</v>
      </c>
      <c r="D347" s="15"/>
      <c r="E347" s="24"/>
      <c r="F347" s="21"/>
      <c r="G347" s="21"/>
      <c r="H347" s="21"/>
      <c r="I347" s="21"/>
      <c r="J347" s="138">
        <f>SUBTOTAL(9,J349:J353)</f>
        <v>2332.8728888888891</v>
      </c>
      <c r="K347" s="138"/>
      <c r="L347" s="138">
        <f>ROUNDUP(MAX(L349:L353),0)+1</f>
        <v>3</v>
      </c>
      <c r="M347" s="138">
        <f t="shared" ref="M347:Q347" si="458">SUBTOTAL(9,M349:M353)</f>
        <v>0</v>
      </c>
      <c r="N347" s="138">
        <f t="shared" si="458"/>
        <v>1576.8728888888891</v>
      </c>
      <c r="O347" s="138">
        <f t="shared" si="458"/>
        <v>0</v>
      </c>
      <c r="P347" s="138">
        <f t="shared" si="458"/>
        <v>756</v>
      </c>
      <c r="Q347" s="138">
        <f t="shared" si="458"/>
        <v>2332.8728888888891</v>
      </c>
      <c r="R347" s="155"/>
      <c r="T347" s="247"/>
      <c r="U347"/>
      <c r="V347" s="277"/>
    </row>
    <row r="348" spans="1:22" x14ac:dyDescent="0.35">
      <c r="A348" s="27">
        <v>57.1</v>
      </c>
      <c r="B348" s="92">
        <v>26</v>
      </c>
      <c r="C348" s="5" t="s">
        <v>704</v>
      </c>
      <c r="D348" s="16" t="s">
        <v>110</v>
      </c>
      <c r="E348" s="27"/>
      <c r="F348" s="8"/>
      <c r="G348" s="8"/>
      <c r="H348" s="97">
        <f>VLOOKUP($A348,'Model Inputs'!$A:$D,4,FALSE)</f>
        <v>28</v>
      </c>
      <c r="I348" s="8"/>
      <c r="J348" s="139"/>
      <c r="K348" s="139"/>
      <c r="L348" s="139"/>
      <c r="M348" s="139"/>
      <c r="N348" s="139"/>
      <c r="O348" s="139"/>
      <c r="P348" s="139"/>
      <c r="Q348" s="139"/>
      <c r="R348" s="156"/>
    </row>
    <row r="349" spans="1:22" x14ac:dyDescent="0.35">
      <c r="A349" s="27"/>
      <c r="B349" s="92">
        <v>27</v>
      </c>
      <c r="C349" s="19" t="s">
        <v>75</v>
      </c>
      <c r="D349" s="3" t="s">
        <v>54</v>
      </c>
      <c r="E349" s="27" t="str">
        <f>VLOOKUP(C349,Resources!B:D,3,FALSE)</f>
        <v>M</v>
      </c>
      <c r="F349" s="8">
        <v>1</v>
      </c>
      <c r="G349" s="8">
        <v>1</v>
      </c>
      <c r="H349" s="22">
        <f>H348*0.1</f>
        <v>2.8000000000000003</v>
      </c>
      <c r="I349" s="22">
        <f>VLOOKUP(C349,Resources!B:G,6,FALSE)</f>
        <v>24</v>
      </c>
      <c r="J349" s="139">
        <f t="shared" ref="J349:J353" si="459">(H349/(G349/F349))*I349</f>
        <v>67.2</v>
      </c>
      <c r="K349" s="139">
        <f t="shared" ref="K349:K353" si="460">IF(E349="M",H349,(H349/(G349)*F349))</f>
        <v>2.8000000000000003</v>
      </c>
      <c r="L349" s="139" t="str">
        <f>IF(E349="M"," ",K349/F349/Workhrs)</f>
        <v xml:space="preserve"> </v>
      </c>
      <c r="M349" s="139">
        <f t="shared" ref="M349:M353" si="461">IF($E349="L",$J349,0)</f>
        <v>0</v>
      </c>
      <c r="N349" s="139">
        <f t="shared" ref="N349:N353" si="462">IF($E349="M",$J349,0)</f>
        <v>67.2</v>
      </c>
      <c r="O349" s="139">
        <f t="shared" ref="O349:O353" si="463">IF($E349="P",$J349,0)</f>
        <v>0</v>
      </c>
      <c r="P349" s="139">
        <f>IF($E349="S",$J349,0)</f>
        <v>0</v>
      </c>
      <c r="Q349" s="139">
        <f t="shared" ref="Q349:Q353" si="464">SUM(M349:P349)</f>
        <v>67.2</v>
      </c>
      <c r="R349" s="156" t="s">
        <v>692</v>
      </c>
    </row>
    <row r="350" spans="1:22" x14ac:dyDescent="0.35">
      <c r="A350" s="27"/>
      <c r="B350" s="92">
        <v>28</v>
      </c>
      <c r="C350" s="19" t="s">
        <v>120</v>
      </c>
      <c r="D350" s="3" t="s">
        <v>110</v>
      </c>
      <c r="E350" s="27" t="str">
        <f>VLOOKUP(C350,Resources!B:D,3,FALSE)</f>
        <v>M</v>
      </c>
      <c r="F350" s="8">
        <v>1</v>
      </c>
      <c r="G350" s="8">
        <v>1</v>
      </c>
      <c r="H350" s="22">
        <f>H348*1.2</f>
        <v>33.6</v>
      </c>
      <c r="I350" s="22">
        <f>VLOOKUP(C350,Resources!B:G,6,FALSE)</f>
        <v>9.1</v>
      </c>
      <c r="J350" s="139">
        <f t="shared" si="459"/>
        <v>305.76</v>
      </c>
      <c r="K350" s="139">
        <f t="shared" si="460"/>
        <v>33.6</v>
      </c>
      <c r="L350" s="139" t="str">
        <f>IF(E350="M"," ",K350/F350/Workhrs)</f>
        <v xml:space="preserve"> </v>
      </c>
      <c r="M350" s="139">
        <f t="shared" si="461"/>
        <v>0</v>
      </c>
      <c r="N350" s="139">
        <f t="shared" si="462"/>
        <v>305.76</v>
      </c>
      <c r="O350" s="139">
        <f t="shared" si="463"/>
        <v>0</v>
      </c>
      <c r="P350" s="139">
        <f>IF($E350="S",$J350,0)</f>
        <v>0</v>
      </c>
      <c r="Q350" s="139">
        <f t="shared" si="464"/>
        <v>305.76</v>
      </c>
      <c r="R350" s="156" t="s">
        <v>695</v>
      </c>
    </row>
    <row r="351" spans="1:22" x14ac:dyDescent="0.35">
      <c r="A351" s="27"/>
      <c r="B351" s="92">
        <v>29</v>
      </c>
      <c r="C351" s="19" t="s">
        <v>124</v>
      </c>
      <c r="D351" s="3" t="s">
        <v>23</v>
      </c>
      <c r="E351" s="27" t="str">
        <f>VLOOKUP(C351,Resources!B:D,3,FALSE)</f>
        <v>M</v>
      </c>
      <c r="F351" s="8">
        <v>1</v>
      </c>
      <c r="G351" s="8">
        <v>1</v>
      </c>
      <c r="H351" s="22">
        <f>H348/0.9</f>
        <v>31.111111111111111</v>
      </c>
      <c r="I351" s="22">
        <f>VLOOKUP(C351,Resources!B:G,6,FALSE)</f>
        <v>0.8</v>
      </c>
      <c r="J351" s="139">
        <f t="shared" si="459"/>
        <v>24.888888888888889</v>
      </c>
      <c r="K351" s="139">
        <f t="shared" si="460"/>
        <v>31.111111111111111</v>
      </c>
      <c r="L351" s="139" t="str">
        <f>IF(E351="M"," ",K351/F351/Workhrs)</f>
        <v xml:space="preserve"> </v>
      </c>
      <c r="M351" s="139">
        <f t="shared" si="461"/>
        <v>0</v>
      </c>
      <c r="N351" s="139">
        <f t="shared" si="462"/>
        <v>24.888888888888889</v>
      </c>
      <c r="O351" s="139">
        <f t="shared" si="463"/>
        <v>0</v>
      </c>
      <c r="P351" s="139">
        <f>IF($E351="S",$J351,0)</f>
        <v>0</v>
      </c>
      <c r="Q351" s="139">
        <f t="shared" si="464"/>
        <v>24.888888888888889</v>
      </c>
      <c r="R351" s="156" t="s">
        <v>695</v>
      </c>
    </row>
    <row r="352" spans="1:22" x14ac:dyDescent="0.35">
      <c r="A352" s="27"/>
      <c r="B352" s="92">
        <v>30</v>
      </c>
      <c r="C352" s="19" t="s">
        <v>177</v>
      </c>
      <c r="D352" s="3" t="s">
        <v>74</v>
      </c>
      <c r="E352" s="27" t="str">
        <f>VLOOKUP(C352,Resources!B:D,3,FALSE)</f>
        <v>M</v>
      </c>
      <c r="F352" s="8">
        <v>1</v>
      </c>
      <c r="G352" s="8">
        <v>1</v>
      </c>
      <c r="H352" s="22">
        <f>H348*0.22*1.1</f>
        <v>6.7760000000000007</v>
      </c>
      <c r="I352" s="22">
        <f>VLOOKUP(C352,Resources!B:G,6,FALSE)</f>
        <v>174</v>
      </c>
      <c r="J352" s="139">
        <f t="shared" si="459"/>
        <v>1179.0240000000001</v>
      </c>
      <c r="K352" s="139">
        <f t="shared" si="460"/>
        <v>6.7760000000000007</v>
      </c>
      <c r="L352" s="139" t="str">
        <f>IF(E352="M"," ",K352/F352/Workhrs)</f>
        <v xml:space="preserve"> </v>
      </c>
      <c r="M352" s="139">
        <f t="shared" si="461"/>
        <v>0</v>
      </c>
      <c r="N352" s="139">
        <f t="shared" si="462"/>
        <v>1179.0240000000001</v>
      </c>
      <c r="O352" s="139">
        <f t="shared" si="463"/>
        <v>0</v>
      </c>
      <c r="P352" s="139">
        <f>IF($E352="S",$J352,0)</f>
        <v>0</v>
      </c>
      <c r="Q352" s="139">
        <f t="shared" si="464"/>
        <v>1179.0240000000001</v>
      </c>
      <c r="R352" s="156" t="s">
        <v>697</v>
      </c>
    </row>
    <row r="353" spans="1:22" x14ac:dyDescent="0.35">
      <c r="A353" s="27"/>
      <c r="B353" s="92">
        <v>31</v>
      </c>
      <c r="C353" s="19" t="s">
        <v>125</v>
      </c>
      <c r="D353" s="3" t="s">
        <v>110</v>
      </c>
      <c r="E353" s="27" t="str">
        <f>VLOOKUP(C353,Resources!B:D,3,FALSE)</f>
        <v>S</v>
      </c>
      <c r="F353" s="8">
        <v>1</v>
      </c>
      <c r="G353" s="8">
        <v>1</v>
      </c>
      <c r="H353" s="22">
        <f>H348</f>
        <v>28</v>
      </c>
      <c r="I353" s="22">
        <f>VLOOKUP(C353,Resources!B:G,6,FALSE)</f>
        <v>27</v>
      </c>
      <c r="J353" s="139">
        <f t="shared" si="459"/>
        <v>756</v>
      </c>
      <c r="K353" s="139">
        <f t="shared" si="460"/>
        <v>28</v>
      </c>
      <c r="L353" s="139">
        <f>IF(E353="M"," ",K353/(F353*3)/Workhrs)</f>
        <v>1.0370370370370372</v>
      </c>
      <c r="M353" s="139">
        <f t="shared" si="461"/>
        <v>0</v>
      </c>
      <c r="N353" s="139">
        <f t="shared" si="462"/>
        <v>0</v>
      </c>
      <c r="O353" s="139">
        <f t="shared" si="463"/>
        <v>0</v>
      </c>
      <c r="P353" s="139">
        <f>IF($E353="S",$J353,0)</f>
        <v>756</v>
      </c>
      <c r="Q353" s="139">
        <f t="shared" si="464"/>
        <v>756</v>
      </c>
      <c r="R353" s="156">
        <v>182</v>
      </c>
    </row>
    <row r="354" spans="1:22" x14ac:dyDescent="0.35">
      <c r="B354" s="95">
        <v>32</v>
      </c>
      <c r="C354" s="6" t="s">
        <v>402</v>
      </c>
      <c r="F354" s="9"/>
      <c r="G354" s="9"/>
      <c r="H354" s="9"/>
      <c r="I354" s="9"/>
    </row>
    <row r="355" spans="1:22" s="90" customFormat="1" x14ac:dyDescent="0.35">
      <c r="A355" s="26">
        <v>58</v>
      </c>
      <c r="B355" s="94">
        <v>33</v>
      </c>
      <c r="C355" s="14" t="s">
        <v>181</v>
      </c>
      <c r="D355" s="15"/>
      <c r="E355" s="24"/>
      <c r="F355" s="21"/>
      <c r="G355" s="21"/>
      <c r="H355" s="21"/>
      <c r="I355" s="21"/>
      <c r="J355" s="138">
        <f>SUBTOTAL(9,J357:J361)</f>
        <v>1499.704</v>
      </c>
      <c r="K355" s="138"/>
      <c r="L355" s="138">
        <f>ROUNDUP(MAX(L357:L361),0)+1</f>
        <v>3</v>
      </c>
      <c r="M355" s="138">
        <f t="shared" ref="M355:Q355" si="465">SUBTOTAL(9,M357:M361)</f>
        <v>0</v>
      </c>
      <c r="N355" s="138">
        <f t="shared" si="465"/>
        <v>1013.704</v>
      </c>
      <c r="O355" s="138">
        <f t="shared" si="465"/>
        <v>0</v>
      </c>
      <c r="P355" s="138">
        <f t="shared" si="465"/>
        <v>486</v>
      </c>
      <c r="Q355" s="138">
        <f t="shared" si="465"/>
        <v>1499.704</v>
      </c>
      <c r="R355" s="155"/>
      <c r="T355" s="247"/>
      <c r="U355"/>
      <c r="V355" s="277"/>
    </row>
    <row r="356" spans="1:22" x14ac:dyDescent="0.35">
      <c r="A356" s="27">
        <v>58.1</v>
      </c>
      <c r="B356" s="92">
        <v>34</v>
      </c>
      <c r="C356" s="5" t="s">
        <v>704</v>
      </c>
      <c r="D356" s="16" t="s">
        <v>110</v>
      </c>
      <c r="E356" s="27"/>
      <c r="F356" s="8"/>
      <c r="G356" s="8"/>
      <c r="H356" s="97">
        <f>VLOOKUP($A356,'Model Inputs'!$A:$D,4,FALSE)</f>
        <v>18</v>
      </c>
      <c r="I356" s="8"/>
      <c r="J356" s="139"/>
      <c r="K356" s="139"/>
      <c r="L356" s="139"/>
      <c r="M356" s="139"/>
      <c r="N356" s="139"/>
      <c r="O356" s="139"/>
      <c r="P356" s="139"/>
      <c r="Q356" s="139"/>
      <c r="R356" s="156"/>
    </row>
    <row r="357" spans="1:22" x14ac:dyDescent="0.35">
      <c r="A357" s="27"/>
      <c r="B357" s="92">
        <v>35</v>
      </c>
      <c r="C357" s="19" t="s">
        <v>75</v>
      </c>
      <c r="D357" s="3" t="s">
        <v>54</v>
      </c>
      <c r="E357" s="27" t="str">
        <f>VLOOKUP(C357,Resources!B:D,3,FALSE)</f>
        <v>M</v>
      </c>
      <c r="F357" s="8">
        <v>1</v>
      </c>
      <c r="G357" s="8">
        <v>1</v>
      </c>
      <c r="H357" s="22">
        <f>H356*0.1</f>
        <v>1.8</v>
      </c>
      <c r="I357" s="22">
        <f>VLOOKUP(C357,Resources!B:G,6,FALSE)</f>
        <v>24</v>
      </c>
      <c r="J357" s="139">
        <f t="shared" ref="J357:J361" si="466">(H357/(G357/F357))*I357</f>
        <v>43.2</v>
      </c>
      <c r="K357" s="139">
        <f t="shared" ref="K357:K361" si="467">IF(E357="M",H357,(H357/(G357)*F357))</f>
        <v>1.8</v>
      </c>
      <c r="L357" s="139" t="str">
        <f>IF(E357="M"," ",K357/F357/Workhrs)</f>
        <v xml:space="preserve"> </v>
      </c>
      <c r="M357" s="139">
        <f t="shared" ref="M357:M361" si="468">IF($E357="L",$J357,0)</f>
        <v>0</v>
      </c>
      <c r="N357" s="139">
        <f t="shared" ref="N357:N361" si="469">IF($E357="M",$J357,0)</f>
        <v>43.2</v>
      </c>
      <c r="O357" s="139">
        <f t="shared" ref="O357:O361" si="470">IF($E357="P",$J357,0)</f>
        <v>0</v>
      </c>
      <c r="P357" s="139">
        <f>IF($E357="S",$J357,0)</f>
        <v>0</v>
      </c>
      <c r="Q357" s="139">
        <f t="shared" ref="Q357:Q361" si="471">SUM(M357:P357)</f>
        <v>43.2</v>
      </c>
      <c r="R357" s="156" t="s">
        <v>692</v>
      </c>
    </row>
    <row r="358" spans="1:22" x14ac:dyDescent="0.35">
      <c r="A358" s="27"/>
      <c r="B358" s="92">
        <v>36</v>
      </c>
      <c r="C358" s="19" t="s">
        <v>120</v>
      </c>
      <c r="D358" s="3" t="s">
        <v>110</v>
      </c>
      <c r="E358" s="27" t="str">
        <f>VLOOKUP(C358,Resources!B:D,3,FALSE)</f>
        <v>M</v>
      </c>
      <c r="F358" s="8">
        <v>1</v>
      </c>
      <c r="G358" s="8">
        <v>1</v>
      </c>
      <c r="H358" s="22">
        <f>H356*1.2</f>
        <v>21.599999999999998</v>
      </c>
      <c r="I358" s="22">
        <f>VLOOKUP(C358,Resources!B:G,6,FALSE)</f>
        <v>9.1</v>
      </c>
      <c r="J358" s="139">
        <f t="shared" si="466"/>
        <v>196.55999999999997</v>
      </c>
      <c r="K358" s="139">
        <f t="shared" si="467"/>
        <v>21.599999999999998</v>
      </c>
      <c r="L358" s="139" t="str">
        <f>IF(E358="M"," ",K358/F358/Workhrs)</f>
        <v xml:space="preserve"> </v>
      </c>
      <c r="M358" s="139">
        <f t="shared" si="468"/>
        <v>0</v>
      </c>
      <c r="N358" s="139">
        <f t="shared" si="469"/>
        <v>196.55999999999997</v>
      </c>
      <c r="O358" s="139">
        <f t="shared" si="470"/>
        <v>0</v>
      </c>
      <c r="P358" s="139">
        <f>IF($E358="S",$J358,0)</f>
        <v>0</v>
      </c>
      <c r="Q358" s="139">
        <f t="shared" si="471"/>
        <v>196.55999999999997</v>
      </c>
      <c r="R358" s="156" t="s">
        <v>695</v>
      </c>
    </row>
    <row r="359" spans="1:22" x14ac:dyDescent="0.35">
      <c r="A359" s="27"/>
      <c r="B359" s="92">
        <v>37</v>
      </c>
      <c r="C359" s="19" t="s">
        <v>124</v>
      </c>
      <c r="D359" s="3" t="s">
        <v>23</v>
      </c>
      <c r="E359" s="27" t="str">
        <f>VLOOKUP(C359,Resources!B:D,3,FALSE)</f>
        <v>M</v>
      </c>
      <c r="F359" s="8">
        <v>1</v>
      </c>
      <c r="G359" s="8">
        <v>1</v>
      </c>
      <c r="H359" s="22">
        <f>H356/0.9</f>
        <v>20</v>
      </c>
      <c r="I359" s="22">
        <f>VLOOKUP(C359,Resources!B:G,6,FALSE)</f>
        <v>0.8</v>
      </c>
      <c r="J359" s="139">
        <f t="shared" si="466"/>
        <v>16</v>
      </c>
      <c r="K359" s="139">
        <f t="shared" si="467"/>
        <v>20</v>
      </c>
      <c r="L359" s="139" t="str">
        <f>IF(E359="M"," ",K359/F359/Workhrs)</f>
        <v xml:space="preserve"> </v>
      </c>
      <c r="M359" s="139">
        <f t="shared" si="468"/>
        <v>0</v>
      </c>
      <c r="N359" s="139">
        <f t="shared" si="469"/>
        <v>16</v>
      </c>
      <c r="O359" s="139">
        <f t="shared" si="470"/>
        <v>0</v>
      </c>
      <c r="P359" s="139">
        <f>IF($E359="S",$J359,0)</f>
        <v>0</v>
      </c>
      <c r="Q359" s="139">
        <f t="shared" si="471"/>
        <v>16</v>
      </c>
      <c r="R359" s="156" t="s">
        <v>695</v>
      </c>
    </row>
    <row r="360" spans="1:22" x14ac:dyDescent="0.35">
      <c r="A360" s="27"/>
      <c r="B360" s="92">
        <v>38</v>
      </c>
      <c r="C360" s="19" t="s">
        <v>177</v>
      </c>
      <c r="D360" s="3" t="s">
        <v>74</v>
      </c>
      <c r="E360" s="27" t="str">
        <f>VLOOKUP(C360,Resources!B:D,3,FALSE)</f>
        <v>M</v>
      </c>
      <c r="F360" s="8">
        <v>1</v>
      </c>
      <c r="G360" s="8">
        <v>1</v>
      </c>
      <c r="H360" s="22">
        <f>H356*0.22*1.1</f>
        <v>4.3559999999999999</v>
      </c>
      <c r="I360" s="22">
        <f>VLOOKUP(C360,Resources!B:G,6,FALSE)</f>
        <v>174</v>
      </c>
      <c r="J360" s="139">
        <f t="shared" si="466"/>
        <v>757.94399999999996</v>
      </c>
      <c r="K360" s="139">
        <f t="shared" si="467"/>
        <v>4.3559999999999999</v>
      </c>
      <c r="L360" s="139" t="str">
        <f>IF(E360="M"," ",K360/F360/Workhrs)</f>
        <v xml:space="preserve"> </v>
      </c>
      <c r="M360" s="139">
        <f t="shared" si="468"/>
        <v>0</v>
      </c>
      <c r="N360" s="139">
        <f t="shared" si="469"/>
        <v>757.94399999999996</v>
      </c>
      <c r="O360" s="139">
        <f t="shared" si="470"/>
        <v>0</v>
      </c>
      <c r="P360" s="139">
        <f>IF($E360="S",$J360,0)</f>
        <v>0</v>
      </c>
      <c r="Q360" s="139">
        <f t="shared" si="471"/>
        <v>757.94399999999996</v>
      </c>
      <c r="R360" s="156" t="s">
        <v>697</v>
      </c>
    </row>
    <row r="361" spans="1:22" x14ac:dyDescent="0.35">
      <c r="A361" s="27"/>
      <c r="B361" s="92">
        <v>39</v>
      </c>
      <c r="C361" s="19" t="s">
        <v>125</v>
      </c>
      <c r="D361" s="3" t="s">
        <v>110</v>
      </c>
      <c r="E361" s="27" t="str">
        <f>VLOOKUP(C361,Resources!B:D,3,FALSE)</f>
        <v>S</v>
      </c>
      <c r="F361" s="8">
        <v>1</v>
      </c>
      <c r="G361" s="8">
        <v>1</v>
      </c>
      <c r="H361" s="22">
        <f>H356</f>
        <v>18</v>
      </c>
      <c r="I361" s="22">
        <f>VLOOKUP(C361,Resources!B:G,6,FALSE)</f>
        <v>27</v>
      </c>
      <c r="J361" s="139">
        <f t="shared" si="466"/>
        <v>486</v>
      </c>
      <c r="K361" s="139">
        <f t="shared" si="467"/>
        <v>18</v>
      </c>
      <c r="L361" s="139">
        <f>IF(E361="M"," ",K361/F361/Workhrs)</f>
        <v>2</v>
      </c>
      <c r="M361" s="139">
        <f t="shared" si="468"/>
        <v>0</v>
      </c>
      <c r="N361" s="139">
        <f t="shared" si="469"/>
        <v>0</v>
      </c>
      <c r="O361" s="139">
        <f t="shared" si="470"/>
        <v>0</v>
      </c>
      <c r="P361" s="139">
        <f>IF($E361="S",$J361,0)</f>
        <v>486</v>
      </c>
      <c r="Q361" s="139">
        <f t="shared" si="471"/>
        <v>486</v>
      </c>
      <c r="R361" s="156">
        <v>182</v>
      </c>
    </row>
    <row r="362" spans="1:22" x14ac:dyDescent="0.35">
      <c r="B362" s="95">
        <v>40</v>
      </c>
      <c r="C362" s="6" t="s">
        <v>402</v>
      </c>
      <c r="F362" s="9"/>
      <c r="G362" s="9"/>
      <c r="H362" s="9"/>
      <c r="I362" s="9"/>
    </row>
    <row r="363" spans="1:22" s="90" customFormat="1" x14ac:dyDescent="0.35">
      <c r="A363" s="26">
        <v>59</v>
      </c>
      <c r="B363" s="94">
        <v>41</v>
      </c>
      <c r="C363" s="14" t="s">
        <v>182</v>
      </c>
      <c r="D363" s="15"/>
      <c r="E363" s="24"/>
      <c r="F363" s="21"/>
      <c r="G363" s="21"/>
      <c r="H363" s="21"/>
      <c r="I363" s="21"/>
      <c r="J363" s="138">
        <f>SUBTOTAL(9,J365:J369)</f>
        <v>1499.704</v>
      </c>
      <c r="K363" s="138"/>
      <c r="L363" s="138">
        <f>ROUNDUP(MAX(L365:L369),0)+1</f>
        <v>2</v>
      </c>
      <c r="M363" s="138">
        <f t="shared" ref="M363:Q363" si="472">SUBTOTAL(9,M365:M369)</f>
        <v>0</v>
      </c>
      <c r="N363" s="138">
        <f t="shared" si="472"/>
        <v>1013.704</v>
      </c>
      <c r="O363" s="138">
        <f t="shared" si="472"/>
        <v>0</v>
      </c>
      <c r="P363" s="138">
        <f t="shared" si="472"/>
        <v>486</v>
      </c>
      <c r="Q363" s="138">
        <f t="shared" si="472"/>
        <v>1499.704</v>
      </c>
      <c r="R363" s="155"/>
      <c r="T363" s="247"/>
      <c r="U363"/>
      <c r="V363" s="277"/>
    </row>
    <row r="364" spans="1:22" x14ac:dyDescent="0.35">
      <c r="A364" s="27">
        <v>59.1</v>
      </c>
      <c r="B364" s="92">
        <v>42</v>
      </c>
      <c r="C364" s="5" t="s">
        <v>704</v>
      </c>
      <c r="D364" s="16" t="s">
        <v>110</v>
      </c>
      <c r="E364" s="27"/>
      <c r="F364" s="8"/>
      <c r="G364" s="8"/>
      <c r="H364" s="97">
        <f>VLOOKUP($A364,'Model Inputs'!$A:$D,4,FALSE)</f>
        <v>18</v>
      </c>
      <c r="I364" s="8"/>
      <c r="J364" s="139"/>
      <c r="K364" s="139"/>
      <c r="L364" s="139"/>
      <c r="M364" s="139"/>
      <c r="N364" s="139"/>
      <c r="O364" s="139"/>
      <c r="P364" s="139"/>
      <c r="Q364" s="139"/>
      <c r="R364" s="156"/>
    </row>
    <row r="365" spans="1:22" x14ac:dyDescent="0.35">
      <c r="A365" s="27"/>
      <c r="B365" s="92">
        <v>43</v>
      </c>
      <c r="C365" s="19" t="s">
        <v>75</v>
      </c>
      <c r="D365" s="3" t="s">
        <v>54</v>
      </c>
      <c r="E365" s="27" t="str">
        <f>VLOOKUP(C365,Resources!B:D,3,FALSE)</f>
        <v>M</v>
      </c>
      <c r="F365" s="8">
        <v>1</v>
      </c>
      <c r="G365" s="8">
        <v>1</v>
      </c>
      <c r="H365" s="22">
        <f>H364*0.1</f>
        <v>1.8</v>
      </c>
      <c r="I365" s="22">
        <f>VLOOKUP(C365,Resources!B:G,6,FALSE)</f>
        <v>24</v>
      </c>
      <c r="J365" s="139">
        <f t="shared" ref="J365:J369" si="473">(H365/(G365/F365))*I365</f>
        <v>43.2</v>
      </c>
      <c r="K365" s="139">
        <f t="shared" ref="K365:K369" si="474">IF(E365="M",H365,(H365/(G365)*F365))</f>
        <v>1.8</v>
      </c>
      <c r="L365" s="139" t="str">
        <f t="shared" ref="L365:L368" si="475">IF(E365="M"," ",H365/(G365*F365))</f>
        <v xml:space="preserve"> </v>
      </c>
      <c r="M365" s="139">
        <f t="shared" ref="M365:M369" si="476">IF($E365="L",$J365,0)</f>
        <v>0</v>
      </c>
      <c r="N365" s="139">
        <f t="shared" ref="N365:N369" si="477">IF($E365="M",$J365,0)</f>
        <v>43.2</v>
      </c>
      <c r="O365" s="139">
        <f t="shared" ref="O365:O369" si="478">IF($E365="P",$J365,0)</f>
        <v>0</v>
      </c>
      <c r="P365" s="139">
        <f>IF($E365="S",$J365,0)</f>
        <v>0</v>
      </c>
      <c r="Q365" s="139">
        <f t="shared" ref="Q365:Q369" si="479">SUM(M365:P365)</f>
        <v>43.2</v>
      </c>
      <c r="R365" s="156" t="s">
        <v>692</v>
      </c>
    </row>
    <row r="366" spans="1:22" x14ac:dyDescent="0.35">
      <c r="A366" s="27"/>
      <c r="B366" s="92">
        <v>44</v>
      </c>
      <c r="C366" s="19" t="s">
        <v>120</v>
      </c>
      <c r="D366" s="3" t="s">
        <v>110</v>
      </c>
      <c r="E366" s="27" t="str">
        <f>VLOOKUP(C366,Resources!B:D,3,FALSE)</f>
        <v>M</v>
      </c>
      <c r="F366" s="8">
        <v>1</v>
      </c>
      <c r="G366" s="8">
        <v>1</v>
      </c>
      <c r="H366" s="22">
        <f>H364*1.2</f>
        <v>21.599999999999998</v>
      </c>
      <c r="I366" s="22">
        <f>VLOOKUP(C366,Resources!B:G,6,FALSE)</f>
        <v>9.1</v>
      </c>
      <c r="J366" s="139">
        <f t="shared" si="473"/>
        <v>196.55999999999997</v>
      </c>
      <c r="K366" s="139">
        <f t="shared" si="474"/>
        <v>21.599999999999998</v>
      </c>
      <c r="L366" s="139" t="str">
        <f t="shared" si="475"/>
        <v xml:space="preserve"> </v>
      </c>
      <c r="M366" s="139">
        <f t="shared" si="476"/>
        <v>0</v>
      </c>
      <c r="N366" s="139">
        <f t="shared" si="477"/>
        <v>196.55999999999997</v>
      </c>
      <c r="O366" s="139">
        <f t="shared" si="478"/>
        <v>0</v>
      </c>
      <c r="P366" s="139">
        <f>IF($E366="S",$J366,0)</f>
        <v>0</v>
      </c>
      <c r="Q366" s="139">
        <f t="shared" si="479"/>
        <v>196.55999999999997</v>
      </c>
      <c r="R366" s="156" t="s">
        <v>695</v>
      </c>
    </row>
    <row r="367" spans="1:22" x14ac:dyDescent="0.35">
      <c r="A367" s="27"/>
      <c r="B367" s="92">
        <v>45</v>
      </c>
      <c r="C367" s="19" t="s">
        <v>124</v>
      </c>
      <c r="D367" s="3" t="s">
        <v>23</v>
      </c>
      <c r="E367" s="27" t="str">
        <f>VLOOKUP(C367,Resources!B:D,3,FALSE)</f>
        <v>M</v>
      </c>
      <c r="F367" s="8">
        <v>1</v>
      </c>
      <c r="G367" s="8">
        <v>1</v>
      </c>
      <c r="H367" s="22">
        <f>H364/0.9</f>
        <v>20</v>
      </c>
      <c r="I367" s="22">
        <f>VLOOKUP(C367,Resources!B:G,6,FALSE)</f>
        <v>0.8</v>
      </c>
      <c r="J367" s="139">
        <f t="shared" si="473"/>
        <v>16</v>
      </c>
      <c r="K367" s="139">
        <f t="shared" si="474"/>
        <v>20</v>
      </c>
      <c r="L367" s="139" t="str">
        <f t="shared" si="475"/>
        <v xml:space="preserve"> </v>
      </c>
      <c r="M367" s="139">
        <f t="shared" si="476"/>
        <v>0</v>
      </c>
      <c r="N367" s="139">
        <f t="shared" si="477"/>
        <v>16</v>
      </c>
      <c r="O367" s="139">
        <f t="shared" si="478"/>
        <v>0</v>
      </c>
      <c r="P367" s="139">
        <f>IF($E367="S",$J367,0)</f>
        <v>0</v>
      </c>
      <c r="Q367" s="139">
        <f t="shared" si="479"/>
        <v>16</v>
      </c>
      <c r="R367" s="156" t="s">
        <v>695</v>
      </c>
    </row>
    <row r="368" spans="1:22" x14ac:dyDescent="0.35">
      <c r="A368" s="27"/>
      <c r="B368" s="92">
        <v>46</v>
      </c>
      <c r="C368" s="19" t="s">
        <v>177</v>
      </c>
      <c r="D368" s="3" t="s">
        <v>74</v>
      </c>
      <c r="E368" s="27" t="str">
        <f>VLOOKUP(C368,Resources!B:D,3,FALSE)</f>
        <v>M</v>
      </c>
      <c r="F368" s="8">
        <v>1</v>
      </c>
      <c r="G368" s="8">
        <v>1</v>
      </c>
      <c r="H368" s="22">
        <f>H364*0.22*1.1</f>
        <v>4.3559999999999999</v>
      </c>
      <c r="I368" s="22">
        <f>VLOOKUP(C368,Resources!B:G,6,FALSE)</f>
        <v>174</v>
      </c>
      <c r="J368" s="139">
        <f t="shared" si="473"/>
        <v>757.94399999999996</v>
      </c>
      <c r="K368" s="139">
        <f t="shared" si="474"/>
        <v>4.3559999999999999</v>
      </c>
      <c r="L368" s="139" t="str">
        <f t="shared" si="475"/>
        <v xml:space="preserve"> </v>
      </c>
      <c r="M368" s="139">
        <f t="shared" si="476"/>
        <v>0</v>
      </c>
      <c r="N368" s="139">
        <f t="shared" si="477"/>
        <v>757.94399999999996</v>
      </c>
      <c r="O368" s="139">
        <f t="shared" si="478"/>
        <v>0</v>
      </c>
      <c r="P368" s="139">
        <f>IF($E368="S",$J368,0)</f>
        <v>0</v>
      </c>
      <c r="Q368" s="139">
        <f t="shared" si="479"/>
        <v>757.94399999999996</v>
      </c>
      <c r="R368" s="156" t="s">
        <v>697</v>
      </c>
    </row>
    <row r="369" spans="1:22" x14ac:dyDescent="0.35">
      <c r="A369" s="27"/>
      <c r="B369" s="92">
        <v>47</v>
      </c>
      <c r="C369" s="19" t="s">
        <v>125</v>
      </c>
      <c r="D369" s="3" t="s">
        <v>110</v>
      </c>
      <c r="E369" s="27" t="str">
        <f>VLOOKUP(C369,Resources!B:D,3,FALSE)</f>
        <v>S</v>
      </c>
      <c r="F369" s="8">
        <v>1</v>
      </c>
      <c r="G369" s="8">
        <v>1</v>
      </c>
      <c r="H369" s="22">
        <f>H364</f>
        <v>18</v>
      </c>
      <c r="I369" s="22">
        <f>VLOOKUP(C369,Resources!B:G,6,FALSE)</f>
        <v>27</v>
      </c>
      <c r="J369" s="139">
        <f t="shared" si="473"/>
        <v>486</v>
      </c>
      <c r="K369" s="139">
        <f t="shared" si="474"/>
        <v>18</v>
      </c>
      <c r="L369" s="139">
        <f>ROUNDUP(H364/50,0)</f>
        <v>1</v>
      </c>
      <c r="M369" s="139">
        <f t="shared" si="476"/>
        <v>0</v>
      </c>
      <c r="N369" s="139">
        <f t="shared" si="477"/>
        <v>0</v>
      </c>
      <c r="O369" s="139">
        <f t="shared" si="478"/>
        <v>0</v>
      </c>
      <c r="P369" s="139">
        <f>IF($E369="S",$J369,0)</f>
        <v>486</v>
      </c>
      <c r="Q369" s="139">
        <f t="shared" si="479"/>
        <v>486</v>
      </c>
      <c r="R369" s="156">
        <v>182</v>
      </c>
    </row>
    <row r="370" spans="1:22" x14ac:dyDescent="0.35">
      <c r="B370" s="95">
        <v>48</v>
      </c>
      <c r="C370" s="6" t="s">
        <v>402</v>
      </c>
      <c r="F370" s="9"/>
      <c r="G370" s="9"/>
      <c r="H370" s="9"/>
      <c r="I370" s="9"/>
    </row>
    <row r="371" spans="1:22" s="90" customFormat="1" x14ac:dyDescent="0.35">
      <c r="A371" s="26">
        <v>60</v>
      </c>
      <c r="B371" s="94">
        <v>49</v>
      </c>
      <c r="C371" s="14" t="s">
        <v>183</v>
      </c>
      <c r="D371" s="15"/>
      <c r="E371" s="24"/>
      <c r="F371" s="21"/>
      <c r="G371" s="21"/>
      <c r="H371" s="21"/>
      <c r="I371" s="21"/>
      <c r="J371" s="138">
        <f>SUBTOTAL(9,J373:J377)</f>
        <v>1499.704</v>
      </c>
      <c r="K371" s="138"/>
      <c r="L371" s="138">
        <f>ROUNDUP(MAX(L373:L377),0)+1</f>
        <v>3</v>
      </c>
      <c r="M371" s="138">
        <f t="shared" ref="M371:Q371" si="480">SUBTOTAL(9,M373:M377)</f>
        <v>0</v>
      </c>
      <c r="N371" s="138">
        <f t="shared" si="480"/>
        <v>1013.704</v>
      </c>
      <c r="O371" s="138">
        <f t="shared" si="480"/>
        <v>0</v>
      </c>
      <c r="P371" s="138">
        <f t="shared" si="480"/>
        <v>486</v>
      </c>
      <c r="Q371" s="138">
        <f t="shared" si="480"/>
        <v>1499.704</v>
      </c>
      <c r="R371" s="155"/>
      <c r="T371" s="247"/>
      <c r="U371"/>
      <c r="V371" s="277"/>
    </row>
    <row r="372" spans="1:22" x14ac:dyDescent="0.35">
      <c r="A372" s="27">
        <v>60.1</v>
      </c>
      <c r="B372" s="92">
        <v>50</v>
      </c>
      <c r="C372" s="5" t="s">
        <v>704</v>
      </c>
      <c r="D372" s="16" t="s">
        <v>110</v>
      </c>
      <c r="E372" s="27"/>
      <c r="F372" s="8"/>
      <c r="G372" s="8"/>
      <c r="H372" s="97">
        <f>VLOOKUP($A372,'Model Inputs'!$A:$D,4,FALSE)</f>
        <v>18</v>
      </c>
      <c r="I372" s="8"/>
      <c r="J372" s="139"/>
      <c r="K372" s="139"/>
      <c r="L372" s="139"/>
      <c r="M372" s="139"/>
      <c r="N372" s="139"/>
      <c r="O372" s="139"/>
      <c r="P372" s="139"/>
      <c r="Q372" s="139"/>
      <c r="R372" s="156"/>
    </row>
    <row r="373" spans="1:22" x14ac:dyDescent="0.35">
      <c r="A373" s="27"/>
      <c r="B373" s="92">
        <v>51</v>
      </c>
      <c r="C373" s="19" t="s">
        <v>75</v>
      </c>
      <c r="D373" s="3" t="s">
        <v>54</v>
      </c>
      <c r="E373" s="27" t="str">
        <f>VLOOKUP(C373,Resources!B:D,3,FALSE)</f>
        <v>M</v>
      </c>
      <c r="F373" s="8">
        <v>1</v>
      </c>
      <c r="G373" s="8">
        <v>1</v>
      </c>
      <c r="H373" s="22">
        <f>H372*0.1</f>
        <v>1.8</v>
      </c>
      <c r="I373" s="22">
        <f>VLOOKUP(C373,Resources!B:G,6,FALSE)</f>
        <v>24</v>
      </c>
      <c r="J373" s="139">
        <f t="shared" ref="J373:J377" si="481">(H373/(G373/F373))*I373</f>
        <v>43.2</v>
      </c>
      <c r="K373" s="139">
        <f t="shared" ref="K373:K377" si="482">IF(E373="M",H373,(H373/(G373)*F373))</f>
        <v>1.8</v>
      </c>
      <c r="L373" s="139" t="str">
        <f>IF(E373="M"," ",K373/F373/Workhrs)</f>
        <v xml:space="preserve"> </v>
      </c>
      <c r="M373" s="139">
        <f t="shared" ref="M373:M377" si="483">IF($E373="L",$J373,0)</f>
        <v>0</v>
      </c>
      <c r="N373" s="139">
        <f t="shared" ref="N373:N377" si="484">IF($E373="M",$J373,0)</f>
        <v>43.2</v>
      </c>
      <c r="O373" s="139">
        <f t="shared" ref="O373:O377" si="485">IF($E373="P",$J373,0)</f>
        <v>0</v>
      </c>
      <c r="P373" s="139">
        <f>IF($E373="S",$J373,0)</f>
        <v>0</v>
      </c>
      <c r="Q373" s="139">
        <f t="shared" ref="Q373:Q377" si="486">SUM(M373:P373)</f>
        <v>43.2</v>
      </c>
      <c r="R373" s="156" t="s">
        <v>692</v>
      </c>
    </row>
    <row r="374" spans="1:22" x14ac:dyDescent="0.35">
      <c r="A374" s="27"/>
      <c r="B374" s="92">
        <v>52</v>
      </c>
      <c r="C374" s="19" t="s">
        <v>120</v>
      </c>
      <c r="D374" s="3" t="s">
        <v>110</v>
      </c>
      <c r="E374" s="27" t="str">
        <f>VLOOKUP(C374,Resources!B:D,3,FALSE)</f>
        <v>M</v>
      </c>
      <c r="F374" s="8">
        <v>1</v>
      </c>
      <c r="G374" s="8">
        <v>1</v>
      </c>
      <c r="H374" s="22">
        <f>H372*1.2</f>
        <v>21.599999999999998</v>
      </c>
      <c r="I374" s="22">
        <f>VLOOKUP(C374,Resources!B:G,6,FALSE)</f>
        <v>9.1</v>
      </c>
      <c r="J374" s="139">
        <f t="shared" si="481"/>
        <v>196.55999999999997</v>
      </c>
      <c r="K374" s="139">
        <f t="shared" si="482"/>
        <v>21.599999999999998</v>
      </c>
      <c r="L374" s="139" t="str">
        <f>IF(E374="M"," ",K374/F374/Workhrs)</f>
        <v xml:space="preserve"> </v>
      </c>
      <c r="M374" s="139">
        <f t="shared" si="483"/>
        <v>0</v>
      </c>
      <c r="N374" s="139">
        <f t="shared" si="484"/>
        <v>196.55999999999997</v>
      </c>
      <c r="O374" s="139">
        <f t="shared" si="485"/>
        <v>0</v>
      </c>
      <c r="P374" s="139">
        <f>IF($E374="S",$J374,0)</f>
        <v>0</v>
      </c>
      <c r="Q374" s="139">
        <f t="shared" si="486"/>
        <v>196.55999999999997</v>
      </c>
      <c r="R374" s="156" t="s">
        <v>695</v>
      </c>
    </row>
    <row r="375" spans="1:22" x14ac:dyDescent="0.35">
      <c r="A375" s="27"/>
      <c r="B375" s="92">
        <v>53</v>
      </c>
      <c r="C375" s="19" t="s">
        <v>124</v>
      </c>
      <c r="D375" s="3" t="s">
        <v>23</v>
      </c>
      <c r="E375" s="27" t="str">
        <f>VLOOKUP(C375,Resources!B:D,3,FALSE)</f>
        <v>M</v>
      </c>
      <c r="F375" s="8">
        <v>1</v>
      </c>
      <c r="G375" s="8">
        <v>1</v>
      </c>
      <c r="H375" s="22">
        <f>H372/0.9</f>
        <v>20</v>
      </c>
      <c r="I375" s="22">
        <f>VLOOKUP(C375,Resources!B:G,6,FALSE)</f>
        <v>0.8</v>
      </c>
      <c r="J375" s="139">
        <f t="shared" si="481"/>
        <v>16</v>
      </c>
      <c r="K375" s="139">
        <f t="shared" si="482"/>
        <v>20</v>
      </c>
      <c r="L375" s="139" t="str">
        <f>IF(E375="M"," ",K375/F375/Workhrs)</f>
        <v xml:space="preserve"> </v>
      </c>
      <c r="M375" s="139">
        <f t="shared" si="483"/>
        <v>0</v>
      </c>
      <c r="N375" s="139">
        <f t="shared" si="484"/>
        <v>16</v>
      </c>
      <c r="O375" s="139">
        <f t="shared" si="485"/>
        <v>0</v>
      </c>
      <c r="P375" s="139">
        <f>IF($E375="S",$J375,0)</f>
        <v>0</v>
      </c>
      <c r="Q375" s="139">
        <f t="shared" si="486"/>
        <v>16</v>
      </c>
      <c r="R375" s="156" t="s">
        <v>695</v>
      </c>
    </row>
    <row r="376" spans="1:22" x14ac:dyDescent="0.35">
      <c r="A376" s="27"/>
      <c r="B376" s="92">
        <v>54</v>
      </c>
      <c r="C376" s="19" t="s">
        <v>177</v>
      </c>
      <c r="D376" s="3" t="s">
        <v>74</v>
      </c>
      <c r="E376" s="27" t="str">
        <f>VLOOKUP(C376,Resources!B:D,3,FALSE)</f>
        <v>M</v>
      </c>
      <c r="F376" s="8">
        <v>1</v>
      </c>
      <c r="G376" s="8">
        <v>1</v>
      </c>
      <c r="H376" s="22">
        <f>H372*0.22*1.1</f>
        <v>4.3559999999999999</v>
      </c>
      <c r="I376" s="22">
        <f>VLOOKUP(C376,Resources!B:G,6,FALSE)</f>
        <v>174</v>
      </c>
      <c r="J376" s="139">
        <f t="shared" si="481"/>
        <v>757.94399999999996</v>
      </c>
      <c r="K376" s="139">
        <f t="shared" si="482"/>
        <v>4.3559999999999999</v>
      </c>
      <c r="L376" s="139" t="str">
        <f>IF(E376="M"," ",K376/F376/Workhrs)</f>
        <v xml:space="preserve"> </v>
      </c>
      <c r="M376" s="139">
        <f t="shared" si="483"/>
        <v>0</v>
      </c>
      <c r="N376" s="139">
        <f t="shared" si="484"/>
        <v>757.94399999999996</v>
      </c>
      <c r="O376" s="139">
        <f t="shared" si="485"/>
        <v>0</v>
      </c>
      <c r="P376" s="139">
        <f>IF($E376="S",$J376,0)</f>
        <v>0</v>
      </c>
      <c r="Q376" s="139">
        <f t="shared" si="486"/>
        <v>757.94399999999996</v>
      </c>
      <c r="R376" s="156" t="s">
        <v>697</v>
      </c>
    </row>
    <row r="377" spans="1:22" x14ac:dyDescent="0.35">
      <c r="A377" s="27"/>
      <c r="B377" s="92">
        <v>55</v>
      </c>
      <c r="C377" s="19" t="s">
        <v>125</v>
      </c>
      <c r="D377" s="3" t="s">
        <v>110</v>
      </c>
      <c r="E377" s="27" t="str">
        <f>VLOOKUP(C377,Resources!B:D,3,FALSE)</f>
        <v>S</v>
      </c>
      <c r="F377" s="8">
        <v>1</v>
      </c>
      <c r="G377" s="8">
        <v>1</v>
      </c>
      <c r="H377" s="22">
        <f>H372</f>
        <v>18</v>
      </c>
      <c r="I377" s="22">
        <f>VLOOKUP(C377,Resources!B:G,6,FALSE)</f>
        <v>27</v>
      </c>
      <c r="J377" s="139">
        <f t="shared" si="481"/>
        <v>486</v>
      </c>
      <c r="K377" s="139">
        <f t="shared" si="482"/>
        <v>18</v>
      </c>
      <c r="L377" s="139">
        <f>IF(E377="M"," ",K377/F377/Workhrs)</f>
        <v>2</v>
      </c>
      <c r="M377" s="139">
        <f t="shared" si="483"/>
        <v>0</v>
      </c>
      <c r="N377" s="139">
        <f t="shared" si="484"/>
        <v>0</v>
      </c>
      <c r="O377" s="139">
        <f t="shared" si="485"/>
        <v>0</v>
      </c>
      <c r="P377" s="139">
        <f>IF($E377="S",$J377,0)</f>
        <v>486</v>
      </c>
      <c r="Q377" s="139">
        <f t="shared" si="486"/>
        <v>486</v>
      </c>
      <c r="R377" s="156">
        <v>182</v>
      </c>
    </row>
    <row r="378" spans="1:22" x14ac:dyDescent="0.35">
      <c r="B378" s="95">
        <v>56</v>
      </c>
      <c r="C378" s="6" t="s">
        <v>402</v>
      </c>
      <c r="F378" s="9"/>
      <c r="G378" s="9"/>
      <c r="H378" s="9"/>
      <c r="I378" s="9"/>
    </row>
    <row r="379" spans="1:22" s="90" customFormat="1" x14ac:dyDescent="0.35">
      <c r="A379" s="26">
        <v>61</v>
      </c>
      <c r="B379" s="94">
        <v>57</v>
      </c>
      <c r="C379" s="14" t="s">
        <v>184</v>
      </c>
      <c r="D379" s="15"/>
      <c r="E379" s="24"/>
      <c r="F379" s="21"/>
      <c r="G379" s="21"/>
      <c r="H379" s="21"/>
      <c r="I379" s="21"/>
      <c r="J379" s="138">
        <f>SUBTOTAL(9,J381:J385)</f>
        <v>666.53511111111118</v>
      </c>
      <c r="K379" s="138"/>
      <c r="L379" s="138">
        <f>ROUNDUP(MAX(L381:L385),0)+1</f>
        <v>2</v>
      </c>
      <c r="M379" s="138">
        <f t="shared" ref="M379:Q379" si="487">SUBTOTAL(9,M381:M385)</f>
        <v>0</v>
      </c>
      <c r="N379" s="138">
        <f t="shared" si="487"/>
        <v>450.53511111111118</v>
      </c>
      <c r="O379" s="138">
        <f t="shared" si="487"/>
        <v>0</v>
      </c>
      <c r="P379" s="138">
        <f t="shared" si="487"/>
        <v>216</v>
      </c>
      <c r="Q379" s="138">
        <f t="shared" si="487"/>
        <v>666.53511111111118</v>
      </c>
      <c r="R379" s="155"/>
      <c r="T379" s="247"/>
      <c r="U379"/>
      <c r="V379" s="277"/>
    </row>
    <row r="380" spans="1:22" x14ac:dyDescent="0.35">
      <c r="A380" s="27">
        <v>61.1</v>
      </c>
      <c r="B380" s="92">
        <v>58</v>
      </c>
      <c r="C380" s="5" t="s">
        <v>704</v>
      </c>
      <c r="D380" s="16" t="s">
        <v>110</v>
      </c>
      <c r="E380" s="27"/>
      <c r="F380" s="8"/>
      <c r="G380" s="8"/>
      <c r="H380" s="97">
        <f>VLOOKUP($A380,'Model Inputs'!$A:$D,4,FALSE)</f>
        <v>8</v>
      </c>
      <c r="I380" s="8"/>
      <c r="J380" s="139"/>
      <c r="K380" s="139"/>
      <c r="L380" s="139"/>
      <c r="M380" s="139"/>
      <c r="N380" s="139"/>
      <c r="O380" s="139"/>
      <c r="P380" s="139"/>
      <c r="Q380" s="139"/>
      <c r="R380" s="156"/>
    </row>
    <row r="381" spans="1:22" x14ac:dyDescent="0.35">
      <c r="A381" s="27"/>
      <c r="B381" s="92">
        <v>59</v>
      </c>
      <c r="C381" s="19" t="s">
        <v>75</v>
      </c>
      <c r="D381" s="3" t="s">
        <v>54</v>
      </c>
      <c r="E381" s="27" t="str">
        <f>VLOOKUP(C381,Resources!B:D,3,FALSE)</f>
        <v>M</v>
      </c>
      <c r="F381" s="8">
        <v>1</v>
      </c>
      <c r="G381" s="8">
        <v>1</v>
      </c>
      <c r="H381" s="22">
        <f>H380*0.1</f>
        <v>0.8</v>
      </c>
      <c r="I381" s="22">
        <f>VLOOKUP(C381,Resources!B:G,6,FALSE)</f>
        <v>24</v>
      </c>
      <c r="J381" s="139">
        <f t="shared" ref="J381:J385" si="488">(H381/(G381/F381))*I381</f>
        <v>19.200000000000003</v>
      </c>
      <c r="K381" s="139">
        <f t="shared" ref="K381:K385" si="489">IF(E381="M",H381,(H381/(G381)*F381))</f>
        <v>0.8</v>
      </c>
      <c r="L381" s="139" t="str">
        <f>IF(E381="M"," ",K381/F381/Workhrs)</f>
        <v xml:space="preserve"> </v>
      </c>
      <c r="M381" s="139">
        <f t="shared" ref="M381:M385" si="490">IF($E381="L",$J381,0)</f>
        <v>0</v>
      </c>
      <c r="N381" s="139">
        <f t="shared" ref="N381:N385" si="491">IF($E381="M",$J381,0)</f>
        <v>19.200000000000003</v>
      </c>
      <c r="O381" s="139">
        <f t="shared" ref="O381:O385" si="492">IF($E381="P",$J381,0)</f>
        <v>0</v>
      </c>
      <c r="P381" s="139">
        <f>IF($E381="S",$J381,0)</f>
        <v>0</v>
      </c>
      <c r="Q381" s="139">
        <f t="shared" ref="Q381:Q385" si="493">SUM(M381:P381)</f>
        <v>19.200000000000003</v>
      </c>
      <c r="R381" s="156" t="s">
        <v>692</v>
      </c>
    </row>
    <row r="382" spans="1:22" x14ac:dyDescent="0.35">
      <c r="A382" s="27"/>
      <c r="B382" s="92">
        <v>60</v>
      </c>
      <c r="C382" s="19" t="s">
        <v>120</v>
      </c>
      <c r="D382" s="3" t="s">
        <v>110</v>
      </c>
      <c r="E382" s="27" t="str">
        <f>VLOOKUP(C382,Resources!B:D,3,FALSE)</f>
        <v>M</v>
      </c>
      <c r="F382" s="8">
        <v>1</v>
      </c>
      <c r="G382" s="8">
        <v>1</v>
      </c>
      <c r="H382" s="22">
        <f>H380*1.2</f>
        <v>9.6</v>
      </c>
      <c r="I382" s="22">
        <f>VLOOKUP(C382,Resources!B:G,6,FALSE)</f>
        <v>9.1</v>
      </c>
      <c r="J382" s="139">
        <f t="shared" si="488"/>
        <v>87.36</v>
      </c>
      <c r="K382" s="139">
        <f t="shared" si="489"/>
        <v>9.6</v>
      </c>
      <c r="L382" s="139" t="str">
        <f>IF(E382="M"," ",K382/F382/Workhrs)</f>
        <v xml:space="preserve"> </v>
      </c>
      <c r="M382" s="139">
        <f t="shared" si="490"/>
        <v>0</v>
      </c>
      <c r="N382" s="139">
        <f t="shared" si="491"/>
        <v>87.36</v>
      </c>
      <c r="O382" s="139">
        <f t="shared" si="492"/>
        <v>0</v>
      </c>
      <c r="P382" s="139">
        <f>IF($E382="S",$J382,0)</f>
        <v>0</v>
      </c>
      <c r="Q382" s="139">
        <f t="shared" si="493"/>
        <v>87.36</v>
      </c>
      <c r="R382" s="156" t="s">
        <v>695</v>
      </c>
    </row>
    <row r="383" spans="1:22" x14ac:dyDescent="0.35">
      <c r="A383" s="27"/>
      <c r="B383" s="92">
        <v>61</v>
      </c>
      <c r="C383" s="19" t="s">
        <v>124</v>
      </c>
      <c r="D383" s="3" t="s">
        <v>23</v>
      </c>
      <c r="E383" s="27" t="str">
        <f>VLOOKUP(C383,Resources!B:D,3,FALSE)</f>
        <v>M</v>
      </c>
      <c r="F383" s="8">
        <v>1</v>
      </c>
      <c r="G383" s="8">
        <v>1</v>
      </c>
      <c r="H383" s="22">
        <f>H380/0.9</f>
        <v>8.8888888888888893</v>
      </c>
      <c r="I383" s="22">
        <f>VLOOKUP(C383,Resources!B:G,6,FALSE)</f>
        <v>0.8</v>
      </c>
      <c r="J383" s="139">
        <f t="shared" si="488"/>
        <v>7.1111111111111116</v>
      </c>
      <c r="K383" s="139">
        <f t="shared" si="489"/>
        <v>8.8888888888888893</v>
      </c>
      <c r="L383" s="139" t="str">
        <f>IF(E383="M"," ",K383/F383/Workhrs)</f>
        <v xml:space="preserve"> </v>
      </c>
      <c r="M383" s="139">
        <f t="shared" si="490"/>
        <v>0</v>
      </c>
      <c r="N383" s="139">
        <f t="shared" si="491"/>
        <v>7.1111111111111116</v>
      </c>
      <c r="O383" s="139">
        <f t="shared" si="492"/>
        <v>0</v>
      </c>
      <c r="P383" s="139">
        <f>IF($E383="S",$J383,0)</f>
        <v>0</v>
      </c>
      <c r="Q383" s="139">
        <f t="shared" si="493"/>
        <v>7.1111111111111116</v>
      </c>
      <c r="R383" s="156" t="s">
        <v>695</v>
      </c>
    </row>
    <row r="384" spans="1:22" x14ac:dyDescent="0.35">
      <c r="A384" s="27"/>
      <c r="B384" s="92">
        <v>62</v>
      </c>
      <c r="C384" s="19" t="s">
        <v>177</v>
      </c>
      <c r="D384" s="3" t="s">
        <v>74</v>
      </c>
      <c r="E384" s="27" t="str">
        <f>VLOOKUP(C384,Resources!B:D,3,FALSE)</f>
        <v>M</v>
      </c>
      <c r="F384" s="8">
        <v>1</v>
      </c>
      <c r="G384" s="8">
        <v>1</v>
      </c>
      <c r="H384" s="22">
        <f>H380*0.22*1.1</f>
        <v>1.9360000000000002</v>
      </c>
      <c r="I384" s="22">
        <f>VLOOKUP(C384,Resources!B:G,6,FALSE)</f>
        <v>174</v>
      </c>
      <c r="J384" s="139">
        <f t="shared" si="488"/>
        <v>336.86400000000003</v>
      </c>
      <c r="K384" s="139">
        <f t="shared" si="489"/>
        <v>1.9360000000000002</v>
      </c>
      <c r="L384" s="139" t="str">
        <f>IF(E384="M"," ",K384/F384/Workhrs)</f>
        <v xml:space="preserve"> </v>
      </c>
      <c r="M384" s="139">
        <f t="shared" si="490"/>
        <v>0</v>
      </c>
      <c r="N384" s="139">
        <f t="shared" si="491"/>
        <v>336.86400000000003</v>
      </c>
      <c r="O384" s="139">
        <f t="shared" si="492"/>
        <v>0</v>
      </c>
      <c r="P384" s="139">
        <f>IF($E384="S",$J384,0)</f>
        <v>0</v>
      </c>
      <c r="Q384" s="139">
        <f t="shared" si="493"/>
        <v>336.86400000000003</v>
      </c>
      <c r="R384" s="156" t="s">
        <v>697</v>
      </c>
    </row>
    <row r="385" spans="1:22" x14ac:dyDescent="0.35">
      <c r="A385" s="27"/>
      <c r="B385" s="92">
        <v>63</v>
      </c>
      <c r="C385" s="19" t="s">
        <v>125</v>
      </c>
      <c r="D385" s="3" t="s">
        <v>110</v>
      </c>
      <c r="E385" s="27" t="str">
        <f>VLOOKUP(C385,Resources!B:D,3,FALSE)</f>
        <v>S</v>
      </c>
      <c r="F385" s="8">
        <v>1</v>
      </c>
      <c r="G385" s="8">
        <v>1</v>
      </c>
      <c r="H385" s="22">
        <f>H380</f>
        <v>8</v>
      </c>
      <c r="I385" s="22">
        <f>VLOOKUP(C385,Resources!B:G,6,FALSE)</f>
        <v>27</v>
      </c>
      <c r="J385" s="139">
        <f t="shared" si="488"/>
        <v>216</v>
      </c>
      <c r="K385" s="139">
        <f t="shared" si="489"/>
        <v>8</v>
      </c>
      <c r="L385" s="139">
        <f>IF(E385="M"," ",K385/F385/Workhrs)</f>
        <v>0.88888888888888884</v>
      </c>
      <c r="M385" s="139">
        <f t="shared" si="490"/>
        <v>0</v>
      </c>
      <c r="N385" s="139">
        <f t="shared" si="491"/>
        <v>0</v>
      </c>
      <c r="O385" s="139">
        <f t="shared" si="492"/>
        <v>0</v>
      </c>
      <c r="P385" s="139">
        <f>IF($E385="S",$J385,0)</f>
        <v>216</v>
      </c>
      <c r="Q385" s="139">
        <f t="shared" si="493"/>
        <v>216</v>
      </c>
      <c r="R385" s="156">
        <v>182</v>
      </c>
    </row>
    <row r="386" spans="1:22" x14ac:dyDescent="0.35">
      <c r="B386" s="95">
        <v>64</v>
      </c>
      <c r="C386" s="6" t="s">
        <v>402</v>
      </c>
      <c r="F386" s="9"/>
      <c r="G386" s="9"/>
      <c r="H386" s="9"/>
      <c r="I386" s="9"/>
    </row>
    <row r="387" spans="1:22" s="90" customFormat="1" x14ac:dyDescent="0.35">
      <c r="A387" s="26">
        <v>62</v>
      </c>
      <c r="B387" s="94">
        <v>65</v>
      </c>
      <c r="C387" s="14" t="s">
        <v>185</v>
      </c>
      <c r="D387" s="15"/>
      <c r="E387" s="24"/>
      <c r="F387" s="21"/>
      <c r="G387" s="21"/>
      <c r="H387" s="21"/>
      <c r="I387" s="21"/>
      <c r="J387" s="138">
        <f>SUBTOTAL(9,J389:J393)</f>
        <v>916.48577777777768</v>
      </c>
      <c r="K387" s="138"/>
      <c r="L387" s="138">
        <f>ROUNDUP(MAX(L389:L393),0)+1</f>
        <v>3</v>
      </c>
      <c r="M387" s="138">
        <f t="shared" ref="M387:Q387" si="494">SUBTOTAL(9,M389:M393)</f>
        <v>0</v>
      </c>
      <c r="N387" s="138">
        <f t="shared" si="494"/>
        <v>619.48577777777768</v>
      </c>
      <c r="O387" s="138">
        <f t="shared" si="494"/>
        <v>0</v>
      </c>
      <c r="P387" s="138">
        <f t="shared" si="494"/>
        <v>297</v>
      </c>
      <c r="Q387" s="138">
        <f t="shared" si="494"/>
        <v>916.48577777777768</v>
      </c>
      <c r="R387" s="155"/>
      <c r="T387" s="247"/>
      <c r="U387"/>
      <c r="V387" s="277"/>
    </row>
    <row r="388" spans="1:22" x14ac:dyDescent="0.35">
      <c r="A388" s="27">
        <v>62.1</v>
      </c>
      <c r="B388" s="92">
        <v>66</v>
      </c>
      <c r="C388" s="5" t="s">
        <v>704</v>
      </c>
      <c r="D388" s="16" t="s">
        <v>110</v>
      </c>
      <c r="E388" s="27"/>
      <c r="F388" s="8"/>
      <c r="G388" s="8"/>
      <c r="H388" s="97">
        <f>VLOOKUP($A388,'Model Inputs'!$A:$D,4,FALSE)</f>
        <v>11</v>
      </c>
      <c r="I388" s="8"/>
      <c r="J388" s="139"/>
      <c r="K388" s="139"/>
      <c r="L388" s="139"/>
      <c r="M388" s="139"/>
      <c r="N388" s="139"/>
      <c r="O388" s="139"/>
      <c r="P388" s="139"/>
      <c r="Q388" s="139"/>
      <c r="R388" s="156"/>
    </row>
    <row r="389" spans="1:22" x14ac:dyDescent="0.35">
      <c r="A389" s="27"/>
      <c r="B389" s="92">
        <v>67</v>
      </c>
      <c r="C389" s="19" t="s">
        <v>75</v>
      </c>
      <c r="D389" s="3" t="s">
        <v>54</v>
      </c>
      <c r="E389" s="27" t="str">
        <f>VLOOKUP(C389,Resources!B:D,3,FALSE)</f>
        <v>M</v>
      </c>
      <c r="F389" s="8">
        <v>1</v>
      </c>
      <c r="G389" s="8">
        <v>1</v>
      </c>
      <c r="H389" s="22">
        <f>H388*0.1</f>
        <v>1.1000000000000001</v>
      </c>
      <c r="I389" s="22">
        <f>VLOOKUP(C389,Resources!B:G,6,FALSE)</f>
        <v>24</v>
      </c>
      <c r="J389" s="139">
        <f t="shared" ref="J389:J393" si="495">(H389/(G389/F389))*I389</f>
        <v>26.400000000000002</v>
      </c>
      <c r="K389" s="139">
        <f t="shared" ref="K389:K393" si="496">IF(E389="M",H389,(H389/(G389)*F389))</f>
        <v>1.1000000000000001</v>
      </c>
      <c r="L389" s="139" t="str">
        <f>IF(E389="M"," ",K389/F389/Workhrs)</f>
        <v xml:space="preserve"> </v>
      </c>
      <c r="M389" s="139">
        <f t="shared" ref="M389:M393" si="497">IF($E389="L",$J389,0)</f>
        <v>0</v>
      </c>
      <c r="N389" s="139">
        <f t="shared" ref="N389:N393" si="498">IF($E389="M",$J389,0)</f>
        <v>26.400000000000002</v>
      </c>
      <c r="O389" s="139">
        <f t="shared" ref="O389:O393" si="499">IF($E389="P",$J389,0)</f>
        <v>0</v>
      </c>
      <c r="P389" s="139">
        <f>IF($E389="S",$J389,0)</f>
        <v>0</v>
      </c>
      <c r="Q389" s="139">
        <f t="shared" ref="Q389:Q393" si="500">SUM(M389:P389)</f>
        <v>26.400000000000002</v>
      </c>
      <c r="R389" s="156" t="s">
        <v>692</v>
      </c>
    </row>
    <row r="390" spans="1:22" x14ac:dyDescent="0.35">
      <c r="A390" s="27"/>
      <c r="B390" s="92">
        <v>68</v>
      </c>
      <c r="C390" s="19" t="s">
        <v>120</v>
      </c>
      <c r="D390" s="3" t="s">
        <v>110</v>
      </c>
      <c r="E390" s="27" t="str">
        <f>VLOOKUP(C390,Resources!B:D,3,FALSE)</f>
        <v>M</v>
      </c>
      <c r="F390" s="8">
        <v>1</v>
      </c>
      <c r="G390" s="8">
        <v>1</v>
      </c>
      <c r="H390" s="22">
        <f>H388*1.2</f>
        <v>13.2</v>
      </c>
      <c r="I390" s="22">
        <f>VLOOKUP(C390,Resources!B:G,6,FALSE)</f>
        <v>9.1</v>
      </c>
      <c r="J390" s="139">
        <f t="shared" si="495"/>
        <v>120.11999999999999</v>
      </c>
      <c r="K390" s="139">
        <f t="shared" si="496"/>
        <v>13.2</v>
      </c>
      <c r="L390" s="139" t="str">
        <f>IF(E390="M"," ",K390/F390/Workhrs)</f>
        <v xml:space="preserve"> </v>
      </c>
      <c r="M390" s="139">
        <f t="shared" si="497"/>
        <v>0</v>
      </c>
      <c r="N390" s="139">
        <f t="shared" si="498"/>
        <v>120.11999999999999</v>
      </c>
      <c r="O390" s="139">
        <f t="shared" si="499"/>
        <v>0</v>
      </c>
      <c r="P390" s="139">
        <f>IF($E390="S",$J390,0)</f>
        <v>0</v>
      </c>
      <c r="Q390" s="139">
        <f t="shared" si="500"/>
        <v>120.11999999999999</v>
      </c>
      <c r="R390" s="156" t="s">
        <v>695</v>
      </c>
    </row>
    <row r="391" spans="1:22" x14ac:dyDescent="0.35">
      <c r="A391" s="27"/>
      <c r="B391" s="92">
        <v>69</v>
      </c>
      <c r="C391" s="19" t="s">
        <v>124</v>
      </c>
      <c r="D391" s="3" t="s">
        <v>23</v>
      </c>
      <c r="E391" s="27" t="str">
        <f>VLOOKUP(C391,Resources!B:D,3,FALSE)</f>
        <v>M</v>
      </c>
      <c r="F391" s="8">
        <v>1</v>
      </c>
      <c r="G391" s="8">
        <v>1</v>
      </c>
      <c r="H391" s="22">
        <f>H388/0.9</f>
        <v>12.222222222222221</v>
      </c>
      <c r="I391" s="22">
        <f>VLOOKUP(C391,Resources!B:G,6,FALSE)</f>
        <v>0.8</v>
      </c>
      <c r="J391" s="139">
        <f t="shared" si="495"/>
        <v>9.7777777777777786</v>
      </c>
      <c r="K391" s="139">
        <f t="shared" si="496"/>
        <v>12.222222222222221</v>
      </c>
      <c r="L391" s="139" t="str">
        <f>IF(E391="M"," ",K391/F391/Workhrs)</f>
        <v xml:space="preserve"> </v>
      </c>
      <c r="M391" s="139">
        <f t="shared" si="497"/>
        <v>0</v>
      </c>
      <c r="N391" s="139">
        <f t="shared" si="498"/>
        <v>9.7777777777777786</v>
      </c>
      <c r="O391" s="139">
        <f t="shared" si="499"/>
        <v>0</v>
      </c>
      <c r="P391" s="139">
        <f>IF($E391="S",$J391,0)</f>
        <v>0</v>
      </c>
      <c r="Q391" s="139">
        <f t="shared" si="500"/>
        <v>9.7777777777777786</v>
      </c>
      <c r="R391" s="156" t="s">
        <v>695</v>
      </c>
    </row>
    <row r="392" spans="1:22" x14ac:dyDescent="0.35">
      <c r="A392" s="27"/>
      <c r="B392" s="92">
        <v>70</v>
      </c>
      <c r="C392" s="19" t="s">
        <v>177</v>
      </c>
      <c r="D392" s="3" t="s">
        <v>74</v>
      </c>
      <c r="E392" s="27" t="str">
        <f>VLOOKUP(C392,Resources!B:D,3,FALSE)</f>
        <v>M</v>
      </c>
      <c r="F392" s="8">
        <v>1</v>
      </c>
      <c r="G392" s="8">
        <v>1</v>
      </c>
      <c r="H392" s="22">
        <f>H388*0.22*1.1</f>
        <v>2.6619999999999999</v>
      </c>
      <c r="I392" s="22">
        <f>VLOOKUP(C392,Resources!B:G,6,FALSE)</f>
        <v>174</v>
      </c>
      <c r="J392" s="139">
        <f t="shared" si="495"/>
        <v>463.18799999999999</v>
      </c>
      <c r="K392" s="139">
        <f t="shared" si="496"/>
        <v>2.6619999999999999</v>
      </c>
      <c r="L392" s="139" t="str">
        <f>IF(E392="M"," ",K392/F392/Workhrs)</f>
        <v xml:space="preserve"> </v>
      </c>
      <c r="M392" s="139">
        <f t="shared" si="497"/>
        <v>0</v>
      </c>
      <c r="N392" s="139">
        <f t="shared" si="498"/>
        <v>463.18799999999999</v>
      </c>
      <c r="O392" s="139">
        <f t="shared" si="499"/>
        <v>0</v>
      </c>
      <c r="P392" s="139">
        <f>IF($E392="S",$J392,0)</f>
        <v>0</v>
      </c>
      <c r="Q392" s="139">
        <f t="shared" si="500"/>
        <v>463.18799999999999</v>
      </c>
      <c r="R392" s="156" t="s">
        <v>697</v>
      </c>
    </row>
    <row r="393" spans="1:22" x14ac:dyDescent="0.35">
      <c r="A393" s="27"/>
      <c r="B393" s="92">
        <v>71</v>
      </c>
      <c r="C393" s="19" t="s">
        <v>125</v>
      </c>
      <c r="D393" s="3" t="s">
        <v>110</v>
      </c>
      <c r="E393" s="27" t="str">
        <f>VLOOKUP(C393,Resources!B:D,3,FALSE)</f>
        <v>S</v>
      </c>
      <c r="F393" s="8">
        <v>1</v>
      </c>
      <c r="G393" s="8">
        <v>1</v>
      </c>
      <c r="H393" s="22">
        <f>H388</f>
        <v>11</v>
      </c>
      <c r="I393" s="22">
        <f>VLOOKUP(C393,Resources!B:G,6,FALSE)</f>
        <v>27</v>
      </c>
      <c r="J393" s="139">
        <f t="shared" si="495"/>
        <v>297</v>
      </c>
      <c r="K393" s="139">
        <f t="shared" si="496"/>
        <v>11</v>
      </c>
      <c r="L393" s="139">
        <f>IF(E393="M"," ",K393/F393/Workhrs)</f>
        <v>1.2222222222222223</v>
      </c>
      <c r="M393" s="139">
        <f t="shared" si="497"/>
        <v>0</v>
      </c>
      <c r="N393" s="139">
        <f t="shared" si="498"/>
        <v>0</v>
      </c>
      <c r="O393" s="139">
        <f t="shared" si="499"/>
        <v>0</v>
      </c>
      <c r="P393" s="139">
        <f>IF($E393="S",$J393,0)</f>
        <v>297</v>
      </c>
      <c r="Q393" s="139">
        <f t="shared" si="500"/>
        <v>297</v>
      </c>
      <c r="R393" s="156">
        <v>182</v>
      </c>
    </row>
    <row r="394" spans="1:22" x14ac:dyDescent="0.35">
      <c r="B394" s="95">
        <v>72</v>
      </c>
      <c r="C394" s="6" t="s">
        <v>402</v>
      </c>
      <c r="F394" s="9"/>
      <c r="G394" s="9"/>
      <c r="H394" s="9"/>
      <c r="I394" s="9"/>
    </row>
    <row r="395" spans="1:22" s="90" customFormat="1" x14ac:dyDescent="0.35">
      <c r="A395" s="26">
        <v>63</v>
      </c>
      <c r="B395" s="94">
        <v>73</v>
      </c>
      <c r="C395" s="14" t="s">
        <v>186</v>
      </c>
      <c r="D395" s="15"/>
      <c r="E395" s="24"/>
      <c r="F395" s="21"/>
      <c r="G395" s="21"/>
      <c r="H395" s="21"/>
      <c r="I395" s="21"/>
      <c r="J395" s="138">
        <f>SUBTOTAL(9,J397:J401)</f>
        <v>2949.4178666666667</v>
      </c>
      <c r="K395" s="138"/>
      <c r="L395" s="138">
        <f>ROUNDUP(MAX(L397:L401),0)+1</f>
        <v>3</v>
      </c>
      <c r="M395" s="138">
        <f t="shared" ref="M395:Q395" si="501">SUBTOTAL(9,M397:M401)</f>
        <v>0</v>
      </c>
      <c r="N395" s="138">
        <f t="shared" si="501"/>
        <v>1993.6178666666667</v>
      </c>
      <c r="O395" s="138">
        <f t="shared" si="501"/>
        <v>0</v>
      </c>
      <c r="P395" s="138">
        <f t="shared" si="501"/>
        <v>955.8</v>
      </c>
      <c r="Q395" s="138">
        <f t="shared" si="501"/>
        <v>2949.4178666666667</v>
      </c>
      <c r="R395" s="155"/>
      <c r="T395" s="247"/>
      <c r="U395"/>
      <c r="V395" s="277"/>
    </row>
    <row r="396" spans="1:22" x14ac:dyDescent="0.35">
      <c r="A396" s="27">
        <v>63.1</v>
      </c>
      <c r="B396" s="92">
        <v>74</v>
      </c>
      <c r="C396" s="5" t="s">
        <v>704</v>
      </c>
      <c r="D396" s="16" t="s">
        <v>110</v>
      </c>
      <c r="E396" s="27"/>
      <c r="F396" s="8"/>
      <c r="G396" s="8"/>
      <c r="H396" s="97">
        <f>VLOOKUP($A396,'Model Inputs'!$A:$D,4,FALSE)</f>
        <v>35.4</v>
      </c>
      <c r="I396" s="8"/>
      <c r="J396" s="139"/>
      <c r="K396" s="139"/>
      <c r="L396" s="139"/>
      <c r="M396" s="139"/>
      <c r="N396" s="139"/>
      <c r="O396" s="139"/>
      <c r="P396" s="139"/>
      <c r="Q396" s="139"/>
      <c r="R396" s="156"/>
    </row>
    <row r="397" spans="1:22" x14ac:dyDescent="0.35">
      <c r="A397" s="27"/>
      <c r="B397" s="92">
        <v>75</v>
      </c>
      <c r="C397" s="19" t="s">
        <v>75</v>
      </c>
      <c r="D397" s="3" t="s">
        <v>54</v>
      </c>
      <c r="E397" s="27" t="str">
        <f>VLOOKUP(C397,Resources!B:D,3,FALSE)</f>
        <v>M</v>
      </c>
      <c r="F397" s="8">
        <v>1</v>
      </c>
      <c r="G397" s="8">
        <v>1</v>
      </c>
      <c r="H397" s="22">
        <f>H396*0.1</f>
        <v>3.54</v>
      </c>
      <c r="I397" s="22">
        <f>VLOOKUP(C397,Resources!B:G,6,FALSE)</f>
        <v>24</v>
      </c>
      <c r="J397" s="139">
        <f t="shared" ref="J397:J401" si="502">(H397/(G397/F397))*I397</f>
        <v>84.960000000000008</v>
      </c>
      <c r="K397" s="139">
        <f t="shared" ref="K397:K401" si="503">IF(E397="M",H397,(H397/(G397)*F397))</f>
        <v>3.54</v>
      </c>
      <c r="L397" s="139" t="str">
        <f>IF(E397="M"," ",K397/F397/Workhrs)</f>
        <v xml:space="preserve"> </v>
      </c>
      <c r="M397" s="139">
        <f t="shared" ref="M397:M401" si="504">IF($E397="L",$J397,0)</f>
        <v>0</v>
      </c>
      <c r="N397" s="139">
        <f t="shared" ref="N397:N401" si="505">IF($E397="M",$J397,0)</f>
        <v>84.960000000000008</v>
      </c>
      <c r="O397" s="139">
        <f t="shared" ref="O397:O401" si="506">IF($E397="P",$J397,0)</f>
        <v>0</v>
      </c>
      <c r="P397" s="139">
        <f>IF($E397="S",$J397,0)</f>
        <v>0</v>
      </c>
      <c r="Q397" s="139">
        <f t="shared" ref="Q397:Q401" si="507">SUM(M397:P397)</f>
        <v>84.960000000000008</v>
      </c>
      <c r="R397" s="156" t="s">
        <v>692</v>
      </c>
    </row>
    <row r="398" spans="1:22" x14ac:dyDescent="0.35">
      <c r="A398" s="27"/>
      <c r="B398" s="92">
        <v>76</v>
      </c>
      <c r="C398" s="19" t="s">
        <v>120</v>
      </c>
      <c r="D398" s="3" t="s">
        <v>110</v>
      </c>
      <c r="E398" s="27" t="str">
        <f>VLOOKUP(C398,Resources!B:D,3,FALSE)</f>
        <v>M</v>
      </c>
      <c r="F398" s="8">
        <v>1</v>
      </c>
      <c r="G398" s="8">
        <v>1</v>
      </c>
      <c r="H398" s="22">
        <f>H396*1.2</f>
        <v>42.48</v>
      </c>
      <c r="I398" s="22">
        <f>VLOOKUP(C398,Resources!B:G,6,FALSE)</f>
        <v>9.1</v>
      </c>
      <c r="J398" s="139">
        <f t="shared" si="502"/>
        <v>386.56799999999998</v>
      </c>
      <c r="K398" s="139">
        <f t="shared" si="503"/>
        <v>42.48</v>
      </c>
      <c r="L398" s="139" t="str">
        <f>IF(E398="M"," ",K398/F398/Workhrs)</f>
        <v xml:space="preserve"> </v>
      </c>
      <c r="M398" s="139">
        <f t="shared" si="504"/>
        <v>0</v>
      </c>
      <c r="N398" s="139">
        <f t="shared" si="505"/>
        <v>386.56799999999998</v>
      </c>
      <c r="O398" s="139">
        <f t="shared" si="506"/>
        <v>0</v>
      </c>
      <c r="P398" s="139">
        <f>IF($E398="S",$J398,0)</f>
        <v>0</v>
      </c>
      <c r="Q398" s="139">
        <f t="shared" si="507"/>
        <v>386.56799999999998</v>
      </c>
      <c r="R398" s="156" t="s">
        <v>695</v>
      </c>
    </row>
    <row r="399" spans="1:22" x14ac:dyDescent="0.35">
      <c r="A399" s="27"/>
      <c r="B399" s="92">
        <v>77</v>
      </c>
      <c r="C399" s="19" t="s">
        <v>124</v>
      </c>
      <c r="D399" s="3" t="s">
        <v>23</v>
      </c>
      <c r="E399" s="27" t="str">
        <f>VLOOKUP(C399,Resources!B:D,3,FALSE)</f>
        <v>M</v>
      </c>
      <c r="F399" s="8">
        <v>1</v>
      </c>
      <c r="G399" s="8">
        <v>1</v>
      </c>
      <c r="H399" s="22">
        <f>H396/0.9</f>
        <v>39.333333333333329</v>
      </c>
      <c r="I399" s="22">
        <f>VLOOKUP(C399,Resources!B:G,6,FALSE)</f>
        <v>0.8</v>
      </c>
      <c r="J399" s="139">
        <f t="shared" si="502"/>
        <v>31.466666666666665</v>
      </c>
      <c r="K399" s="139">
        <f t="shared" si="503"/>
        <v>39.333333333333329</v>
      </c>
      <c r="L399" s="139" t="str">
        <f>IF(E399="M"," ",K399/F399/Workhrs)</f>
        <v xml:space="preserve"> </v>
      </c>
      <c r="M399" s="139">
        <f t="shared" si="504"/>
        <v>0</v>
      </c>
      <c r="N399" s="139">
        <f t="shared" si="505"/>
        <v>31.466666666666665</v>
      </c>
      <c r="O399" s="139">
        <f t="shared" si="506"/>
        <v>0</v>
      </c>
      <c r="P399" s="139">
        <f>IF($E399="S",$J399,0)</f>
        <v>0</v>
      </c>
      <c r="Q399" s="139">
        <f t="shared" si="507"/>
        <v>31.466666666666665</v>
      </c>
      <c r="R399" s="156" t="s">
        <v>695</v>
      </c>
    </row>
    <row r="400" spans="1:22" x14ac:dyDescent="0.35">
      <c r="A400" s="27"/>
      <c r="B400" s="92">
        <v>78</v>
      </c>
      <c r="C400" s="19" t="s">
        <v>177</v>
      </c>
      <c r="D400" s="3" t="s">
        <v>74</v>
      </c>
      <c r="E400" s="27" t="str">
        <f>VLOOKUP(C400,Resources!B:D,3,FALSE)</f>
        <v>M</v>
      </c>
      <c r="F400" s="8">
        <v>1</v>
      </c>
      <c r="G400" s="8">
        <v>1</v>
      </c>
      <c r="H400" s="22">
        <f>H396*0.22*1.1</f>
        <v>8.5668000000000006</v>
      </c>
      <c r="I400" s="22">
        <f>VLOOKUP(C400,Resources!B:G,6,FALSE)</f>
        <v>174</v>
      </c>
      <c r="J400" s="139">
        <f t="shared" si="502"/>
        <v>1490.6232</v>
      </c>
      <c r="K400" s="139">
        <f t="shared" si="503"/>
        <v>8.5668000000000006</v>
      </c>
      <c r="L400" s="139" t="str">
        <f>IF(E400="M"," ",K400/F400/Workhrs)</f>
        <v xml:space="preserve"> </v>
      </c>
      <c r="M400" s="139">
        <f t="shared" si="504"/>
        <v>0</v>
      </c>
      <c r="N400" s="139">
        <f t="shared" si="505"/>
        <v>1490.6232</v>
      </c>
      <c r="O400" s="139">
        <f t="shared" si="506"/>
        <v>0</v>
      </c>
      <c r="P400" s="139">
        <f>IF($E400="S",$J400,0)</f>
        <v>0</v>
      </c>
      <c r="Q400" s="139">
        <f t="shared" si="507"/>
        <v>1490.6232</v>
      </c>
      <c r="R400" s="156" t="s">
        <v>697</v>
      </c>
    </row>
    <row r="401" spans="1:22" x14ac:dyDescent="0.35">
      <c r="A401" s="27"/>
      <c r="B401" s="92">
        <v>79</v>
      </c>
      <c r="C401" s="19" t="s">
        <v>125</v>
      </c>
      <c r="D401" s="3" t="s">
        <v>110</v>
      </c>
      <c r="E401" s="27" t="str">
        <f>VLOOKUP(C401,Resources!B:D,3,FALSE)</f>
        <v>S</v>
      </c>
      <c r="F401" s="8">
        <v>1</v>
      </c>
      <c r="G401" s="8">
        <v>1</v>
      </c>
      <c r="H401" s="22">
        <f>H396</f>
        <v>35.4</v>
      </c>
      <c r="I401" s="22">
        <f>VLOOKUP(C401,Resources!B:G,6,FALSE)</f>
        <v>27</v>
      </c>
      <c r="J401" s="139">
        <f t="shared" si="502"/>
        <v>955.8</v>
      </c>
      <c r="K401" s="139">
        <f t="shared" si="503"/>
        <v>35.4</v>
      </c>
      <c r="L401" s="139">
        <f>IF(E401="M"," ",K401/(F401*3)/Workhrs)</f>
        <v>1.3111111111111109</v>
      </c>
      <c r="M401" s="139">
        <f t="shared" si="504"/>
        <v>0</v>
      </c>
      <c r="N401" s="139">
        <f t="shared" si="505"/>
        <v>0</v>
      </c>
      <c r="O401" s="139">
        <f t="shared" si="506"/>
        <v>0</v>
      </c>
      <c r="P401" s="139">
        <f>IF($E401="S",$J401,0)</f>
        <v>955.8</v>
      </c>
      <c r="Q401" s="139">
        <f t="shared" si="507"/>
        <v>955.8</v>
      </c>
      <c r="R401" s="156">
        <v>182</v>
      </c>
    </row>
    <row r="402" spans="1:22" x14ac:dyDescent="0.35">
      <c r="B402" s="95">
        <v>80</v>
      </c>
      <c r="C402" s="6" t="s">
        <v>402</v>
      </c>
      <c r="F402" s="9"/>
      <c r="G402" s="9"/>
      <c r="H402" s="9"/>
      <c r="I402" s="9"/>
    </row>
    <row r="403" spans="1:22" s="90" customFormat="1" x14ac:dyDescent="0.35">
      <c r="A403" s="26">
        <v>64</v>
      </c>
      <c r="B403" s="94">
        <v>81</v>
      </c>
      <c r="C403" s="14" t="s">
        <v>187</v>
      </c>
      <c r="D403" s="15"/>
      <c r="E403" s="24"/>
      <c r="F403" s="21"/>
      <c r="G403" s="21"/>
      <c r="H403" s="21"/>
      <c r="I403" s="21"/>
      <c r="J403" s="138">
        <f>SUBTOTAL(9,J405:J409)</f>
        <v>3682.6064888888891</v>
      </c>
      <c r="K403" s="138"/>
      <c r="L403" s="138">
        <f>ROUNDUP(MAX(L405:L409),0)+1</f>
        <v>3</v>
      </c>
      <c r="M403" s="138">
        <f t="shared" ref="M403:Q403" si="508">SUBTOTAL(9,M405:M409)</f>
        <v>0</v>
      </c>
      <c r="N403" s="138">
        <f t="shared" si="508"/>
        <v>2489.206488888889</v>
      </c>
      <c r="O403" s="138">
        <f t="shared" si="508"/>
        <v>0</v>
      </c>
      <c r="P403" s="138">
        <f t="shared" si="508"/>
        <v>1193.4000000000001</v>
      </c>
      <c r="Q403" s="138">
        <f t="shared" si="508"/>
        <v>3682.6064888888891</v>
      </c>
      <c r="R403" s="155"/>
      <c r="T403" s="247"/>
      <c r="U403"/>
      <c r="V403" s="277"/>
    </row>
    <row r="404" spans="1:22" x14ac:dyDescent="0.35">
      <c r="A404" s="27">
        <v>64.099999999999994</v>
      </c>
      <c r="B404" s="92">
        <v>82</v>
      </c>
      <c r="C404" s="5" t="s">
        <v>704</v>
      </c>
      <c r="D404" s="16" t="s">
        <v>110</v>
      </c>
      <c r="E404" s="27"/>
      <c r="F404" s="8"/>
      <c r="G404" s="8"/>
      <c r="H404" s="97">
        <f>VLOOKUP($A404,'Model Inputs'!$A:$D,4,FALSE)</f>
        <v>44.2</v>
      </c>
      <c r="I404" s="8"/>
      <c r="J404" s="139"/>
      <c r="K404" s="139"/>
      <c r="L404" s="139"/>
      <c r="M404" s="139"/>
      <c r="N404" s="139"/>
      <c r="O404" s="139"/>
      <c r="P404" s="139"/>
      <c r="Q404" s="139"/>
      <c r="R404" s="156"/>
    </row>
    <row r="405" spans="1:22" x14ac:dyDescent="0.35">
      <c r="A405" s="27"/>
      <c r="B405" s="92">
        <v>83</v>
      </c>
      <c r="C405" s="19" t="s">
        <v>75</v>
      </c>
      <c r="D405" s="3" t="s">
        <v>54</v>
      </c>
      <c r="E405" s="27" t="str">
        <f>VLOOKUP(C405,Resources!B:D,3,FALSE)</f>
        <v>M</v>
      </c>
      <c r="F405" s="8">
        <v>1</v>
      </c>
      <c r="G405" s="8">
        <v>1</v>
      </c>
      <c r="H405" s="22">
        <f>H404*0.1</f>
        <v>4.4200000000000008</v>
      </c>
      <c r="I405" s="22">
        <f>VLOOKUP(C405,Resources!B:G,6,FALSE)</f>
        <v>24</v>
      </c>
      <c r="J405" s="139">
        <f t="shared" ref="J405:J409" si="509">(H405/(G405/F405))*I405</f>
        <v>106.08000000000001</v>
      </c>
      <c r="K405" s="139">
        <f t="shared" ref="K405:K409" si="510">IF(E405="M",H405,(H405/(G405)*F405))</f>
        <v>4.4200000000000008</v>
      </c>
      <c r="L405" s="139" t="str">
        <f>IF(E405="M"," ",K405/F405/Workhrs)</f>
        <v xml:space="preserve"> </v>
      </c>
      <c r="M405" s="139">
        <f t="shared" ref="M405:M409" si="511">IF($E405="L",$J405,0)</f>
        <v>0</v>
      </c>
      <c r="N405" s="139">
        <f t="shared" ref="N405:N409" si="512">IF($E405="M",$J405,0)</f>
        <v>106.08000000000001</v>
      </c>
      <c r="O405" s="139">
        <f t="shared" ref="O405:O409" si="513">IF($E405="P",$J405,0)</f>
        <v>0</v>
      </c>
      <c r="P405" s="139">
        <f>IF($E405="S",$J405,0)</f>
        <v>0</v>
      </c>
      <c r="Q405" s="139">
        <f t="shared" ref="Q405:Q409" si="514">SUM(M405:P405)</f>
        <v>106.08000000000001</v>
      </c>
      <c r="R405" s="156" t="s">
        <v>692</v>
      </c>
    </row>
    <row r="406" spans="1:22" x14ac:dyDescent="0.35">
      <c r="A406" s="27"/>
      <c r="B406" s="92">
        <v>84</v>
      </c>
      <c r="C406" s="19" t="s">
        <v>120</v>
      </c>
      <c r="D406" s="3" t="s">
        <v>110</v>
      </c>
      <c r="E406" s="27" t="str">
        <f>VLOOKUP(C406,Resources!B:D,3,FALSE)</f>
        <v>M</v>
      </c>
      <c r="F406" s="8">
        <v>1</v>
      </c>
      <c r="G406" s="8">
        <v>1</v>
      </c>
      <c r="H406" s="22">
        <f>H404*1.2</f>
        <v>53.04</v>
      </c>
      <c r="I406" s="22">
        <f>VLOOKUP(C406,Resources!B:G,6,FALSE)</f>
        <v>9.1</v>
      </c>
      <c r="J406" s="139">
        <f t="shared" si="509"/>
        <v>482.66399999999999</v>
      </c>
      <c r="K406" s="139">
        <f t="shared" si="510"/>
        <v>53.04</v>
      </c>
      <c r="L406" s="139" t="str">
        <f>IF(E406="M"," ",K406/F406/Workhrs)</f>
        <v xml:space="preserve"> </v>
      </c>
      <c r="M406" s="139">
        <f t="shared" si="511"/>
        <v>0</v>
      </c>
      <c r="N406" s="139">
        <f t="shared" si="512"/>
        <v>482.66399999999999</v>
      </c>
      <c r="O406" s="139">
        <f t="shared" si="513"/>
        <v>0</v>
      </c>
      <c r="P406" s="139">
        <f>IF($E406="S",$J406,0)</f>
        <v>0</v>
      </c>
      <c r="Q406" s="139">
        <f t="shared" si="514"/>
        <v>482.66399999999999</v>
      </c>
      <c r="R406" s="156" t="s">
        <v>695</v>
      </c>
    </row>
    <row r="407" spans="1:22" x14ac:dyDescent="0.35">
      <c r="A407" s="27"/>
      <c r="B407" s="92">
        <v>85</v>
      </c>
      <c r="C407" s="19" t="s">
        <v>124</v>
      </c>
      <c r="D407" s="3" t="s">
        <v>23</v>
      </c>
      <c r="E407" s="27" t="str">
        <f>VLOOKUP(C407,Resources!B:D,3,FALSE)</f>
        <v>M</v>
      </c>
      <c r="F407" s="8">
        <v>1</v>
      </c>
      <c r="G407" s="8">
        <v>1</v>
      </c>
      <c r="H407" s="22">
        <f>H404/0.9</f>
        <v>49.111111111111114</v>
      </c>
      <c r="I407" s="22">
        <f>VLOOKUP(C407,Resources!B:G,6,FALSE)</f>
        <v>0.8</v>
      </c>
      <c r="J407" s="139">
        <f t="shared" si="509"/>
        <v>39.288888888888891</v>
      </c>
      <c r="K407" s="139">
        <f t="shared" si="510"/>
        <v>49.111111111111114</v>
      </c>
      <c r="L407" s="139" t="str">
        <f>IF(E407="M"," ",K407/F407/Workhrs)</f>
        <v xml:space="preserve"> </v>
      </c>
      <c r="M407" s="139">
        <f t="shared" si="511"/>
        <v>0</v>
      </c>
      <c r="N407" s="139">
        <f t="shared" si="512"/>
        <v>39.288888888888891</v>
      </c>
      <c r="O407" s="139">
        <f t="shared" si="513"/>
        <v>0</v>
      </c>
      <c r="P407" s="139">
        <f>IF($E407="S",$J407,0)</f>
        <v>0</v>
      </c>
      <c r="Q407" s="139">
        <f t="shared" si="514"/>
        <v>39.288888888888891</v>
      </c>
      <c r="R407" s="156" t="s">
        <v>695</v>
      </c>
    </row>
    <row r="408" spans="1:22" x14ac:dyDescent="0.35">
      <c r="A408" s="27"/>
      <c r="B408" s="92">
        <v>86</v>
      </c>
      <c r="C408" s="19" t="s">
        <v>177</v>
      </c>
      <c r="D408" s="3" t="s">
        <v>74</v>
      </c>
      <c r="E408" s="27" t="str">
        <f>VLOOKUP(C408,Resources!B:D,3,FALSE)</f>
        <v>M</v>
      </c>
      <c r="F408" s="8">
        <v>1</v>
      </c>
      <c r="G408" s="8">
        <v>1</v>
      </c>
      <c r="H408" s="22">
        <f>H404*0.22*1.1</f>
        <v>10.696400000000001</v>
      </c>
      <c r="I408" s="22">
        <f>VLOOKUP(C408,Resources!B:G,6,FALSE)</f>
        <v>174</v>
      </c>
      <c r="J408" s="139">
        <f t="shared" si="509"/>
        <v>1861.1736000000001</v>
      </c>
      <c r="K408" s="139">
        <f t="shared" si="510"/>
        <v>10.696400000000001</v>
      </c>
      <c r="L408" s="139" t="str">
        <f>IF(E408="M"," ",K408/F408/Workhrs)</f>
        <v xml:space="preserve"> </v>
      </c>
      <c r="M408" s="139">
        <f t="shared" si="511"/>
        <v>0</v>
      </c>
      <c r="N408" s="139">
        <f t="shared" si="512"/>
        <v>1861.1736000000001</v>
      </c>
      <c r="O408" s="139">
        <f t="shared" si="513"/>
        <v>0</v>
      </c>
      <c r="P408" s="139">
        <f>IF($E408="S",$J408,0)</f>
        <v>0</v>
      </c>
      <c r="Q408" s="139">
        <f t="shared" si="514"/>
        <v>1861.1736000000001</v>
      </c>
      <c r="R408" s="156" t="s">
        <v>697</v>
      </c>
    </row>
    <row r="409" spans="1:22" x14ac:dyDescent="0.35">
      <c r="A409" s="27"/>
      <c r="B409" s="92">
        <v>87</v>
      </c>
      <c r="C409" s="19" t="s">
        <v>125</v>
      </c>
      <c r="D409" s="3" t="s">
        <v>110</v>
      </c>
      <c r="E409" s="27" t="str">
        <f>VLOOKUP(C409,Resources!B:D,3,FALSE)</f>
        <v>S</v>
      </c>
      <c r="F409" s="8">
        <v>1</v>
      </c>
      <c r="G409" s="8">
        <v>1</v>
      </c>
      <c r="H409" s="22">
        <f>H404</f>
        <v>44.2</v>
      </c>
      <c r="I409" s="22">
        <f>VLOOKUP(C409,Resources!B:G,6,FALSE)</f>
        <v>27</v>
      </c>
      <c r="J409" s="139">
        <f t="shared" si="509"/>
        <v>1193.4000000000001</v>
      </c>
      <c r="K409" s="139">
        <f t="shared" si="510"/>
        <v>44.2</v>
      </c>
      <c r="L409" s="139">
        <f>IF(E409="M"," ",K409/(F409*4)/Workhrs)</f>
        <v>1.2277777777777779</v>
      </c>
      <c r="M409" s="139">
        <f t="shared" si="511"/>
        <v>0</v>
      </c>
      <c r="N409" s="139">
        <f t="shared" si="512"/>
        <v>0</v>
      </c>
      <c r="O409" s="139">
        <f t="shared" si="513"/>
        <v>0</v>
      </c>
      <c r="P409" s="139">
        <f>IF($E409="S",$J409,0)</f>
        <v>1193.4000000000001</v>
      </c>
      <c r="Q409" s="139">
        <f t="shared" si="514"/>
        <v>1193.4000000000001</v>
      </c>
      <c r="R409" s="156">
        <v>182</v>
      </c>
    </row>
    <row r="410" spans="1:22" x14ac:dyDescent="0.35">
      <c r="B410" s="95">
        <v>88</v>
      </c>
      <c r="C410" s="6" t="s">
        <v>402</v>
      </c>
      <c r="F410" s="9"/>
      <c r="G410" s="9"/>
      <c r="H410" s="9"/>
      <c r="I410" s="9"/>
    </row>
    <row r="411" spans="1:22" s="90" customFormat="1" x14ac:dyDescent="0.35">
      <c r="A411" s="26">
        <v>65</v>
      </c>
      <c r="B411" s="94">
        <v>89</v>
      </c>
      <c r="C411" s="14" t="s">
        <v>188</v>
      </c>
      <c r="D411" s="15"/>
      <c r="E411" s="24"/>
      <c r="F411" s="21"/>
      <c r="G411" s="21"/>
      <c r="H411" s="21"/>
      <c r="I411" s="21"/>
      <c r="J411" s="138">
        <f>SUBTOTAL(9,J413:J417)</f>
        <v>2399.5264000000002</v>
      </c>
      <c r="K411" s="138"/>
      <c r="L411" s="138">
        <f>ROUNDUP(MAX(L413:L417),0)+1</f>
        <v>5</v>
      </c>
      <c r="M411" s="138">
        <f t="shared" ref="M411:Q411" si="515">SUBTOTAL(9,M413:M417)</f>
        <v>0</v>
      </c>
      <c r="N411" s="138">
        <f t="shared" si="515"/>
        <v>1621.9264000000003</v>
      </c>
      <c r="O411" s="138">
        <f t="shared" si="515"/>
        <v>0</v>
      </c>
      <c r="P411" s="138">
        <f t="shared" si="515"/>
        <v>777.6</v>
      </c>
      <c r="Q411" s="138">
        <f t="shared" si="515"/>
        <v>2399.5264000000002</v>
      </c>
      <c r="R411" s="155"/>
      <c r="T411" s="247"/>
      <c r="U411"/>
      <c r="V411" s="277"/>
    </row>
    <row r="412" spans="1:22" x14ac:dyDescent="0.35">
      <c r="A412" s="27">
        <v>65.099999999999994</v>
      </c>
      <c r="B412" s="92">
        <v>90</v>
      </c>
      <c r="C412" s="5" t="s">
        <v>704</v>
      </c>
      <c r="D412" s="16" t="s">
        <v>110</v>
      </c>
      <c r="E412" s="27"/>
      <c r="F412" s="8"/>
      <c r="G412" s="8"/>
      <c r="H412" s="97">
        <f>VLOOKUP($A412,'Model Inputs'!$A:$D,4,FALSE)</f>
        <v>28.8</v>
      </c>
      <c r="I412" s="8"/>
      <c r="J412" s="139"/>
      <c r="K412" s="139"/>
      <c r="L412" s="139"/>
      <c r="M412" s="139"/>
      <c r="N412" s="139"/>
      <c r="O412" s="139"/>
      <c r="P412" s="139"/>
      <c r="Q412" s="139"/>
      <c r="R412" s="156"/>
    </row>
    <row r="413" spans="1:22" x14ac:dyDescent="0.35">
      <c r="A413" s="27"/>
      <c r="B413" s="92">
        <v>91</v>
      </c>
      <c r="C413" s="19" t="s">
        <v>75</v>
      </c>
      <c r="D413" s="3" t="s">
        <v>54</v>
      </c>
      <c r="E413" s="27" t="str">
        <f>VLOOKUP(C413,Resources!B:D,3,FALSE)</f>
        <v>M</v>
      </c>
      <c r="F413" s="8">
        <v>1</v>
      </c>
      <c r="G413" s="8">
        <v>1</v>
      </c>
      <c r="H413" s="22">
        <f>H412*0.1</f>
        <v>2.8800000000000003</v>
      </c>
      <c r="I413" s="22">
        <f>VLOOKUP(C413,Resources!B:G,6,FALSE)</f>
        <v>24</v>
      </c>
      <c r="J413" s="139">
        <f t="shared" ref="J413:J417" si="516">(H413/(G413/F413))*I413</f>
        <v>69.12</v>
      </c>
      <c r="K413" s="139">
        <f t="shared" ref="K413:K417" si="517">IF(E413="M",H413,(H413/(G413)*F413))</f>
        <v>2.8800000000000003</v>
      </c>
      <c r="L413" s="139" t="str">
        <f>IF(E413="M"," ",K413/F413/Workhrs)</f>
        <v xml:space="preserve"> </v>
      </c>
      <c r="M413" s="139">
        <f t="shared" ref="M413:M417" si="518">IF($E413="L",$J413,0)</f>
        <v>0</v>
      </c>
      <c r="N413" s="139">
        <f t="shared" ref="N413:N417" si="519">IF($E413="M",$J413,0)</f>
        <v>69.12</v>
      </c>
      <c r="O413" s="139">
        <f t="shared" ref="O413:O417" si="520">IF($E413="P",$J413,0)</f>
        <v>0</v>
      </c>
      <c r="P413" s="139">
        <f>IF($E413="S",$J413,0)</f>
        <v>0</v>
      </c>
      <c r="Q413" s="139">
        <f t="shared" ref="Q413:Q417" si="521">SUM(M413:P413)</f>
        <v>69.12</v>
      </c>
      <c r="R413" s="156" t="s">
        <v>692</v>
      </c>
    </row>
    <row r="414" spans="1:22" x14ac:dyDescent="0.35">
      <c r="A414" s="27"/>
      <c r="B414" s="92">
        <v>92</v>
      </c>
      <c r="C414" s="19" t="s">
        <v>120</v>
      </c>
      <c r="D414" s="3" t="s">
        <v>110</v>
      </c>
      <c r="E414" s="27" t="str">
        <f>VLOOKUP(C414,Resources!B:D,3,FALSE)</f>
        <v>M</v>
      </c>
      <c r="F414" s="8">
        <v>1</v>
      </c>
      <c r="G414" s="8">
        <v>1</v>
      </c>
      <c r="H414" s="22">
        <f>H412*1.2</f>
        <v>34.56</v>
      </c>
      <c r="I414" s="22">
        <f>VLOOKUP(C414,Resources!B:G,6,FALSE)</f>
        <v>9.1</v>
      </c>
      <c r="J414" s="139">
        <f t="shared" si="516"/>
        <v>314.49599999999998</v>
      </c>
      <c r="K414" s="139">
        <f t="shared" si="517"/>
        <v>34.56</v>
      </c>
      <c r="L414" s="139" t="str">
        <f>IF(E414="M"," ",K414/F414/Workhrs)</f>
        <v xml:space="preserve"> </v>
      </c>
      <c r="M414" s="139">
        <f t="shared" si="518"/>
        <v>0</v>
      </c>
      <c r="N414" s="139">
        <f t="shared" si="519"/>
        <v>314.49599999999998</v>
      </c>
      <c r="O414" s="139">
        <f t="shared" si="520"/>
        <v>0</v>
      </c>
      <c r="P414" s="139">
        <f>IF($E414="S",$J414,0)</f>
        <v>0</v>
      </c>
      <c r="Q414" s="139">
        <f t="shared" si="521"/>
        <v>314.49599999999998</v>
      </c>
      <c r="R414" s="156" t="s">
        <v>695</v>
      </c>
    </row>
    <row r="415" spans="1:22" x14ac:dyDescent="0.35">
      <c r="A415" s="27"/>
      <c r="B415" s="92">
        <v>93</v>
      </c>
      <c r="C415" s="19" t="s">
        <v>124</v>
      </c>
      <c r="D415" s="3" t="s">
        <v>23</v>
      </c>
      <c r="E415" s="27" t="str">
        <f>VLOOKUP(C415,Resources!B:D,3,FALSE)</f>
        <v>M</v>
      </c>
      <c r="F415" s="8">
        <v>1</v>
      </c>
      <c r="G415" s="8">
        <v>1</v>
      </c>
      <c r="H415" s="22">
        <f>H412/0.9</f>
        <v>32</v>
      </c>
      <c r="I415" s="22">
        <f>VLOOKUP(C415,Resources!B:G,6,FALSE)</f>
        <v>0.8</v>
      </c>
      <c r="J415" s="139">
        <f t="shared" si="516"/>
        <v>25.6</v>
      </c>
      <c r="K415" s="139">
        <f t="shared" si="517"/>
        <v>32</v>
      </c>
      <c r="L415" s="139" t="str">
        <f>IF(E415="M"," ",K415/F415/Workhrs)</f>
        <v xml:space="preserve"> </v>
      </c>
      <c r="M415" s="139">
        <f t="shared" si="518"/>
        <v>0</v>
      </c>
      <c r="N415" s="139">
        <f t="shared" si="519"/>
        <v>25.6</v>
      </c>
      <c r="O415" s="139">
        <f t="shared" si="520"/>
        <v>0</v>
      </c>
      <c r="P415" s="139">
        <f>IF($E415="S",$J415,0)</f>
        <v>0</v>
      </c>
      <c r="Q415" s="139">
        <f t="shared" si="521"/>
        <v>25.6</v>
      </c>
      <c r="R415" s="156" t="s">
        <v>695</v>
      </c>
    </row>
    <row r="416" spans="1:22" x14ac:dyDescent="0.35">
      <c r="A416" s="27"/>
      <c r="B416" s="92">
        <v>94</v>
      </c>
      <c r="C416" s="19" t="s">
        <v>177</v>
      </c>
      <c r="D416" s="3" t="s">
        <v>74</v>
      </c>
      <c r="E416" s="27" t="str">
        <f>VLOOKUP(C416,Resources!B:D,3,FALSE)</f>
        <v>M</v>
      </c>
      <c r="F416" s="8">
        <v>1</v>
      </c>
      <c r="G416" s="8">
        <v>1</v>
      </c>
      <c r="H416" s="22">
        <f>H412*0.22*1.1</f>
        <v>6.9696000000000007</v>
      </c>
      <c r="I416" s="22">
        <f>VLOOKUP(C416,Resources!B:G,6,FALSE)</f>
        <v>174</v>
      </c>
      <c r="J416" s="139">
        <f t="shared" si="516"/>
        <v>1212.7104000000002</v>
      </c>
      <c r="K416" s="139">
        <f t="shared" si="517"/>
        <v>6.9696000000000007</v>
      </c>
      <c r="L416" s="139" t="str">
        <f>IF(E416="M"," ",K416/F416/Workhrs)</f>
        <v xml:space="preserve"> </v>
      </c>
      <c r="M416" s="139">
        <f t="shared" si="518"/>
        <v>0</v>
      </c>
      <c r="N416" s="139">
        <f t="shared" si="519"/>
        <v>1212.7104000000002</v>
      </c>
      <c r="O416" s="139">
        <f t="shared" si="520"/>
        <v>0</v>
      </c>
      <c r="P416" s="139">
        <f>IF($E416="S",$J416,0)</f>
        <v>0</v>
      </c>
      <c r="Q416" s="139">
        <f t="shared" si="521"/>
        <v>1212.7104000000002</v>
      </c>
      <c r="R416" s="156" t="s">
        <v>697</v>
      </c>
    </row>
    <row r="417" spans="1:22" x14ac:dyDescent="0.35">
      <c r="A417" s="27"/>
      <c r="B417" s="92">
        <v>95</v>
      </c>
      <c r="C417" s="19" t="s">
        <v>125</v>
      </c>
      <c r="D417" s="3" t="s">
        <v>110</v>
      </c>
      <c r="E417" s="27" t="str">
        <f>VLOOKUP(C417,Resources!B:D,3,FALSE)</f>
        <v>S</v>
      </c>
      <c r="F417" s="8">
        <v>1</v>
      </c>
      <c r="G417" s="8">
        <v>1</v>
      </c>
      <c r="H417" s="22">
        <f>H412</f>
        <v>28.8</v>
      </c>
      <c r="I417" s="22">
        <f>VLOOKUP(C417,Resources!B:G,6,FALSE)</f>
        <v>27</v>
      </c>
      <c r="J417" s="139">
        <f t="shared" si="516"/>
        <v>777.6</v>
      </c>
      <c r="K417" s="139">
        <f t="shared" si="517"/>
        <v>28.8</v>
      </c>
      <c r="L417" s="139">
        <f>IF(E417="M"," ",K417/F417/Workhrs)</f>
        <v>3.2</v>
      </c>
      <c r="M417" s="139">
        <f t="shared" si="518"/>
        <v>0</v>
      </c>
      <c r="N417" s="139">
        <f t="shared" si="519"/>
        <v>0</v>
      </c>
      <c r="O417" s="139">
        <f t="shared" si="520"/>
        <v>0</v>
      </c>
      <c r="P417" s="139">
        <f>IF($E417="S",$J417,0)</f>
        <v>777.6</v>
      </c>
      <c r="Q417" s="139">
        <f t="shared" si="521"/>
        <v>777.6</v>
      </c>
      <c r="R417" s="156">
        <v>182</v>
      </c>
    </row>
    <row r="418" spans="1:22" x14ac:dyDescent="0.35">
      <c r="B418" s="95">
        <v>96</v>
      </c>
      <c r="C418" s="6" t="s">
        <v>402</v>
      </c>
      <c r="F418" s="9"/>
      <c r="G418" s="9"/>
      <c r="H418" s="9"/>
      <c r="I418" s="9"/>
    </row>
    <row r="419" spans="1:22" s="90" customFormat="1" x14ac:dyDescent="0.35">
      <c r="A419" s="26">
        <v>66</v>
      </c>
      <c r="B419" s="94">
        <v>97</v>
      </c>
      <c r="C419" s="14" t="s">
        <v>189</v>
      </c>
      <c r="D419" s="15"/>
      <c r="E419" s="24"/>
      <c r="F419" s="21"/>
      <c r="G419" s="21"/>
      <c r="H419" s="21"/>
      <c r="I419" s="21"/>
      <c r="J419" s="138">
        <f>SUBTOTAL(9,J421:J425)</f>
        <v>5748.8653333333332</v>
      </c>
      <c r="K419" s="138"/>
      <c r="L419" s="138">
        <f>ROUNDUP(MAX(L421:L425),0)+1</f>
        <v>3</v>
      </c>
      <c r="M419" s="138">
        <f t="shared" ref="M419:Q419" si="522">SUBTOTAL(9,M421:M425)</f>
        <v>0</v>
      </c>
      <c r="N419" s="138">
        <f t="shared" si="522"/>
        <v>3885.8653333333336</v>
      </c>
      <c r="O419" s="138">
        <f t="shared" si="522"/>
        <v>0</v>
      </c>
      <c r="P419" s="138">
        <f t="shared" si="522"/>
        <v>1863</v>
      </c>
      <c r="Q419" s="138">
        <f t="shared" si="522"/>
        <v>5748.8653333333332</v>
      </c>
      <c r="R419" s="155"/>
      <c r="T419" s="247"/>
      <c r="U419"/>
      <c r="V419" s="277"/>
    </row>
    <row r="420" spans="1:22" x14ac:dyDescent="0.35">
      <c r="A420" s="27">
        <v>66.099999999999994</v>
      </c>
      <c r="B420" s="92">
        <v>98</v>
      </c>
      <c r="C420" s="5" t="s">
        <v>704</v>
      </c>
      <c r="D420" s="16" t="s">
        <v>110</v>
      </c>
      <c r="E420" s="27"/>
      <c r="F420" s="8"/>
      <c r="G420" s="8"/>
      <c r="H420" s="97">
        <f>VLOOKUP($A420,'Model Inputs'!$A:$D,4,FALSE)</f>
        <v>69</v>
      </c>
      <c r="I420" s="8"/>
      <c r="J420" s="139"/>
      <c r="K420" s="139"/>
      <c r="L420" s="139"/>
      <c r="M420" s="139"/>
      <c r="N420" s="139"/>
      <c r="O420" s="139"/>
      <c r="P420" s="139"/>
      <c r="Q420" s="139"/>
      <c r="R420" s="156"/>
    </row>
    <row r="421" spans="1:22" x14ac:dyDescent="0.35">
      <c r="A421" s="27"/>
      <c r="B421" s="92">
        <v>99</v>
      </c>
      <c r="C421" s="19" t="s">
        <v>75</v>
      </c>
      <c r="D421" s="3" t="s">
        <v>54</v>
      </c>
      <c r="E421" s="27" t="str">
        <f>VLOOKUP(C421,Resources!B:D,3,FALSE)</f>
        <v>M</v>
      </c>
      <c r="F421" s="8">
        <v>1</v>
      </c>
      <c r="G421" s="8">
        <v>1</v>
      </c>
      <c r="H421" s="22">
        <f>H420*0.1</f>
        <v>6.9</v>
      </c>
      <c r="I421" s="22">
        <f>VLOOKUP(C421,Resources!B:G,6,FALSE)</f>
        <v>24</v>
      </c>
      <c r="J421" s="139">
        <f t="shared" ref="J421:J425" si="523">(H421/(G421/F421))*I421</f>
        <v>165.60000000000002</v>
      </c>
      <c r="K421" s="139">
        <f t="shared" ref="K421:K425" si="524">IF(E421="M",H421,(H421/(G421)*F421))</f>
        <v>6.9</v>
      </c>
      <c r="L421" s="139" t="str">
        <f>IF(E421="M"," ",K421/F421/Workhrs)</f>
        <v xml:space="preserve"> </v>
      </c>
      <c r="M421" s="139">
        <f t="shared" ref="M421:M425" si="525">IF($E421="L",$J421,0)</f>
        <v>0</v>
      </c>
      <c r="N421" s="139">
        <f t="shared" ref="N421:N425" si="526">IF($E421="M",$J421,0)</f>
        <v>165.60000000000002</v>
      </c>
      <c r="O421" s="139">
        <f t="shared" ref="O421:O425" si="527">IF($E421="P",$J421,0)</f>
        <v>0</v>
      </c>
      <c r="P421" s="139">
        <f>IF($E421="S",$J421,0)</f>
        <v>0</v>
      </c>
      <c r="Q421" s="139">
        <f t="shared" ref="Q421:Q425" si="528">SUM(M421:P421)</f>
        <v>165.60000000000002</v>
      </c>
      <c r="R421" s="156" t="s">
        <v>692</v>
      </c>
    </row>
    <row r="422" spans="1:22" x14ac:dyDescent="0.35">
      <c r="A422" s="27"/>
      <c r="B422" s="92">
        <v>100</v>
      </c>
      <c r="C422" s="19" t="s">
        <v>120</v>
      </c>
      <c r="D422" s="3" t="s">
        <v>110</v>
      </c>
      <c r="E422" s="27" t="str">
        <f>VLOOKUP(C422,Resources!B:D,3,FALSE)</f>
        <v>M</v>
      </c>
      <c r="F422" s="8">
        <v>1</v>
      </c>
      <c r="G422" s="8">
        <v>1</v>
      </c>
      <c r="H422" s="22">
        <f>H420*1.2</f>
        <v>82.8</v>
      </c>
      <c r="I422" s="22">
        <f>VLOOKUP(C422,Resources!B:G,6,FALSE)</f>
        <v>9.1</v>
      </c>
      <c r="J422" s="139">
        <f t="shared" si="523"/>
        <v>753.4799999999999</v>
      </c>
      <c r="K422" s="139">
        <f t="shared" si="524"/>
        <v>82.8</v>
      </c>
      <c r="L422" s="139" t="str">
        <f>IF(E422="M"," ",K422/F422/Workhrs)</f>
        <v xml:space="preserve"> </v>
      </c>
      <c r="M422" s="139">
        <f t="shared" si="525"/>
        <v>0</v>
      </c>
      <c r="N422" s="139">
        <f t="shared" si="526"/>
        <v>753.4799999999999</v>
      </c>
      <c r="O422" s="139">
        <f t="shared" si="527"/>
        <v>0</v>
      </c>
      <c r="P422" s="139">
        <f>IF($E422="S",$J422,0)</f>
        <v>0</v>
      </c>
      <c r="Q422" s="139">
        <f t="shared" si="528"/>
        <v>753.4799999999999</v>
      </c>
      <c r="R422" s="156" t="s">
        <v>695</v>
      </c>
    </row>
    <row r="423" spans="1:22" x14ac:dyDescent="0.35">
      <c r="A423" s="27"/>
      <c r="B423" s="92">
        <v>101</v>
      </c>
      <c r="C423" s="19" t="s">
        <v>124</v>
      </c>
      <c r="D423" s="3" t="s">
        <v>23</v>
      </c>
      <c r="E423" s="27" t="str">
        <f>VLOOKUP(C423,Resources!B:D,3,FALSE)</f>
        <v>M</v>
      </c>
      <c r="F423" s="8">
        <v>1</v>
      </c>
      <c r="G423" s="8">
        <v>1</v>
      </c>
      <c r="H423" s="22">
        <f>H420/0.9</f>
        <v>76.666666666666671</v>
      </c>
      <c r="I423" s="22">
        <f>VLOOKUP(C423,Resources!B:G,6,FALSE)</f>
        <v>0.8</v>
      </c>
      <c r="J423" s="139">
        <f t="shared" si="523"/>
        <v>61.333333333333343</v>
      </c>
      <c r="K423" s="139">
        <f t="shared" si="524"/>
        <v>76.666666666666671</v>
      </c>
      <c r="L423" s="139" t="str">
        <f>IF(E423="M"," ",K423/F423/Workhrs)</f>
        <v xml:space="preserve"> </v>
      </c>
      <c r="M423" s="139">
        <f t="shared" si="525"/>
        <v>0</v>
      </c>
      <c r="N423" s="139">
        <f t="shared" si="526"/>
        <v>61.333333333333343</v>
      </c>
      <c r="O423" s="139">
        <f t="shared" si="527"/>
        <v>0</v>
      </c>
      <c r="P423" s="139">
        <f>IF($E423="S",$J423,0)</f>
        <v>0</v>
      </c>
      <c r="Q423" s="139">
        <f t="shared" si="528"/>
        <v>61.333333333333343</v>
      </c>
      <c r="R423" s="156" t="s">
        <v>695</v>
      </c>
    </row>
    <row r="424" spans="1:22" x14ac:dyDescent="0.35">
      <c r="A424" s="27"/>
      <c r="B424" s="92">
        <v>102</v>
      </c>
      <c r="C424" s="19" t="s">
        <v>177</v>
      </c>
      <c r="D424" s="3" t="s">
        <v>74</v>
      </c>
      <c r="E424" s="27" t="str">
        <f>VLOOKUP(C424,Resources!B:D,3,FALSE)</f>
        <v>M</v>
      </c>
      <c r="F424" s="8">
        <v>1</v>
      </c>
      <c r="G424" s="8">
        <v>1</v>
      </c>
      <c r="H424" s="22">
        <f>H420*0.22*1.1</f>
        <v>16.698</v>
      </c>
      <c r="I424" s="22">
        <f>VLOOKUP(C424,Resources!B:G,6,FALSE)</f>
        <v>174</v>
      </c>
      <c r="J424" s="139">
        <f t="shared" si="523"/>
        <v>2905.4520000000002</v>
      </c>
      <c r="K424" s="139">
        <f t="shared" si="524"/>
        <v>16.698</v>
      </c>
      <c r="L424" s="139" t="str">
        <f>IF(E424="M"," ",K424/F424/Workhrs)</f>
        <v xml:space="preserve"> </v>
      </c>
      <c r="M424" s="139">
        <f t="shared" si="525"/>
        <v>0</v>
      </c>
      <c r="N424" s="139">
        <f t="shared" si="526"/>
        <v>2905.4520000000002</v>
      </c>
      <c r="O424" s="139">
        <f t="shared" si="527"/>
        <v>0</v>
      </c>
      <c r="P424" s="139">
        <f>IF($E424="S",$J424,0)</f>
        <v>0</v>
      </c>
      <c r="Q424" s="139">
        <f t="shared" si="528"/>
        <v>2905.4520000000002</v>
      </c>
      <c r="R424" s="156" t="s">
        <v>697</v>
      </c>
    </row>
    <row r="425" spans="1:22" x14ac:dyDescent="0.35">
      <c r="A425" s="27"/>
      <c r="B425" s="92">
        <v>103</v>
      </c>
      <c r="C425" s="19" t="s">
        <v>125</v>
      </c>
      <c r="D425" s="3" t="s">
        <v>110</v>
      </c>
      <c r="E425" s="27" t="str">
        <f>VLOOKUP(C425,Resources!B:D,3,FALSE)</f>
        <v>S</v>
      </c>
      <c r="F425" s="8">
        <v>1</v>
      </c>
      <c r="G425" s="8">
        <v>1</v>
      </c>
      <c r="H425" s="22">
        <f>H420</f>
        <v>69</v>
      </c>
      <c r="I425" s="22">
        <f>VLOOKUP(C425,Resources!B:G,6,FALSE)</f>
        <v>27</v>
      </c>
      <c r="J425" s="139">
        <f t="shared" si="523"/>
        <v>1863</v>
      </c>
      <c r="K425" s="139">
        <f t="shared" si="524"/>
        <v>69</v>
      </c>
      <c r="L425" s="139">
        <f>IF(E425="M"," ",K425/(F425*5)/Workhrs)</f>
        <v>1.5333333333333334</v>
      </c>
      <c r="M425" s="139">
        <f t="shared" si="525"/>
        <v>0</v>
      </c>
      <c r="N425" s="139">
        <f t="shared" si="526"/>
        <v>0</v>
      </c>
      <c r="O425" s="139">
        <f t="shared" si="527"/>
        <v>0</v>
      </c>
      <c r="P425" s="139">
        <f>IF($E425="S",$J425,0)</f>
        <v>1863</v>
      </c>
      <c r="Q425" s="139">
        <f t="shared" si="528"/>
        <v>1863</v>
      </c>
      <c r="R425" s="156">
        <v>182</v>
      </c>
    </row>
    <row r="426" spans="1:22" x14ac:dyDescent="0.35">
      <c r="B426" s="95">
        <v>104</v>
      </c>
      <c r="C426" s="6" t="s">
        <v>402</v>
      </c>
      <c r="F426" s="9"/>
      <c r="G426" s="9"/>
      <c r="H426" s="9"/>
      <c r="I426" s="9"/>
    </row>
    <row r="427" spans="1:22" s="90" customFormat="1" x14ac:dyDescent="0.35">
      <c r="A427" s="26">
        <v>67</v>
      </c>
      <c r="B427" s="94">
        <v>105</v>
      </c>
      <c r="C427" s="14" t="s">
        <v>190</v>
      </c>
      <c r="D427" s="15"/>
      <c r="E427" s="24"/>
      <c r="F427" s="21"/>
      <c r="G427" s="21"/>
      <c r="H427" s="21"/>
      <c r="I427" s="21"/>
      <c r="J427" s="138">
        <f>SUBTOTAL(9,J429:J433)</f>
        <v>1291.4117777777778</v>
      </c>
      <c r="K427" s="138"/>
      <c r="L427" s="138">
        <f>ROUNDUP(MAX(L429:L433),0)+1</f>
        <v>3</v>
      </c>
      <c r="M427" s="138">
        <f t="shared" ref="M427:Q427" si="529">SUBTOTAL(9,M429:M433)</f>
        <v>0</v>
      </c>
      <c r="N427" s="138">
        <f t="shared" si="529"/>
        <v>872.91177777777784</v>
      </c>
      <c r="O427" s="138">
        <f t="shared" si="529"/>
        <v>0</v>
      </c>
      <c r="P427" s="138">
        <f t="shared" si="529"/>
        <v>418.5</v>
      </c>
      <c r="Q427" s="138">
        <f t="shared" si="529"/>
        <v>1291.4117777777778</v>
      </c>
      <c r="R427" s="155"/>
      <c r="T427" s="247"/>
      <c r="U427"/>
      <c r="V427" s="277"/>
    </row>
    <row r="428" spans="1:22" x14ac:dyDescent="0.35">
      <c r="A428" s="27">
        <v>67.099999999999994</v>
      </c>
      <c r="B428" s="92">
        <v>106</v>
      </c>
      <c r="C428" s="5" t="s">
        <v>704</v>
      </c>
      <c r="D428" s="16" t="s">
        <v>110</v>
      </c>
      <c r="E428" s="27"/>
      <c r="F428" s="8"/>
      <c r="G428" s="8"/>
      <c r="H428" s="97">
        <f>VLOOKUP($A428,'Model Inputs'!$A:$D,4,FALSE)</f>
        <v>15.5</v>
      </c>
      <c r="I428" s="8"/>
      <c r="J428" s="139"/>
      <c r="K428" s="139"/>
      <c r="L428" s="139"/>
      <c r="M428" s="139"/>
      <c r="N428" s="139"/>
      <c r="O428" s="139"/>
      <c r="P428" s="139"/>
      <c r="Q428" s="139"/>
      <c r="R428" s="156"/>
    </row>
    <row r="429" spans="1:22" x14ac:dyDescent="0.35">
      <c r="A429" s="27"/>
      <c r="B429" s="92">
        <v>107</v>
      </c>
      <c r="C429" s="19" t="s">
        <v>75</v>
      </c>
      <c r="D429" s="3" t="s">
        <v>54</v>
      </c>
      <c r="E429" s="27" t="str">
        <f>VLOOKUP(C429,Resources!B:D,3,FALSE)</f>
        <v>M</v>
      </c>
      <c r="F429" s="8">
        <v>1</v>
      </c>
      <c r="G429" s="8">
        <v>1</v>
      </c>
      <c r="H429" s="22">
        <f>H428*0.1</f>
        <v>1.55</v>
      </c>
      <c r="I429" s="22">
        <f>VLOOKUP(C429,Resources!B:G,6,FALSE)</f>
        <v>24</v>
      </c>
      <c r="J429" s="139">
        <f t="shared" ref="J429:J433" si="530">(H429/(G429/F429))*I429</f>
        <v>37.200000000000003</v>
      </c>
      <c r="K429" s="139">
        <f t="shared" ref="K429:K433" si="531">IF(E429="M",H429,(H429/(G429)*F429))</f>
        <v>1.55</v>
      </c>
      <c r="L429" s="139" t="str">
        <f>IF(E429="M"," ",K429/F429/Workhrs)</f>
        <v xml:space="preserve"> </v>
      </c>
      <c r="M429" s="139">
        <f t="shared" ref="M429:M433" si="532">IF($E429="L",$J429,0)</f>
        <v>0</v>
      </c>
      <c r="N429" s="139">
        <f t="shared" ref="N429:N433" si="533">IF($E429="M",$J429,0)</f>
        <v>37.200000000000003</v>
      </c>
      <c r="O429" s="139">
        <f t="shared" ref="O429:O433" si="534">IF($E429="P",$J429,0)</f>
        <v>0</v>
      </c>
      <c r="P429" s="139">
        <f>IF($E429="S",$J429,0)</f>
        <v>0</v>
      </c>
      <c r="Q429" s="139">
        <f t="shared" ref="Q429:Q433" si="535">SUM(M429:P429)</f>
        <v>37.200000000000003</v>
      </c>
      <c r="R429" s="156" t="s">
        <v>692</v>
      </c>
    </row>
    <row r="430" spans="1:22" x14ac:dyDescent="0.35">
      <c r="A430" s="27"/>
      <c r="B430" s="92">
        <v>108</v>
      </c>
      <c r="C430" s="19" t="s">
        <v>120</v>
      </c>
      <c r="D430" s="3" t="s">
        <v>110</v>
      </c>
      <c r="E430" s="27" t="str">
        <f>VLOOKUP(C430,Resources!B:D,3,FALSE)</f>
        <v>M</v>
      </c>
      <c r="F430" s="8">
        <v>1</v>
      </c>
      <c r="G430" s="8">
        <v>1</v>
      </c>
      <c r="H430" s="22">
        <f>H428*1.2</f>
        <v>18.599999999999998</v>
      </c>
      <c r="I430" s="22">
        <f>VLOOKUP(C430,Resources!B:G,6,FALSE)</f>
        <v>9.1</v>
      </c>
      <c r="J430" s="139">
        <f t="shared" si="530"/>
        <v>169.25999999999996</v>
      </c>
      <c r="K430" s="139">
        <f t="shared" si="531"/>
        <v>18.599999999999998</v>
      </c>
      <c r="L430" s="139" t="str">
        <f>IF(E430="M"," ",K430/F430/Workhrs)</f>
        <v xml:space="preserve"> </v>
      </c>
      <c r="M430" s="139">
        <f t="shared" si="532"/>
        <v>0</v>
      </c>
      <c r="N430" s="139">
        <f t="shared" si="533"/>
        <v>169.25999999999996</v>
      </c>
      <c r="O430" s="139">
        <f t="shared" si="534"/>
        <v>0</v>
      </c>
      <c r="P430" s="139">
        <f>IF($E430="S",$J430,0)</f>
        <v>0</v>
      </c>
      <c r="Q430" s="139">
        <f t="shared" si="535"/>
        <v>169.25999999999996</v>
      </c>
      <c r="R430" s="156" t="s">
        <v>695</v>
      </c>
    </row>
    <row r="431" spans="1:22" x14ac:dyDescent="0.35">
      <c r="A431" s="27"/>
      <c r="B431" s="92">
        <v>109</v>
      </c>
      <c r="C431" s="19" t="s">
        <v>124</v>
      </c>
      <c r="D431" s="3" t="s">
        <v>23</v>
      </c>
      <c r="E431" s="27" t="str">
        <f>VLOOKUP(C431,Resources!B:D,3,FALSE)</f>
        <v>M</v>
      </c>
      <c r="F431" s="8">
        <v>1</v>
      </c>
      <c r="G431" s="8">
        <v>1</v>
      </c>
      <c r="H431" s="22">
        <f>H428/0.9</f>
        <v>17.222222222222221</v>
      </c>
      <c r="I431" s="22">
        <f>VLOOKUP(C431,Resources!B:G,6,FALSE)</f>
        <v>0.8</v>
      </c>
      <c r="J431" s="139">
        <f t="shared" si="530"/>
        <v>13.777777777777779</v>
      </c>
      <c r="K431" s="139">
        <f t="shared" si="531"/>
        <v>17.222222222222221</v>
      </c>
      <c r="L431" s="139" t="str">
        <f>IF(E431="M"," ",K431/F431/Workhrs)</f>
        <v xml:space="preserve"> </v>
      </c>
      <c r="M431" s="139">
        <f t="shared" si="532"/>
        <v>0</v>
      </c>
      <c r="N431" s="139">
        <f t="shared" si="533"/>
        <v>13.777777777777779</v>
      </c>
      <c r="O431" s="139">
        <f t="shared" si="534"/>
        <v>0</v>
      </c>
      <c r="P431" s="139">
        <f>IF($E431="S",$J431,0)</f>
        <v>0</v>
      </c>
      <c r="Q431" s="139">
        <f t="shared" si="535"/>
        <v>13.777777777777779</v>
      </c>
      <c r="R431" s="156" t="s">
        <v>695</v>
      </c>
    </row>
    <row r="432" spans="1:22" x14ac:dyDescent="0.35">
      <c r="A432" s="27"/>
      <c r="B432" s="92">
        <v>110</v>
      </c>
      <c r="C432" s="19" t="s">
        <v>177</v>
      </c>
      <c r="D432" s="3" t="s">
        <v>74</v>
      </c>
      <c r="E432" s="27" t="str">
        <f>VLOOKUP(C432,Resources!B:D,3,FALSE)</f>
        <v>M</v>
      </c>
      <c r="F432" s="8">
        <v>1</v>
      </c>
      <c r="G432" s="8">
        <v>1</v>
      </c>
      <c r="H432" s="22">
        <f>H428*0.22*1.1</f>
        <v>3.7510000000000003</v>
      </c>
      <c r="I432" s="22">
        <f>VLOOKUP(C432,Resources!B:G,6,FALSE)</f>
        <v>174</v>
      </c>
      <c r="J432" s="139">
        <f t="shared" si="530"/>
        <v>652.67400000000009</v>
      </c>
      <c r="K432" s="139">
        <f t="shared" si="531"/>
        <v>3.7510000000000003</v>
      </c>
      <c r="L432" s="139" t="str">
        <f>IF(E432="M"," ",K432/F432/Workhrs)</f>
        <v xml:space="preserve"> </v>
      </c>
      <c r="M432" s="139">
        <f t="shared" si="532"/>
        <v>0</v>
      </c>
      <c r="N432" s="139">
        <f t="shared" si="533"/>
        <v>652.67400000000009</v>
      </c>
      <c r="O432" s="139">
        <f t="shared" si="534"/>
        <v>0</v>
      </c>
      <c r="P432" s="139">
        <f>IF($E432="S",$J432,0)</f>
        <v>0</v>
      </c>
      <c r="Q432" s="139">
        <f t="shared" si="535"/>
        <v>652.67400000000009</v>
      </c>
      <c r="R432" s="156" t="s">
        <v>697</v>
      </c>
    </row>
    <row r="433" spans="1:22" x14ac:dyDescent="0.35">
      <c r="A433" s="27"/>
      <c r="B433" s="92">
        <v>111</v>
      </c>
      <c r="C433" s="19" t="s">
        <v>125</v>
      </c>
      <c r="D433" s="3" t="s">
        <v>110</v>
      </c>
      <c r="E433" s="27" t="str">
        <f>VLOOKUP(C433,Resources!B:D,3,FALSE)</f>
        <v>S</v>
      </c>
      <c r="F433" s="8">
        <v>1</v>
      </c>
      <c r="G433" s="8">
        <v>1</v>
      </c>
      <c r="H433" s="22">
        <f>H428</f>
        <v>15.5</v>
      </c>
      <c r="I433" s="22">
        <f>VLOOKUP(C433,Resources!B:G,6,FALSE)</f>
        <v>27</v>
      </c>
      <c r="J433" s="139">
        <f t="shared" si="530"/>
        <v>418.5</v>
      </c>
      <c r="K433" s="139">
        <f t="shared" si="531"/>
        <v>15.5</v>
      </c>
      <c r="L433" s="139">
        <f>IF(E433="M"," ",K433/F433/Workhrs)</f>
        <v>1.7222222222222223</v>
      </c>
      <c r="M433" s="139">
        <f t="shared" si="532"/>
        <v>0</v>
      </c>
      <c r="N433" s="139">
        <f t="shared" si="533"/>
        <v>0</v>
      </c>
      <c r="O433" s="139">
        <f t="shared" si="534"/>
        <v>0</v>
      </c>
      <c r="P433" s="139">
        <f>IF($E433="S",$J433,0)</f>
        <v>418.5</v>
      </c>
      <c r="Q433" s="139">
        <f t="shared" si="535"/>
        <v>418.5</v>
      </c>
      <c r="R433" s="156">
        <v>182</v>
      </c>
    </row>
    <row r="434" spans="1:22" x14ac:dyDescent="0.35">
      <c r="B434" s="95">
        <v>112</v>
      </c>
      <c r="C434" s="6" t="s">
        <v>402</v>
      </c>
      <c r="F434" s="9"/>
      <c r="G434" s="9"/>
      <c r="H434" s="9"/>
      <c r="I434" s="9"/>
    </row>
    <row r="435" spans="1:22" s="90" customFormat="1" x14ac:dyDescent="0.35">
      <c r="A435" s="26">
        <v>68</v>
      </c>
      <c r="B435" s="94">
        <v>113</v>
      </c>
      <c r="C435" s="14" t="s">
        <v>191</v>
      </c>
      <c r="D435" s="15"/>
      <c r="E435" s="24"/>
      <c r="F435" s="21"/>
      <c r="G435" s="21"/>
      <c r="H435" s="21"/>
      <c r="I435" s="21"/>
      <c r="J435" s="138">
        <f>SUBTOTAL(9,J437:J441)</f>
        <v>1291.4117777777778</v>
      </c>
      <c r="K435" s="138"/>
      <c r="L435" s="138">
        <f>ROUNDUP(MAX(L437:L441),0)+1</f>
        <v>3</v>
      </c>
      <c r="M435" s="138">
        <f t="shared" ref="M435:Q435" si="536">SUBTOTAL(9,M437:M441)</f>
        <v>0</v>
      </c>
      <c r="N435" s="138">
        <f t="shared" si="536"/>
        <v>872.91177777777784</v>
      </c>
      <c r="O435" s="138">
        <f t="shared" si="536"/>
        <v>0</v>
      </c>
      <c r="P435" s="138">
        <f t="shared" si="536"/>
        <v>418.5</v>
      </c>
      <c r="Q435" s="138">
        <f t="shared" si="536"/>
        <v>1291.4117777777778</v>
      </c>
      <c r="R435" s="155"/>
      <c r="T435" s="247"/>
      <c r="U435"/>
      <c r="V435" s="277"/>
    </row>
    <row r="436" spans="1:22" x14ac:dyDescent="0.35">
      <c r="A436" s="27">
        <v>68.099999999999994</v>
      </c>
      <c r="B436" s="92">
        <v>114</v>
      </c>
      <c r="C436" s="5" t="s">
        <v>704</v>
      </c>
      <c r="D436" s="16" t="s">
        <v>110</v>
      </c>
      <c r="E436" s="27"/>
      <c r="F436" s="8"/>
      <c r="G436" s="8"/>
      <c r="H436" s="97">
        <f>VLOOKUP($A436,'Model Inputs'!$A:$D,4,FALSE)</f>
        <v>15.5</v>
      </c>
      <c r="I436" s="8"/>
      <c r="J436" s="139"/>
      <c r="K436" s="139"/>
      <c r="L436" s="139"/>
      <c r="M436" s="139"/>
      <c r="N436" s="139"/>
      <c r="O436" s="139"/>
      <c r="P436" s="139"/>
      <c r="Q436" s="139"/>
      <c r="R436" s="156"/>
    </row>
    <row r="437" spans="1:22" x14ac:dyDescent="0.35">
      <c r="A437" s="27"/>
      <c r="B437" s="92">
        <v>115</v>
      </c>
      <c r="C437" s="19" t="s">
        <v>75</v>
      </c>
      <c r="D437" s="3" t="s">
        <v>54</v>
      </c>
      <c r="E437" s="27" t="str">
        <f>VLOOKUP(C437,Resources!B:D,3,FALSE)</f>
        <v>M</v>
      </c>
      <c r="F437" s="8">
        <v>1</v>
      </c>
      <c r="G437" s="8">
        <v>1</v>
      </c>
      <c r="H437" s="22">
        <f>H436*0.1</f>
        <v>1.55</v>
      </c>
      <c r="I437" s="22">
        <f>VLOOKUP(C437,Resources!B:G,6,FALSE)</f>
        <v>24</v>
      </c>
      <c r="J437" s="139">
        <f t="shared" ref="J437:J441" si="537">(H437/(G437/F437))*I437</f>
        <v>37.200000000000003</v>
      </c>
      <c r="K437" s="139">
        <f t="shared" ref="K437:K441" si="538">IF(E437="M",H437,(H437/(G437)*F437))</f>
        <v>1.55</v>
      </c>
      <c r="L437" s="139" t="str">
        <f>IF(E437="M"," ",K437/F437/Workhrs)</f>
        <v xml:space="preserve"> </v>
      </c>
      <c r="M437" s="139">
        <f t="shared" ref="M437:M441" si="539">IF($E437="L",$J437,0)</f>
        <v>0</v>
      </c>
      <c r="N437" s="139">
        <f t="shared" ref="N437:N441" si="540">IF($E437="M",$J437,0)</f>
        <v>37.200000000000003</v>
      </c>
      <c r="O437" s="139">
        <f t="shared" ref="O437:O441" si="541">IF($E437="P",$J437,0)</f>
        <v>0</v>
      </c>
      <c r="P437" s="139">
        <f>IF($E437="S",$J437,0)</f>
        <v>0</v>
      </c>
      <c r="Q437" s="139">
        <f t="shared" ref="Q437:Q441" si="542">SUM(M437:P437)</f>
        <v>37.200000000000003</v>
      </c>
      <c r="R437" s="156" t="s">
        <v>692</v>
      </c>
    </row>
    <row r="438" spans="1:22" x14ac:dyDescent="0.35">
      <c r="A438" s="27"/>
      <c r="B438" s="92">
        <v>116</v>
      </c>
      <c r="C438" s="19" t="s">
        <v>120</v>
      </c>
      <c r="D438" s="3" t="s">
        <v>110</v>
      </c>
      <c r="E438" s="27" t="str">
        <f>VLOOKUP(C438,Resources!B:D,3,FALSE)</f>
        <v>M</v>
      </c>
      <c r="F438" s="8">
        <v>1</v>
      </c>
      <c r="G438" s="8">
        <v>1</v>
      </c>
      <c r="H438" s="22">
        <f>H436*1.2</f>
        <v>18.599999999999998</v>
      </c>
      <c r="I438" s="22">
        <f>VLOOKUP(C438,Resources!B:G,6,FALSE)</f>
        <v>9.1</v>
      </c>
      <c r="J438" s="139">
        <f t="shared" si="537"/>
        <v>169.25999999999996</v>
      </c>
      <c r="K438" s="139">
        <f t="shared" si="538"/>
        <v>18.599999999999998</v>
      </c>
      <c r="L438" s="139" t="str">
        <f>IF(E438="M"," ",K438/F438/Workhrs)</f>
        <v xml:space="preserve"> </v>
      </c>
      <c r="M438" s="139">
        <f t="shared" si="539"/>
        <v>0</v>
      </c>
      <c r="N438" s="139">
        <f t="shared" si="540"/>
        <v>169.25999999999996</v>
      </c>
      <c r="O438" s="139">
        <f t="shared" si="541"/>
        <v>0</v>
      </c>
      <c r="P438" s="139">
        <f>IF($E438="S",$J438,0)</f>
        <v>0</v>
      </c>
      <c r="Q438" s="139">
        <f t="shared" si="542"/>
        <v>169.25999999999996</v>
      </c>
      <c r="R438" s="156" t="s">
        <v>695</v>
      </c>
    </row>
    <row r="439" spans="1:22" x14ac:dyDescent="0.35">
      <c r="A439" s="27"/>
      <c r="B439" s="92">
        <v>117</v>
      </c>
      <c r="C439" s="19" t="s">
        <v>124</v>
      </c>
      <c r="D439" s="3" t="s">
        <v>23</v>
      </c>
      <c r="E439" s="27" t="str">
        <f>VLOOKUP(C439,Resources!B:D,3,FALSE)</f>
        <v>M</v>
      </c>
      <c r="F439" s="8">
        <v>1</v>
      </c>
      <c r="G439" s="8">
        <v>1</v>
      </c>
      <c r="H439" s="22">
        <f>H436/0.9</f>
        <v>17.222222222222221</v>
      </c>
      <c r="I439" s="22">
        <f>VLOOKUP(C439,Resources!B:G,6,FALSE)</f>
        <v>0.8</v>
      </c>
      <c r="J439" s="139">
        <f t="shared" si="537"/>
        <v>13.777777777777779</v>
      </c>
      <c r="K439" s="139">
        <f t="shared" si="538"/>
        <v>17.222222222222221</v>
      </c>
      <c r="L439" s="139" t="str">
        <f>IF(E439="M"," ",K439/F439/Workhrs)</f>
        <v xml:space="preserve"> </v>
      </c>
      <c r="M439" s="139">
        <f t="shared" si="539"/>
        <v>0</v>
      </c>
      <c r="N439" s="139">
        <f t="shared" si="540"/>
        <v>13.777777777777779</v>
      </c>
      <c r="O439" s="139">
        <f t="shared" si="541"/>
        <v>0</v>
      </c>
      <c r="P439" s="139">
        <f>IF($E439="S",$J439,0)</f>
        <v>0</v>
      </c>
      <c r="Q439" s="139">
        <f t="shared" si="542"/>
        <v>13.777777777777779</v>
      </c>
      <c r="R439" s="156" t="s">
        <v>695</v>
      </c>
    </row>
    <row r="440" spans="1:22" x14ac:dyDescent="0.35">
      <c r="A440" s="27"/>
      <c r="B440" s="92">
        <v>118</v>
      </c>
      <c r="C440" s="19" t="s">
        <v>177</v>
      </c>
      <c r="D440" s="3" t="s">
        <v>74</v>
      </c>
      <c r="E440" s="27" t="str">
        <f>VLOOKUP(C440,Resources!B:D,3,FALSE)</f>
        <v>M</v>
      </c>
      <c r="F440" s="8">
        <v>1</v>
      </c>
      <c r="G440" s="8">
        <v>1</v>
      </c>
      <c r="H440" s="22">
        <f>H436*0.22*1.1</f>
        <v>3.7510000000000003</v>
      </c>
      <c r="I440" s="22">
        <f>VLOOKUP(C440,Resources!B:G,6,FALSE)</f>
        <v>174</v>
      </c>
      <c r="J440" s="139">
        <f t="shared" si="537"/>
        <v>652.67400000000009</v>
      </c>
      <c r="K440" s="139">
        <f t="shared" si="538"/>
        <v>3.7510000000000003</v>
      </c>
      <c r="L440" s="139" t="str">
        <f>IF(E440="M"," ",K440/F440/Workhrs)</f>
        <v xml:space="preserve"> </v>
      </c>
      <c r="M440" s="139">
        <f t="shared" si="539"/>
        <v>0</v>
      </c>
      <c r="N440" s="139">
        <f t="shared" si="540"/>
        <v>652.67400000000009</v>
      </c>
      <c r="O440" s="139">
        <f t="shared" si="541"/>
        <v>0</v>
      </c>
      <c r="P440" s="139">
        <f>IF($E440="S",$J440,0)</f>
        <v>0</v>
      </c>
      <c r="Q440" s="139">
        <f t="shared" si="542"/>
        <v>652.67400000000009</v>
      </c>
      <c r="R440" s="156" t="s">
        <v>697</v>
      </c>
    </row>
    <row r="441" spans="1:22" x14ac:dyDescent="0.35">
      <c r="A441" s="27"/>
      <c r="B441" s="92">
        <v>119</v>
      </c>
      <c r="C441" s="19" t="s">
        <v>125</v>
      </c>
      <c r="D441" s="3" t="s">
        <v>110</v>
      </c>
      <c r="E441" s="27" t="str">
        <f>VLOOKUP(C441,Resources!B:D,3,FALSE)</f>
        <v>S</v>
      </c>
      <c r="F441" s="8">
        <v>1</v>
      </c>
      <c r="G441" s="8">
        <v>1</v>
      </c>
      <c r="H441" s="22">
        <f>H436</f>
        <v>15.5</v>
      </c>
      <c r="I441" s="22">
        <f>VLOOKUP(C441,Resources!B:G,6,FALSE)</f>
        <v>27</v>
      </c>
      <c r="J441" s="139">
        <f t="shared" si="537"/>
        <v>418.5</v>
      </c>
      <c r="K441" s="139">
        <f t="shared" si="538"/>
        <v>15.5</v>
      </c>
      <c r="L441" s="139">
        <f>IF(E441="M"," ",K441/F441/Workhrs)</f>
        <v>1.7222222222222223</v>
      </c>
      <c r="M441" s="139">
        <f t="shared" si="539"/>
        <v>0</v>
      </c>
      <c r="N441" s="139">
        <f t="shared" si="540"/>
        <v>0</v>
      </c>
      <c r="O441" s="139">
        <f t="shared" si="541"/>
        <v>0</v>
      </c>
      <c r="P441" s="139">
        <f>IF($E441="S",$J441,0)</f>
        <v>418.5</v>
      </c>
      <c r="Q441" s="139">
        <f t="shared" si="542"/>
        <v>418.5</v>
      </c>
      <c r="R441" s="156">
        <v>182</v>
      </c>
    </row>
    <row r="442" spans="1:22" x14ac:dyDescent="0.35">
      <c r="C442" s="6" t="s">
        <v>402</v>
      </c>
      <c r="F442" s="9"/>
      <c r="G442" s="9"/>
      <c r="H442" s="9"/>
      <c r="I442" s="9"/>
    </row>
    <row r="443" spans="1:22" ht="30" x14ac:dyDescent="0.35">
      <c r="A443" s="26">
        <v>69</v>
      </c>
      <c r="B443" s="94" t="s">
        <v>192</v>
      </c>
      <c r="C443" s="1" t="s">
        <v>193</v>
      </c>
      <c r="D443" s="2" t="s">
        <v>45</v>
      </c>
      <c r="E443" s="24"/>
      <c r="F443" s="7"/>
      <c r="G443" s="7"/>
      <c r="H443" s="7">
        <v>100</v>
      </c>
      <c r="I443" s="7"/>
      <c r="J443" s="138">
        <f>SUBTOTAL(9,J447:J562)</f>
        <v>71971.5</v>
      </c>
      <c r="K443" s="138"/>
      <c r="L443" s="138"/>
      <c r="M443" s="138">
        <f t="shared" ref="M443:Q443" si="543">SUBTOTAL(9,M447:M562)</f>
        <v>13419</v>
      </c>
      <c r="N443" s="138">
        <f t="shared" si="543"/>
        <v>40047.5</v>
      </c>
      <c r="O443" s="138">
        <f t="shared" si="543"/>
        <v>18505</v>
      </c>
      <c r="P443" s="138">
        <f t="shared" si="543"/>
        <v>0</v>
      </c>
      <c r="Q443" s="138">
        <f t="shared" si="543"/>
        <v>71971.5</v>
      </c>
      <c r="R443" s="155"/>
    </row>
    <row r="444" spans="1:22" s="90" customFormat="1" x14ac:dyDescent="0.35">
      <c r="A444" s="26">
        <v>70</v>
      </c>
      <c r="B444" s="94">
        <v>1</v>
      </c>
      <c r="C444" s="14" t="s">
        <v>176</v>
      </c>
      <c r="D444" s="15"/>
      <c r="E444" s="24"/>
      <c r="F444" s="21"/>
      <c r="G444" s="21"/>
      <c r="H444" s="21"/>
      <c r="I444" s="21"/>
      <c r="J444" s="138">
        <f>SUBTOTAL(9,J447:J454)</f>
        <v>4074.5</v>
      </c>
      <c r="K444" s="138"/>
      <c r="L444" s="138">
        <f>ROUNDUP(MAX(L448:L454),0)</f>
        <v>1</v>
      </c>
      <c r="M444" s="138">
        <f t="shared" ref="M444:Q444" si="544">SUBTOTAL(9,M447:M454)</f>
        <v>882</v>
      </c>
      <c r="N444" s="138">
        <f t="shared" si="544"/>
        <v>1930</v>
      </c>
      <c r="O444" s="138">
        <f t="shared" si="544"/>
        <v>1262.5</v>
      </c>
      <c r="P444" s="138">
        <f t="shared" si="544"/>
        <v>0</v>
      </c>
      <c r="Q444" s="138">
        <f t="shared" si="544"/>
        <v>4074.5</v>
      </c>
      <c r="R444" s="155"/>
      <c r="T444" s="247"/>
      <c r="U444"/>
      <c r="V444" s="277"/>
    </row>
    <row r="445" spans="1:22" x14ac:dyDescent="0.35">
      <c r="A445" s="27">
        <v>70.099999999999994</v>
      </c>
      <c r="B445" s="92">
        <v>2</v>
      </c>
      <c r="C445" s="5" t="s">
        <v>703</v>
      </c>
      <c r="D445" s="16" t="s">
        <v>707</v>
      </c>
      <c r="E445" s="27"/>
      <c r="F445" s="8"/>
      <c r="G445" s="8"/>
      <c r="H445" s="97">
        <f>VLOOKUP($A445,'Model Inputs'!$A:$D,4,FALSE)</f>
        <v>4</v>
      </c>
      <c r="I445" s="8"/>
      <c r="J445" s="139"/>
      <c r="K445" s="139"/>
      <c r="L445" s="139"/>
      <c r="M445" s="139"/>
      <c r="N445" s="139"/>
      <c r="O445" s="139"/>
      <c r="P445" s="139"/>
      <c r="Q445" s="139"/>
      <c r="R445" s="156"/>
    </row>
    <row r="446" spans="1:22" x14ac:dyDescent="0.35">
      <c r="A446" s="27">
        <v>70.2</v>
      </c>
      <c r="B446" s="92">
        <v>3</v>
      </c>
      <c r="C446" s="5" t="s">
        <v>702</v>
      </c>
      <c r="D446" s="16" t="s">
        <v>690</v>
      </c>
      <c r="E446" s="27"/>
      <c r="F446" s="8"/>
      <c r="G446" s="8"/>
      <c r="H446" s="97">
        <f>VLOOKUP($A446,'Model Inputs'!$A:$D,4,FALSE)</f>
        <v>15</v>
      </c>
      <c r="I446" s="8"/>
      <c r="J446" s="139"/>
      <c r="K446" s="139"/>
      <c r="L446" s="139"/>
      <c r="M446" s="139"/>
      <c r="N446" s="139"/>
      <c r="O446" s="139"/>
      <c r="P446" s="139"/>
      <c r="Q446" s="139"/>
      <c r="R446" s="156"/>
    </row>
    <row r="447" spans="1:22" x14ac:dyDescent="0.35">
      <c r="A447" s="27"/>
      <c r="B447" s="92">
        <v>4</v>
      </c>
      <c r="C447" s="19" t="s">
        <v>193</v>
      </c>
      <c r="D447" s="3" t="s">
        <v>45</v>
      </c>
      <c r="E447" s="27" t="str">
        <f>VLOOKUP(C447,Resources!B:D,3,FALSE)</f>
        <v>M</v>
      </c>
      <c r="F447" s="8">
        <v>1</v>
      </c>
      <c r="G447" s="8">
        <v>1</v>
      </c>
      <c r="H447" s="8">
        <f>H445*1.2</f>
        <v>4.8</v>
      </c>
      <c r="I447" s="22">
        <f>VLOOKUP(C447,Resources!B:G,6,FALSE)</f>
        <v>387.5</v>
      </c>
      <c r="J447" s="139">
        <f t="shared" ref="J447:J454" si="545">(H447/(G447/F447))*I447</f>
        <v>1860</v>
      </c>
      <c r="K447" s="139">
        <f t="shared" ref="K447:K454" si="546">IF(E447="M",H447,(H447/(G447)*F447))</f>
        <v>4.8</v>
      </c>
      <c r="L447" s="139" t="str">
        <f t="shared" ref="L447:L454" si="547">IF(E447="M"," ",K447/F447/Workhrs)</f>
        <v xml:space="preserve"> </v>
      </c>
      <c r="M447" s="139">
        <f t="shared" ref="M447:M454" si="548">IF($E447="L",$J447,0)</f>
        <v>0</v>
      </c>
      <c r="N447" s="139">
        <f t="shared" ref="N447:N454" si="549">IF($E447="M",$J447,0)</f>
        <v>1860</v>
      </c>
      <c r="O447" s="139">
        <f t="shared" ref="O447:O454" si="550">IF($E447="P",$J447,0)</f>
        <v>0</v>
      </c>
      <c r="P447" s="139">
        <f t="shared" ref="P447:P454" si="551">IF($E447="S",$J447,0)</f>
        <v>0</v>
      </c>
      <c r="Q447" s="139">
        <f t="shared" ref="Q447:Q454" si="552">SUM(M447:P447)</f>
        <v>1860</v>
      </c>
      <c r="R447" s="156" t="s">
        <v>698</v>
      </c>
    </row>
    <row r="448" spans="1:22" x14ac:dyDescent="0.35">
      <c r="A448" s="27">
        <v>70.3</v>
      </c>
      <c r="B448" s="92">
        <v>5</v>
      </c>
      <c r="C448" s="19" t="s">
        <v>50</v>
      </c>
      <c r="D448" s="3" t="s">
        <v>26</v>
      </c>
      <c r="E448" s="27" t="str">
        <f>VLOOKUP(C448,Resources!B:D,3,FALSE)</f>
        <v>P</v>
      </c>
      <c r="F448" s="8">
        <v>1</v>
      </c>
      <c r="G448" s="97">
        <f>VLOOKUP($A448,'Model Inputs'!$A:$D,4,FALSE)</f>
        <v>2</v>
      </c>
      <c r="H448" s="8">
        <f>H445</f>
        <v>4</v>
      </c>
      <c r="I448" s="22">
        <f>VLOOKUP(C448,Resources!B:G,6,FALSE)</f>
        <v>135</v>
      </c>
      <c r="J448" s="139">
        <f t="shared" si="545"/>
        <v>270</v>
      </c>
      <c r="K448" s="139">
        <f t="shared" si="546"/>
        <v>2</v>
      </c>
      <c r="L448" s="139">
        <f t="shared" si="547"/>
        <v>0.22222222222222221</v>
      </c>
      <c r="M448" s="139">
        <f t="shared" si="548"/>
        <v>0</v>
      </c>
      <c r="N448" s="139">
        <f t="shared" si="549"/>
        <v>0</v>
      </c>
      <c r="O448" s="139">
        <f t="shared" si="550"/>
        <v>270</v>
      </c>
      <c r="P448" s="139">
        <f t="shared" si="551"/>
        <v>0</v>
      </c>
      <c r="Q448" s="139">
        <f t="shared" si="552"/>
        <v>270</v>
      </c>
      <c r="R448" s="156">
        <v>181</v>
      </c>
    </row>
    <row r="449" spans="1:22" x14ac:dyDescent="0.35">
      <c r="A449" s="27"/>
      <c r="B449" s="92">
        <v>6</v>
      </c>
      <c r="C449" s="19" t="s">
        <v>8</v>
      </c>
      <c r="D449" s="3" t="s">
        <v>26</v>
      </c>
      <c r="E449" s="27" t="str">
        <f>VLOOKUP(C449,Resources!B:D,3,FALSE)</f>
        <v>L</v>
      </c>
      <c r="F449" s="8">
        <v>3</v>
      </c>
      <c r="G449" s="8">
        <f>G448</f>
        <v>2</v>
      </c>
      <c r="H449" s="8">
        <f>H445</f>
        <v>4</v>
      </c>
      <c r="I449" s="22">
        <f>VLOOKUP(C449,Resources!B:G,6,FALSE)</f>
        <v>42</v>
      </c>
      <c r="J449" s="139">
        <f t="shared" si="545"/>
        <v>252</v>
      </c>
      <c r="K449" s="139">
        <f t="shared" si="546"/>
        <v>6</v>
      </c>
      <c r="L449" s="139">
        <f t="shared" si="547"/>
        <v>0.22222222222222221</v>
      </c>
      <c r="M449" s="139">
        <f t="shared" si="548"/>
        <v>252</v>
      </c>
      <c r="N449" s="139">
        <f t="shared" si="549"/>
        <v>0</v>
      </c>
      <c r="O449" s="139">
        <f t="shared" si="550"/>
        <v>0</v>
      </c>
      <c r="P449" s="139">
        <f t="shared" si="551"/>
        <v>0</v>
      </c>
      <c r="Q449" s="139">
        <f t="shared" si="552"/>
        <v>252</v>
      </c>
      <c r="R449" s="156">
        <v>181</v>
      </c>
    </row>
    <row r="450" spans="1:22" x14ac:dyDescent="0.35">
      <c r="A450" s="27"/>
      <c r="B450" s="92">
        <v>7</v>
      </c>
      <c r="C450" s="19" t="s">
        <v>194</v>
      </c>
      <c r="D450" s="3" t="s">
        <v>45</v>
      </c>
      <c r="E450" s="27" t="str">
        <f>VLOOKUP(C450,Resources!B:D,3,FALSE)</f>
        <v>M</v>
      </c>
      <c r="F450" s="8">
        <v>1</v>
      </c>
      <c r="G450" s="8">
        <v>1</v>
      </c>
      <c r="H450" s="8">
        <f>H445*3.5</f>
        <v>14</v>
      </c>
      <c r="I450" s="22">
        <f>VLOOKUP(C450,Resources!B:G,6,FALSE)</f>
        <v>5</v>
      </c>
      <c r="J450" s="139">
        <f t="shared" si="545"/>
        <v>70</v>
      </c>
      <c r="K450" s="139">
        <f t="shared" si="546"/>
        <v>14</v>
      </c>
      <c r="L450" s="139" t="str">
        <f t="shared" si="547"/>
        <v xml:space="preserve"> </v>
      </c>
      <c r="M450" s="139">
        <f t="shared" si="548"/>
        <v>0</v>
      </c>
      <c r="N450" s="139">
        <f t="shared" si="549"/>
        <v>70</v>
      </c>
      <c r="O450" s="139">
        <f t="shared" si="550"/>
        <v>0</v>
      </c>
      <c r="P450" s="139">
        <f t="shared" si="551"/>
        <v>0</v>
      </c>
      <c r="Q450" s="139">
        <f t="shared" si="552"/>
        <v>70</v>
      </c>
      <c r="R450" s="156">
        <v>181</v>
      </c>
    </row>
    <row r="451" spans="1:22" x14ac:dyDescent="0.35">
      <c r="A451" s="27">
        <v>70.400000000000006</v>
      </c>
      <c r="B451" s="92">
        <v>8</v>
      </c>
      <c r="C451" s="19" t="s">
        <v>47</v>
      </c>
      <c r="D451" s="3" t="s">
        <v>26</v>
      </c>
      <c r="E451" s="27" t="str">
        <f>VLOOKUP(C451,Resources!B:D,3,FALSE)</f>
        <v>P</v>
      </c>
      <c r="F451" s="8">
        <v>1</v>
      </c>
      <c r="G451" s="97">
        <f>VLOOKUP($A451,'Model Inputs'!$A:$D,4,FALSE)</f>
        <v>3</v>
      </c>
      <c r="H451" s="8">
        <f>H446</f>
        <v>15</v>
      </c>
      <c r="I451" s="22">
        <f>VLOOKUP(C451,Resources!B:G,6,FALSE)</f>
        <v>95</v>
      </c>
      <c r="J451" s="139">
        <f t="shared" si="545"/>
        <v>475</v>
      </c>
      <c r="K451" s="139">
        <f t="shared" si="546"/>
        <v>5</v>
      </c>
      <c r="L451" s="139">
        <f t="shared" si="547"/>
        <v>0.55555555555555558</v>
      </c>
      <c r="M451" s="139">
        <f t="shared" si="548"/>
        <v>0</v>
      </c>
      <c r="N451" s="139">
        <f t="shared" si="549"/>
        <v>0</v>
      </c>
      <c r="O451" s="139">
        <f t="shared" si="550"/>
        <v>475</v>
      </c>
      <c r="P451" s="139">
        <f t="shared" si="551"/>
        <v>0</v>
      </c>
      <c r="Q451" s="139">
        <f t="shared" si="552"/>
        <v>475</v>
      </c>
      <c r="R451" s="156">
        <v>181</v>
      </c>
    </row>
    <row r="452" spans="1:22" x14ac:dyDescent="0.35">
      <c r="A452" s="27"/>
      <c r="B452" s="92">
        <v>9</v>
      </c>
      <c r="C452" s="19" t="s">
        <v>8</v>
      </c>
      <c r="D452" s="3" t="s">
        <v>26</v>
      </c>
      <c r="E452" s="27" t="str">
        <f>VLOOKUP(C452,Resources!B:D,3,FALSE)</f>
        <v>L</v>
      </c>
      <c r="F452" s="8">
        <v>3</v>
      </c>
      <c r="G452" s="8">
        <f>G451</f>
        <v>3</v>
      </c>
      <c r="H452" s="8">
        <f>H446</f>
        <v>15</v>
      </c>
      <c r="I452" s="22">
        <f>VLOOKUP(C452,Resources!B:G,6,FALSE)</f>
        <v>42</v>
      </c>
      <c r="J452" s="139">
        <f t="shared" si="545"/>
        <v>630</v>
      </c>
      <c r="K452" s="139">
        <f t="shared" si="546"/>
        <v>15</v>
      </c>
      <c r="L452" s="139">
        <f t="shared" si="547"/>
        <v>0.55555555555555558</v>
      </c>
      <c r="M452" s="139">
        <f t="shared" si="548"/>
        <v>630</v>
      </c>
      <c r="N452" s="139">
        <f t="shared" si="549"/>
        <v>0</v>
      </c>
      <c r="O452" s="139">
        <f t="shared" si="550"/>
        <v>0</v>
      </c>
      <c r="P452" s="139">
        <f t="shared" si="551"/>
        <v>0</v>
      </c>
      <c r="Q452" s="139">
        <f t="shared" si="552"/>
        <v>630</v>
      </c>
      <c r="R452" s="156">
        <v>181</v>
      </c>
    </row>
    <row r="453" spans="1:22" x14ac:dyDescent="0.35">
      <c r="A453" s="27"/>
      <c r="B453" s="92">
        <v>10</v>
      </c>
      <c r="C453" s="19" t="s">
        <v>83</v>
      </c>
      <c r="D453" s="3" t="s">
        <v>26</v>
      </c>
      <c r="E453" s="27" t="str">
        <f>VLOOKUP(C453,Resources!B:D,3,FALSE)</f>
        <v>P</v>
      </c>
      <c r="F453" s="8">
        <v>1</v>
      </c>
      <c r="G453" s="8">
        <f>G451</f>
        <v>3</v>
      </c>
      <c r="H453" s="8">
        <f>H446</f>
        <v>15</v>
      </c>
      <c r="I453" s="22">
        <f>VLOOKUP(C453,Resources!B:G,6,FALSE)</f>
        <v>3.5</v>
      </c>
      <c r="J453" s="139">
        <f t="shared" si="545"/>
        <v>17.5</v>
      </c>
      <c r="K453" s="139">
        <f t="shared" si="546"/>
        <v>5</v>
      </c>
      <c r="L453" s="139">
        <f t="shared" si="547"/>
        <v>0.55555555555555558</v>
      </c>
      <c r="M453" s="139">
        <f t="shared" si="548"/>
        <v>0</v>
      </c>
      <c r="N453" s="139">
        <f t="shared" si="549"/>
        <v>0</v>
      </c>
      <c r="O453" s="139">
        <f t="shared" si="550"/>
        <v>17.5</v>
      </c>
      <c r="P453" s="139">
        <f t="shared" si="551"/>
        <v>0</v>
      </c>
      <c r="Q453" s="139">
        <f t="shared" si="552"/>
        <v>17.5</v>
      </c>
      <c r="R453" s="156">
        <v>181</v>
      </c>
    </row>
    <row r="454" spans="1:22" x14ac:dyDescent="0.35">
      <c r="A454" s="27"/>
      <c r="B454" s="92">
        <v>11</v>
      </c>
      <c r="C454" s="19" t="s">
        <v>52</v>
      </c>
      <c r="D454" s="3" t="s">
        <v>26</v>
      </c>
      <c r="E454" s="27" t="str">
        <f>VLOOKUP(C454,Resources!B:D,3,FALSE)</f>
        <v>P</v>
      </c>
      <c r="F454" s="8">
        <v>1</v>
      </c>
      <c r="G454" s="8">
        <f>G451</f>
        <v>3</v>
      </c>
      <c r="H454" s="8">
        <f>H446</f>
        <v>15</v>
      </c>
      <c r="I454" s="22">
        <f>VLOOKUP(C454,Resources!B:G,6,FALSE)</f>
        <v>100</v>
      </c>
      <c r="J454" s="139">
        <f t="shared" si="545"/>
        <v>500</v>
      </c>
      <c r="K454" s="139">
        <f t="shared" si="546"/>
        <v>5</v>
      </c>
      <c r="L454" s="139">
        <f t="shared" si="547"/>
        <v>0.55555555555555558</v>
      </c>
      <c r="M454" s="139">
        <f t="shared" si="548"/>
        <v>0</v>
      </c>
      <c r="N454" s="139">
        <f t="shared" si="549"/>
        <v>0</v>
      </c>
      <c r="O454" s="139">
        <f t="shared" si="550"/>
        <v>500</v>
      </c>
      <c r="P454" s="139">
        <f t="shared" si="551"/>
        <v>0</v>
      </c>
      <c r="Q454" s="139">
        <f t="shared" si="552"/>
        <v>500</v>
      </c>
      <c r="R454" s="156">
        <v>181</v>
      </c>
    </row>
    <row r="455" spans="1:22" x14ac:dyDescent="0.35">
      <c r="B455" s="95">
        <v>12</v>
      </c>
      <c r="C455" s="6" t="s">
        <v>402</v>
      </c>
      <c r="F455" s="9"/>
      <c r="G455" s="9"/>
      <c r="H455" s="9"/>
      <c r="I455" s="9"/>
    </row>
    <row r="456" spans="1:22" s="90" customFormat="1" x14ac:dyDescent="0.35">
      <c r="A456" s="26">
        <v>71</v>
      </c>
      <c r="B456" s="94">
        <v>13</v>
      </c>
      <c r="C456" s="14" t="s">
        <v>178</v>
      </c>
      <c r="D456" s="15"/>
      <c r="E456" s="24"/>
      <c r="F456" s="21"/>
      <c r="G456" s="21"/>
      <c r="H456" s="21"/>
      <c r="I456" s="21"/>
      <c r="J456" s="138">
        <f>SUBTOTAL(9,J459:J466)</f>
        <v>4074.5</v>
      </c>
      <c r="K456" s="138"/>
      <c r="L456" s="138">
        <f>ROUNDUP(MAX(L460:L466),0)</f>
        <v>1</v>
      </c>
      <c r="M456" s="138">
        <f t="shared" ref="M456:Q456" si="553">SUBTOTAL(9,M459:M466)</f>
        <v>882</v>
      </c>
      <c r="N456" s="138">
        <f t="shared" si="553"/>
        <v>1930</v>
      </c>
      <c r="O456" s="138">
        <f t="shared" si="553"/>
        <v>1262.5</v>
      </c>
      <c r="P456" s="138">
        <f t="shared" si="553"/>
        <v>0</v>
      </c>
      <c r="Q456" s="138">
        <f t="shared" si="553"/>
        <v>4074.5</v>
      </c>
      <c r="R456" s="155"/>
      <c r="T456" s="247"/>
      <c r="U456"/>
      <c r="V456" s="277"/>
    </row>
    <row r="457" spans="1:22" x14ac:dyDescent="0.35">
      <c r="A457" s="27">
        <v>71.099999999999994</v>
      </c>
      <c r="B457" s="92">
        <v>14</v>
      </c>
      <c r="C457" s="5" t="s">
        <v>703</v>
      </c>
      <c r="D457" s="16" t="s">
        <v>707</v>
      </c>
      <c r="E457" s="27"/>
      <c r="F457" s="8"/>
      <c r="G457" s="8"/>
      <c r="H457" s="97">
        <f>VLOOKUP($A457,'Model Inputs'!$A:$D,4,FALSE)</f>
        <v>4</v>
      </c>
      <c r="I457" s="8"/>
      <c r="J457" s="139"/>
      <c r="K457" s="139"/>
      <c r="L457" s="139"/>
      <c r="M457" s="139"/>
      <c r="N457" s="139"/>
      <c r="O457" s="139"/>
      <c r="P457" s="139"/>
      <c r="Q457" s="139"/>
      <c r="R457" s="156"/>
    </row>
    <row r="458" spans="1:22" x14ac:dyDescent="0.35">
      <c r="A458" s="27">
        <v>71.2</v>
      </c>
      <c r="B458" s="92">
        <v>15</v>
      </c>
      <c r="C458" s="5" t="s">
        <v>702</v>
      </c>
      <c r="D458" s="16" t="s">
        <v>690</v>
      </c>
      <c r="E458" s="27"/>
      <c r="F458" s="8"/>
      <c r="G458" s="8"/>
      <c r="H458" s="97">
        <f>VLOOKUP($A458,'Model Inputs'!$A:$D,4,FALSE)</f>
        <v>15</v>
      </c>
      <c r="I458" s="8"/>
      <c r="J458" s="139"/>
      <c r="K458" s="139"/>
      <c r="L458" s="139"/>
      <c r="M458" s="139"/>
      <c r="N458" s="139"/>
      <c r="O458" s="139"/>
      <c r="P458" s="139"/>
      <c r="Q458" s="139"/>
      <c r="R458" s="156"/>
    </row>
    <row r="459" spans="1:22" x14ac:dyDescent="0.35">
      <c r="A459" s="27"/>
      <c r="B459" s="92">
        <v>16</v>
      </c>
      <c r="C459" s="19" t="s">
        <v>193</v>
      </c>
      <c r="D459" s="3" t="s">
        <v>45</v>
      </c>
      <c r="E459" s="27" t="str">
        <f>VLOOKUP(C459,Resources!B:D,3,FALSE)</f>
        <v>M</v>
      </c>
      <c r="F459" s="8">
        <v>1</v>
      </c>
      <c r="G459" s="22">
        <v>1</v>
      </c>
      <c r="H459" s="22">
        <f>H457*1.2</f>
        <v>4.8</v>
      </c>
      <c r="I459" s="22">
        <f>VLOOKUP(C459,Resources!B:G,6,FALSE)</f>
        <v>387.5</v>
      </c>
      <c r="J459" s="139">
        <f t="shared" ref="J459:J466" si="554">(H459/(G459/F459))*I459</f>
        <v>1860</v>
      </c>
      <c r="K459" s="139">
        <f t="shared" ref="K459:K466" si="555">IF(E459="M",H459,(H459/(G459)*F459))</f>
        <v>4.8</v>
      </c>
      <c r="L459" s="139" t="str">
        <f t="shared" ref="L459:L466" si="556">IF(E459="M"," ",K459/F459/Workhrs)</f>
        <v xml:space="preserve"> </v>
      </c>
      <c r="M459" s="139">
        <f t="shared" ref="M459:M466" si="557">IF($E459="L",$J459,0)</f>
        <v>0</v>
      </c>
      <c r="N459" s="139">
        <f t="shared" ref="N459:N466" si="558">IF($E459="M",$J459,0)</f>
        <v>1860</v>
      </c>
      <c r="O459" s="139">
        <f t="shared" ref="O459:O466" si="559">IF($E459="P",$J459,0)</f>
        <v>0</v>
      </c>
      <c r="P459" s="139">
        <f t="shared" ref="P459:P466" si="560">IF($E459="S",$J459,0)</f>
        <v>0</v>
      </c>
      <c r="Q459" s="139">
        <f t="shared" ref="Q459:Q466" si="561">SUM(M459:P459)</f>
        <v>1860</v>
      </c>
      <c r="R459" s="156" t="s">
        <v>698</v>
      </c>
    </row>
    <row r="460" spans="1:22" x14ac:dyDescent="0.35">
      <c r="A460" s="27">
        <v>71.3</v>
      </c>
      <c r="B460" s="92">
        <v>17</v>
      </c>
      <c r="C460" s="19" t="s">
        <v>50</v>
      </c>
      <c r="D460" s="3" t="s">
        <v>26</v>
      </c>
      <c r="E460" s="27" t="str">
        <f>VLOOKUP(C460,Resources!B:D,3,FALSE)</f>
        <v>P</v>
      </c>
      <c r="F460" s="8">
        <v>1</v>
      </c>
      <c r="G460" s="97">
        <f>VLOOKUP($A460,'Model Inputs'!$A:$D,4,FALSE)</f>
        <v>2</v>
      </c>
      <c r="H460" s="22">
        <f>H457</f>
        <v>4</v>
      </c>
      <c r="I460" s="22">
        <f>VLOOKUP(C460,Resources!B:G,6,FALSE)</f>
        <v>135</v>
      </c>
      <c r="J460" s="139">
        <f t="shared" si="554"/>
        <v>270</v>
      </c>
      <c r="K460" s="139">
        <f t="shared" si="555"/>
        <v>2</v>
      </c>
      <c r="L460" s="139">
        <f t="shared" si="556"/>
        <v>0.22222222222222221</v>
      </c>
      <c r="M460" s="139">
        <f t="shared" si="557"/>
        <v>0</v>
      </c>
      <c r="N460" s="139">
        <f t="shared" si="558"/>
        <v>0</v>
      </c>
      <c r="O460" s="139">
        <f t="shared" si="559"/>
        <v>270</v>
      </c>
      <c r="P460" s="139">
        <f t="shared" si="560"/>
        <v>0</v>
      </c>
      <c r="Q460" s="139">
        <f t="shared" si="561"/>
        <v>270</v>
      </c>
      <c r="R460" s="156">
        <v>181</v>
      </c>
    </row>
    <row r="461" spans="1:22" x14ac:dyDescent="0.35">
      <c r="A461" s="27"/>
      <c r="B461" s="92">
        <v>18</v>
      </c>
      <c r="C461" s="19" t="s">
        <v>8</v>
      </c>
      <c r="D461" s="3" t="s">
        <v>26</v>
      </c>
      <c r="E461" s="27" t="str">
        <f>VLOOKUP(C461,Resources!B:D,3,FALSE)</f>
        <v>L</v>
      </c>
      <c r="F461" s="8">
        <v>3</v>
      </c>
      <c r="G461" s="22">
        <f>G460</f>
        <v>2</v>
      </c>
      <c r="H461" s="22">
        <f>H457</f>
        <v>4</v>
      </c>
      <c r="I461" s="22">
        <f>VLOOKUP(C461,Resources!B:G,6,FALSE)</f>
        <v>42</v>
      </c>
      <c r="J461" s="139">
        <f t="shared" si="554"/>
        <v>252</v>
      </c>
      <c r="K461" s="139">
        <f t="shared" si="555"/>
        <v>6</v>
      </c>
      <c r="L461" s="139">
        <f t="shared" si="556"/>
        <v>0.22222222222222221</v>
      </c>
      <c r="M461" s="139">
        <f t="shared" si="557"/>
        <v>252</v>
      </c>
      <c r="N461" s="139">
        <f t="shared" si="558"/>
        <v>0</v>
      </c>
      <c r="O461" s="139">
        <f t="shared" si="559"/>
        <v>0</v>
      </c>
      <c r="P461" s="139">
        <f t="shared" si="560"/>
        <v>0</v>
      </c>
      <c r="Q461" s="139">
        <f t="shared" si="561"/>
        <v>252</v>
      </c>
      <c r="R461" s="156">
        <v>181</v>
      </c>
    </row>
    <row r="462" spans="1:22" x14ac:dyDescent="0.35">
      <c r="A462" s="27"/>
      <c r="B462" s="92">
        <v>19</v>
      </c>
      <c r="C462" s="19" t="s">
        <v>194</v>
      </c>
      <c r="D462" s="3" t="s">
        <v>45</v>
      </c>
      <c r="E462" s="27" t="str">
        <f>VLOOKUP(C462,Resources!B:D,3,FALSE)</f>
        <v>M</v>
      </c>
      <c r="F462" s="8">
        <v>1</v>
      </c>
      <c r="G462" s="22">
        <v>1</v>
      </c>
      <c r="H462" s="22">
        <f>H457*3.5</f>
        <v>14</v>
      </c>
      <c r="I462" s="22">
        <f>VLOOKUP(C462,Resources!B:G,6,FALSE)</f>
        <v>5</v>
      </c>
      <c r="J462" s="139">
        <f t="shared" si="554"/>
        <v>70</v>
      </c>
      <c r="K462" s="139">
        <f t="shared" si="555"/>
        <v>14</v>
      </c>
      <c r="L462" s="139" t="str">
        <f t="shared" si="556"/>
        <v xml:space="preserve"> </v>
      </c>
      <c r="M462" s="139">
        <f t="shared" si="557"/>
        <v>0</v>
      </c>
      <c r="N462" s="139">
        <f t="shared" si="558"/>
        <v>70</v>
      </c>
      <c r="O462" s="139">
        <f t="shared" si="559"/>
        <v>0</v>
      </c>
      <c r="P462" s="139">
        <f t="shared" si="560"/>
        <v>0</v>
      </c>
      <c r="Q462" s="139">
        <f t="shared" si="561"/>
        <v>70</v>
      </c>
      <c r="R462" s="156">
        <v>181</v>
      </c>
    </row>
    <row r="463" spans="1:22" x14ac:dyDescent="0.35">
      <c r="A463" s="27">
        <v>71.400000000000006</v>
      </c>
      <c r="B463" s="92">
        <v>20</v>
      </c>
      <c r="C463" s="19" t="s">
        <v>47</v>
      </c>
      <c r="D463" s="3" t="s">
        <v>26</v>
      </c>
      <c r="E463" s="27" t="str">
        <f>VLOOKUP(C463,Resources!B:D,3,FALSE)</f>
        <v>P</v>
      </c>
      <c r="F463" s="8">
        <v>1</v>
      </c>
      <c r="G463" s="97">
        <f>VLOOKUP($A463,'Model Inputs'!$A:$D,4,FALSE)</f>
        <v>3</v>
      </c>
      <c r="H463" s="22">
        <f>H458</f>
        <v>15</v>
      </c>
      <c r="I463" s="22">
        <f>VLOOKUP(C463,Resources!B:G,6,FALSE)</f>
        <v>95</v>
      </c>
      <c r="J463" s="139">
        <f t="shared" si="554"/>
        <v>475</v>
      </c>
      <c r="K463" s="139">
        <f t="shared" si="555"/>
        <v>5</v>
      </c>
      <c r="L463" s="139">
        <f t="shared" si="556"/>
        <v>0.55555555555555558</v>
      </c>
      <c r="M463" s="139">
        <f t="shared" si="557"/>
        <v>0</v>
      </c>
      <c r="N463" s="139">
        <f t="shared" si="558"/>
        <v>0</v>
      </c>
      <c r="O463" s="139">
        <f t="shared" si="559"/>
        <v>475</v>
      </c>
      <c r="P463" s="139">
        <f t="shared" si="560"/>
        <v>0</v>
      </c>
      <c r="Q463" s="139">
        <f t="shared" si="561"/>
        <v>475</v>
      </c>
      <c r="R463" s="156">
        <v>181</v>
      </c>
    </row>
    <row r="464" spans="1:22" x14ac:dyDescent="0.35">
      <c r="A464" s="27"/>
      <c r="B464" s="92">
        <v>21</v>
      </c>
      <c r="C464" s="19" t="s">
        <v>8</v>
      </c>
      <c r="D464" s="3" t="s">
        <v>26</v>
      </c>
      <c r="E464" s="27" t="str">
        <f>VLOOKUP(C464,Resources!B:D,3,FALSE)</f>
        <v>L</v>
      </c>
      <c r="F464" s="8">
        <v>3</v>
      </c>
      <c r="G464" s="22">
        <f>G463</f>
        <v>3</v>
      </c>
      <c r="H464" s="22">
        <f>H458</f>
        <v>15</v>
      </c>
      <c r="I464" s="22">
        <f>VLOOKUP(C464,Resources!B:G,6,FALSE)</f>
        <v>42</v>
      </c>
      <c r="J464" s="139">
        <f t="shared" si="554"/>
        <v>630</v>
      </c>
      <c r="K464" s="139">
        <f t="shared" si="555"/>
        <v>15</v>
      </c>
      <c r="L464" s="139">
        <f t="shared" si="556"/>
        <v>0.55555555555555558</v>
      </c>
      <c r="M464" s="139">
        <f t="shared" si="557"/>
        <v>630</v>
      </c>
      <c r="N464" s="139">
        <f t="shared" si="558"/>
        <v>0</v>
      </c>
      <c r="O464" s="139">
        <f t="shared" si="559"/>
        <v>0</v>
      </c>
      <c r="P464" s="139">
        <f t="shared" si="560"/>
        <v>0</v>
      </c>
      <c r="Q464" s="139">
        <f t="shared" si="561"/>
        <v>630</v>
      </c>
      <c r="R464" s="156">
        <v>181</v>
      </c>
    </row>
    <row r="465" spans="1:22" x14ac:dyDescent="0.35">
      <c r="A465" s="27"/>
      <c r="B465" s="92">
        <v>22</v>
      </c>
      <c r="C465" s="19" t="s">
        <v>83</v>
      </c>
      <c r="D465" s="3" t="s">
        <v>26</v>
      </c>
      <c r="E465" s="27" t="str">
        <f>VLOOKUP(C465,Resources!B:D,3,FALSE)</f>
        <v>P</v>
      </c>
      <c r="F465" s="8">
        <v>1</v>
      </c>
      <c r="G465" s="22">
        <f>G463</f>
        <v>3</v>
      </c>
      <c r="H465" s="22">
        <f>H458</f>
        <v>15</v>
      </c>
      <c r="I465" s="22">
        <f>VLOOKUP(C465,Resources!B:G,6,FALSE)</f>
        <v>3.5</v>
      </c>
      <c r="J465" s="139">
        <f t="shared" si="554"/>
        <v>17.5</v>
      </c>
      <c r="K465" s="139">
        <f t="shared" si="555"/>
        <v>5</v>
      </c>
      <c r="L465" s="139">
        <f t="shared" si="556"/>
        <v>0.55555555555555558</v>
      </c>
      <c r="M465" s="139">
        <f t="shared" si="557"/>
        <v>0</v>
      </c>
      <c r="N465" s="139">
        <f t="shared" si="558"/>
        <v>0</v>
      </c>
      <c r="O465" s="139">
        <f t="shared" si="559"/>
        <v>17.5</v>
      </c>
      <c r="P465" s="139">
        <f t="shared" si="560"/>
        <v>0</v>
      </c>
      <c r="Q465" s="139">
        <f t="shared" si="561"/>
        <v>17.5</v>
      </c>
      <c r="R465" s="156">
        <v>181</v>
      </c>
    </row>
    <row r="466" spans="1:22" x14ac:dyDescent="0.35">
      <c r="A466" s="27"/>
      <c r="B466" s="92">
        <v>23</v>
      </c>
      <c r="C466" s="19" t="s">
        <v>52</v>
      </c>
      <c r="D466" s="3" t="s">
        <v>26</v>
      </c>
      <c r="E466" s="27" t="str">
        <f>VLOOKUP(C466,Resources!B:D,3,FALSE)</f>
        <v>P</v>
      </c>
      <c r="F466" s="8">
        <v>1</v>
      </c>
      <c r="G466" s="22">
        <f>G463</f>
        <v>3</v>
      </c>
      <c r="H466" s="22">
        <f>H458</f>
        <v>15</v>
      </c>
      <c r="I466" s="22">
        <f>VLOOKUP(C466,Resources!B:G,6,FALSE)</f>
        <v>100</v>
      </c>
      <c r="J466" s="139">
        <f t="shared" si="554"/>
        <v>500</v>
      </c>
      <c r="K466" s="139">
        <f t="shared" si="555"/>
        <v>5</v>
      </c>
      <c r="L466" s="139">
        <f t="shared" si="556"/>
        <v>0.55555555555555558</v>
      </c>
      <c r="M466" s="139">
        <f t="shared" si="557"/>
        <v>0</v>
      </c>
      <c r="N466" s="139">
        <f t="shared" si="558"/>
        <v>0</v>
      </c>
      <c r="O466" s="139">
        <f t="shared" si="559"/>
        <v>500</v>
      </c>
      <c r="P466" s="139">
        <f t="shared" si="560"/>
        <v>0</v>
      </c>
      <c r="Q466" s="139">
        <f t="shared" si="561"/>
        <v>500</v>
      </c>
      <c r="R466" s="156">
        <v>181</v>
      </c>
    </row>
    <row r="467" spans="1:22" x14ac:dyDescent="0.35">
      <c r="B467" s="95">
        <v>24</v>
      </c>
      <c r="C467" s="6" t="s">
        <v>402</v>
      </c>
      <c r="F467" s="9"/>
      <c r="G467" s="9"/>
      <c r="H467" s="9"/>
      <c r="I467" s="9"/>
    </row>
    <row r="468" spans="1:22" s="90" customFormat="1" x14ac:dyDescent="0.35">
      <c r="A468" s="26">
        <v>72</v>
      </c>
      <c r="B468" s="94">
        <v>25</v>
      </c>
      <c r="C468" s="14" t="s">
        <v>179</v>
      </c>
      <c r="D468" s="15"/>
      <c r="E468" s="24"/>
      <c r="F468" s="21"/>
      <c r="G468" s="21"/>
      <c r="H468" s="21"/>
      <c r="I468" s="21"/>
      <c r="J468" s="138">
        <f>SUBTOTAL(9,J471:J478)</f>
        <v>8726</v>
      </c>
      <c r="K468" s="138"/>
      <c r="L468" s="138">
        <f>ROUNDUP(MAX(L472:L478),0)</f>
        <v>1</v>
      </c>
      <c r="M468" s="138">
        <f t="shared" ref="M468:Q468" si="562">SUBTOTAL(9,M471:M478)</f>
        <v>1638</v>
      </c>
      <c r="N468" s="138">
        <f t="shared" si="562"/>
        <v>4825</v>
      </c>
      <c r="O468" s="138">
        <f t="shared" si="562"/>
        <v>2263</v>
      </c>
      <c r="P468" s="138">
        <f t="shared" si="562"/>
        <v>0</v>
      </c>
      <c r="Q468" s="138">
        <f t="shared" si="562"/>
        <v>8726</v>
      </c>
      <c r="R468" s="155"/>
      <c r="T468" s="247"/>
      <c r="U468"/>
      <c r="V468" s="277"/>
    </row>
    <row r="469" spans="1:22" x14ac:dyDescent="0.35">
      <c r="A469" s="27">
        <v>72.099999999999994</v>
      </c>
      <c r="B469" s="92">
        <v>26</v>
      </c>
      <c r="C469" s="5" t="s">
        <v>703</v>
      </c>
      <c r="D469" s="16" t="s">
        <v>707</v>
      </c>
      <c r="E469" s="27"/>
      <c r="F469" s="8"/>
      <c r="G469" s="8"/>
      <c r="H469" s="97">
        <f>VLOOKUP($A469,'Model Inputs'!$A:$D,4,FALSE)</f>
        <v>10</v>
      </c>
      <c r="I469" s="8"/>
      <c r="J469" s="139"/>
      <c r="K469" s="139"/>
      <c r="L469" s="139"/>
      <c r="M469" s="139"/>
      <c r="N469" s="139"/>
      <c r="O469" s="139"/>
      <c r="P469" s="139"/>
      <c r="Q469" s="139"/>
      <c r="R469" s="156"/>
    </row>
    <row r="470" spans="1:22" x14ac:dyDescent="0.35">
      <c r="A470" s="27">
        <v>72.2</v>
      </c>
      <c r="B470" s="92">
        <v>27</v>
      </c>
      <c r="C470" s="5" t="s">
        <v>702</v>
      </c>
      <c r="D470" s="16" t="s">
        <v>690</v>
      </c>
      <c r="E470" s="27"/>
      <c r="F470" s="8"/>
      <c r="G470" s="8"/>
      <c r="H470" s="97">
        <f>VLOOKUP($A470,'Model Inputs'!$A:$D,4,FALSE)</f>
        <v>24</v>
      </c>
      <c r="I470" s="8"/>
      <c r="J470" s="139"/>
      <c r="K470" s="139"/>
      <c r="L470" s="139"/>
      <c r="M470" s="139"/>
      <c r="N470" s="139"/>
      <c r="O470" s="139"/>
      <c r="P470" s="139"/>
      <c r="Q470" s="139"/>
      <c r="R470" s="156"/>
    </row>
    <row r="471" spans="1:22" x14ac:dyDescent="0.35">
      <c r="A471" s="27"/>
      <c r="B471" s="92">
        <v>28</v>
      </c>
      <c r="C471" s="19" t="s">
        <v>193</v>
      </c>
      <c r="D471" s="3" t="s">
        <v>45</v>
      </c>
      <c r="E471" s="27" t="str">
        <f>VLOOKUP(C471,Resources!B:D,3,FALSE)</f>
        <v>M</v>
      </c>
      <c r="F471" s="8">
        <v>1</v>
      </c>
      <c r="G471" s="22">
        <v>1</v>
      </c>
      <c r="H471" s="22">
        <f>H469*1.2</f>
        <v>12</v>
      </c>
      <c r="I471" s="22">
        <f>VLOOKUP(C471,Resources!B:G,6,FALSE)</f>
        <v>387.5</v>
      </c>
      <c r="J471" s="139">
        <f t="shared" ref="J471:J478" si="563">(H471/(G471/F471))*I471</f>
        <v>4650</v>
      </c>
      <c r="K471" s="139">
        <f t="shared" ref="K471:K478" si="564">IF(E471="M",H471,(H471/(G471)*F471))</f>
        <v>12</v>
      </c>
      <c r="L471" s="139" t="str">
        <f t="shared" ref="L471:L478" si="565">IF(E471="M"," ",K471/F471/Workhrs)</f>
        <v xml:space="preserve"> </v>
      </c>
      <c r="M471" s="139">
        <f t="shared" ref="M471:M478" si="566">IF($E471="L",$J471,0)</f>
        <v>0</v>
      </c>
      <c r="N471" s="139">
        <f t="shared" ref="N471:N478" si="567">IF($E471="M",$J471,0)</f>
        <v>4650</v>
      </c>
      <c r="O471" s="139">
        <f t="shared" ref="O471:O478" si="568">IF($E471="P",$J471,0)</f>
        <v>0</v>
      </c>
      <c r="P471" s="139">
        <f t="shared" ref="P471:P478" si="569">IF($E471="S",$J471,0)</f>
        <v>0</v>
      </c>
      <c r="Q471" s="139">
        <f t="shared" ref="Q471:Q478" si="570">SUM(M471:P471)</f>
        <v>4650</v>
      </c>
      <c r="R471" s="156" t="s">
        <v>698</v>
      </c>
    </row>
    <row r="472" spans="1:22" x14ac:dyDescent="0.35">
      <c r="A472" s="27">
        <v>72.3</v>
      </c>
      <c r="B472" s="92">
        <v>29</v>
      </c>
      <c r="C472" s="19" t="s">
        <v>50</v>
      </c>
      <c r="D472" s="3" t="s">
        <v>26</v>
      </c>
      <c r="E472" s="27" t="str">
        <f>VLOOKUP(C472,Resources!B:D,3,FALSE)</f>
        <v>P</v>
      </c>
      <c r="F472" s="8">
        <v>1</v>
      </c>
      <c r="G472" s="97">
        <f>VLOOKUP($A472,'Model Inputs'!$A:$D,4,FALSE)</f>
        <v>2</v>
      </c>
      <c r="H472" s="22">
        <f>H469</f>
        <v>10</v>
      </c>
      <c r="I472" s="22">
        <f>VLOOKUP(C472,Resources!B:G,6,FALSE)</f>
        <v>135</v>
      </c>
      <c r="J472" s="139">
        <f t="shared" si="563"/>
        <v>675</v>
      </c>
      <c r="K472" s="139">
        <f t="shared" si="564"/>
        <v>5</v>
      </c>
      <c r="L472" s="139">
        <f t="shared" si="565"/>
        <v>0.55555555555555558</v>
      </c>
      <c r="M472" s="139">
        <f t="shared" si="566"/>
        <v>0</v>
      </c>
      <c r="N472" s="139">
        <f t="shared" si="567"/>
        <v>0</v>
      </c>
      <c r="O472" s="139">
        <f t="shared" si="568"/>
        <v>675</v>
      </c>
      <c r="P472" s="139">
        <f t="shared" si="569"/>
        <v>0</v>
      </c>
      <c r="Q472" s="139">
        <f t="shared" si="570"/>
        <v>675</v>
      </c>
      <c r="R472" s="156">
        <v>181</v>
      </c>
    </row>
    <row r="473" spans="1:22" x14ac:dyDescent="0.35">
      <c r="A473" s="27"/>
      <c r="B473" s="92">
        <v>30</v>
      </c>
      <c r="C473" s="19" t="s">
        <v>8</v>
      </c>
      <c r="D473" s="3" t="s">
        <v>26</v>
      </c>
      <c r="E473" s="27" t="str">
        <f>VLOOKUP(C473,Resources!B:D,3,FALSE)</f>
        <v>L</v>
      </c>
      <c r="F473" s="8">
        <v>3</v>
      </c>
      <c r="G473" s="22">
        <f>G472</f>
        <v>2</v>
      </c>
      <c r="H473" s="22">
        <f>H469</f>
        <v>10</v>
      </c>
      <c r="I473" s="22">
        <f>VLOOKUP(C473,Resources!B:G,6,FALSE)</f>
        <v>42</v>
      </c>
      <c r="J473" s="139">
        <f t="shared" si="563"/>
        <v>630</v>
      </c>
      <c r="K473" s="139">
        <f t="shared" si="564"/>
        <v>15</v>
      </c>
      <c r="L473" s="139">
        <f t="shared" si="565"/>
        <v>0.55555555555555558</v>
      </c>
      <c r="M473" s="139">
        <f t="shared" si="566"/>
        <v>630</v>
      </c>
      <c r="N473" s="139">
        <f t="shared" si="567"/>
        <v>0</v>
      </c>
      <c r="O473" s="139">
        <f t="shared" si="568"/>
        <v>0</v>
      </c>
      <c r="P473" s="139">
        <f t="shared" si="569"/>
        <v>0</v>
      </c>
      <c r="Q473" s="139">
        <f t="shared" si="570"/>
        <v>630</v>
      </c>
      <c r="R473" s="156">
        <v>181</v>
      </c>
    </row>
    <row r="474" spans="1:22" x14ac:dyDescent="0.35">
      <c r="A474" s="27"/>
      <c r="B474" s="92">
        <v>31</v>
      </c>
      <c r="C474" s="19" t="s">
        <v>194</v>
      </c>
      <c r="D474" s="3" t="s">
        <v>45</v>
      </c>
      <c r="E474" s="27" t="str">
        <f>VLOOKUP(C474,Resources!B:D,3,FALSE)</f>
        <v>M</v>
      </c>
      <c r="F474" s="8">
        <v>1</v>
      </c>
      <c r="G474" s="22">
        <v>1</v>
      </c>
      <c r="H474" s="22">
        <f>H469*3.5</f>
        <v>35</v>
      </c>
      <c r="I474" s="22">
        <f>VLOOKUP(C474,Resources!B:G,6,FALSE)</f>
        <v>5</v>
      </c>
      <c r="J474" s="139">
        <f t="shared" si="563"/>
        <v>175</v>
      </c>
      <c r="K474" s="139">
        <f t="shared" si="564"/>
        <v>35</v>
      </c>
      <c r="L474" s="139" t="str">
        <f t="shared" si="565"/>
        <v xml:space="preserve"> </v>
      </c>
      <c r="M474" s="139">
        <f t="shared" si="566"/>
        <v>0</v>
      </c>
      <c r="N474" s="139">
        <f t="shared" si="567"/>
        <v>175</v>
      </c>
      <c r="O474" s="139">
        <f t="shared" si="568"/>
        <v>0</v>
      </c>
      <c r="P474" s="139">
        <f t="shared" si="569"/>
        <v>0</v>
      </c>
      <c r="Q474" s="139">
        <f t="shared" si="570"/>
        <v>175</v>
      </c>
      <c r="R474" s="156">
        <v>181</v>
      </c>
    </row>
    <row r="475" spans="1:22" x14ac:dyDescent="0.35">
      <c r="A475" s="27">
        <v>72.400000000000006</v>
      </c>
      <c r="B475" s="92">
        <v>32</v>
      </c>
      <c r="C475" s="19" t="s">
        <v>47</v>
      </c>
      <c r="D475" s="3" t="s">
        <v>26</v>
      </c>
      <c r="E475" s="27" t="str">
        <f>VLOOKUP(C475,Resources!B:D,3,FALSE)</f>
        <v>P</v>
      </c>
      <c r="F475" s="8">
        <v>1</v>
      </c>
      <c r="G475" s="97">
        <f>VLOOKUP($A475,'Model Inputs'!$A:$D,4,FALSE)</f>
        <v>3</v>
      </c>
      <c r="H475" s="22">
        <f>H470</f>
        <v>24</v>
      </c>
      <c r="I475" s="22">
        <f>VLOOKUP(C475,Resources!B:G,6,FALSE)</f>
        <v>95</v>
      </c>
      <c r="J475" s="139">
        <f t="shared" si="563"/>
        <v>760</v>
      </c>
      <c r="K475" s="139">
        <f t="shared" si="564"/>
        <v>8</v>
      </c>
      <c r="L475" s="139">
        <f t="shared" si="565"/>
        <v>0.88888888888888884</v>
      </c>
      <c r="M475" s="139">
        <f t="shared" si="566"/>
        <v>0</v>
      </c>
      <c r="N475" s="139">
        <f t="shared" si="567"/>
        <v>0</v>
      </c>
      <c r="O475" s="139">
        <f t="shared" si="568"/>
        <v>760</v>
      </c>
      <c r="P475" s="139">
        <f t="shared" si="569"/>
        <v>0</v>
      </c>
      <c r="Q475" s="139">
        <f t="shared" si="570"/>
        <v>760</v>
      </c>
      <c r="R475" s="156">
        <v>181</v>
      </c>
    </row>
    <row r="476" spans="1:22" x14ac:dyDescent="0.35">
      <c r="A476" s="27"/>
      <c r="B476" s="92">
        <v>33</v>
      </c>
      <c r="C476" s="19" t="s">
        <v>8</v>
      </c>
      <c r="D476" s="3" t="s">
        <v>26</v>
      </c>
      <c r="E476" s="27" t="str">
        <f>VLOOKUP(C476,Resources!B:D,3,FALSE)</f>
        <v>L</v>
      </c>
      <c r="F476" s="8">
        <v>3</v>
      </c>
      <c r="G476" s="22">
        <f>G475</f>
        <v>3</v>
      </c>
      <c r="H476" s="22">
        <f>H470</f>
        <v>24</v>
      </c>
      <c r="I476" s="22">
        <f>VLOOKUP(C476,Resources!B:G,6,FALSE)</f>
        <v>42</v>
      </c>
      <c r="J476" s="139">
        <f t="shared" si="563"/>
        <v>1008</v>
      </c>
      <c r="K476" s="139">
        <f t="shared" si="564"/>
        <v>24</v>
      </c>
      <c r="L476" s="139">
        <f t="shared" si="565"/>
        <v>0.88888888888888884</v>
      </c>
      <c r="M476" s="139">
        <f t="shared" si="566"/>
        <v>1008</v>
      </c>
      <c r="N476" s="139">
        <f t="shared" si="567"/>
        <v>0</v>
      </c>
      <c r="O476" s="139">
        <f t="shared" si="568"/>
        <v>0</v>
      </c>
      <c r="P476" s="139">
        <f t="shared" si="569"/>
        <v>0</v>
      </c>
      <c r="Q476" s="139">
        <f t="shared" si="570"/>
        <v>1008</v>
      </c>
      <c r="R476" s="156">
        <v>181</v>
      </c>
    </row>
    <row r="477" spans="1:22" x14ac:dyDescent="0.35">
      <c r="A477" s="27"/>
      <c r="B477" s="92">
        <v>34</v>
      </c>
      <c r="C477" s="19" t="s">
        <v>83</v>
      </c>
      <c r="D477" s="3" t="s">
        <v>26</v>
      </c>
      <c r="E477" s="27" t="str">
        <f>VLOOKUP(C477,Resources!B:D,3,FALSE)</f>
        <v>P</v>
      </c>
      <c r="F477" s="8">
        <v>1</v>
      </c>
      <c r="G477" s="22">
        <f>G475</f>
        <v>3</v>
      </c>
      <c r="H477" s="22">
        <f>H470</f>
        <v>24</v>
      </c>
      <c r="I477" s="22">
        <f>VLOOKUP(C477,Resources!B:G,6,FALSE)</f>
        <v>3.5</v>
      </c>
      <c r="J477" s="139">
        <f t="shared" si="563"/>
        <v>28</v>
      </c>
      <c r="K477" s="139">
        <f t="shared" si="564"/>
        <v>8</v>
      </c>
      <c r="L477" s="139">
        <f t="shared" si="565"/>
        <v>0.88888888888888884</v>
      </c>
      <c r="M477" s="139">
        <f t="shared" si="566"/>
        <v>0</v>
      </c>
      <c r="N477" s="139">
        <f t="shared" si="567"/>
        <v>0</v>
      </c>
      <c r="O477" s="139">
        <f t="shared" si="568"/>
        <v>28</v>
      </c>
      <c r="P477" s="139">
        <f t="shared" si="569"/>
        <v>0</v>
      </c>
      <c r="Q477" s="139">
        <f t="shared" si="570"/>
        <v>28</v>
      </c>
      <c r="R477" s="156">
        <v>181</v>
      </c>
    </row>
    <row r="478" spans="1:22" x14ac:dyDescent="0.35">
      <c r="A478" s="27"/>
      <c r="B478" s="92">
        <v>35</v>
      </c>
      <c r="C478" s="19" t="s">
        <v>52</v>
      </c>
      <c r="D478" s="3" t="s">
        <v>26</v>
      </c>
      <c r="E478" s="27" t="str">
        <f>VLOOKUP(C478,Resources!B:D,3,FALSE)</f>
        <v>P</v>
      </c>
      <c r="F478" s="8">
        <v>1</v>
      </c>
      <c r="G478" s="22">
        <f>G475</f>
        <v>3</v>
      </c>
      <c r="H478" s="22">
        <f>H470</f>
        <v>24</v>
      </c>
      <c r="I478" s="22">
        <f>VLOOKUP(C478,Resources!B:G,6,FALSE)</f>
        <v>100</v>
      </c>
      <c r="J478" s="139">
        <f t="shared" si="563"/>
        <v>800</v>
      </c>
      <c r="K478" s="139">
        <f t="shared" si="564"/>
        <v>8</v>
      </c>
      <c r="L478" s="139">
        <f t="shared" si="565"/>
        <v>0.88888888888888884</v>
      </c>
      <c r="M478" s="139">
        <f t="shared" si="566"/>
        <v>0</v>
      </c>
      <c r="N478" s="139">
        <f t="shared" si="567"/>
        <v>0</v>
      </c>
      <c r="O478" s="139">
        <f t="shared" si="568"/>
        <v>800</v>
      </c>
      <c r="P478" s="139">
        <f t="shared" si="569"/>
        <v>0</v>
      </c>
      <c r="Q478" s="139">
        <f t="shared" si="570"/>
        <v>800</v>
      </c>
      <c r="R478" s="156">
        <v>181</v>
      </c>
    </row>
    <row r="479" spans="1:22" x14ac:dyDescent="0.35">
      <c r="B479" s="95">
        <v>36</v>
      </c>
      <c r="C479" s="6" t="s">
        <v>402</v>
      </c>
      <c r="F479" s="9"/>
      <c r="G479" s="9"/>
      <c r="H479" s="9"/>
      <c r="I479" s="9"/>
    </row>
    <row r="480" spans="1:22" s="90" customFormat="1" x14ac:dyDescent="0.35">
      <c r="A480" s="26">
        <v>73</v>
      </c>
      <c r="B480" s="94">
        <v>37</v>
      </c>
      <c r="C480" s="14" t="s">
        <v>182</v>
      </c>
      <c r="D480" s="15"/>
      <c r="E480" s="24"/>
      <c r="F480" s="21"/>
      <c r="G480" s="21"/>
      <c r="H480" s="21"/>
      <c r="I480" s="21"/>
      <c r="J480" s="138">
        <f>SUBTOTAL(9,J483:J490)</f>
        <v>6526.5</v>
      </c>
      <c r="K480" s="138"/>
      <c r="L480" s="138">
        <f>ROUNDUP(MAX(L484:L490),0)</f>
        <v>1</v>
      </c>
      <c r="M480" s="138">
        <f t="shared" ref="M480:Q480" si="571">SUBTOTAL(9,M483:M490)</f>
        <v>1134</v>
      </c>
      <c r="N480" s="138">
        <f t="shared" si="571"/>
        <v>3860</v>
      </c>
      <c r="O480" s="138">
        <f t="shared" si="571"/>
        <v>1532.5</v>
      </c>
      <c r="P480" s="138">
        <f t="shared" si="571"/>
        <v>0</v>
      </c>
      <c r="Q480" s="138">
        <f t="shared" si="571"/>
        <v>6526.5</v>
      </c>
      <c r="R480" s="155"/>
      <c r="T480" s="247"/>
      <c r="U480"/>
      <c r="V480" s="277"/>
    </row>
    <row r="481" spans="1:22" x14ac:dyDescent="0.35">
      <c r="A481" s="27">
        <v>73.099999999999994</v>
      </c>
      <c r="B481" s="92">
        <v>38</v>
      </c>
      <c r="C481" s="5" t="s">
        <v>703</v>
      </c>
      <c r="D481" s="16" t="s">
        <v>707</v>
      </c>
      <c r="E481" s="27"/>
      <c r="F481" s="8"/>
      <c r="G481" s="8"/>
      <c r="H481" s="97">
        <f>VLOOKUP($A481,'Model Inputs'!$A:$D,4,FALSE)</f>
        <v>8</v>
      </c>
      <c r="I481" s="8"/>
      <c r="J481" s="139"/>
      <c r="K481" s="139"/>
      <c r="L481" s="139"/>
      <c r="M481" s="139"/>
      <c r="N481" s="139"/>
      <c r="O481" s="139"/>
      <c r="P481" s="139"/>
      <c r="Q481" s="139"/>
      <c r="R481" s="156"/>
    </row>
    <row r="482" spans="1:22" x14ac:dyDescent="0.35">
      <c r="A482" s="27">
        <v>73.2</v>
      </c>
      <c r="B482" s="92">
        <v>39</v>
      </c>
      <c r="C482" s="5" t="s">
        <v>702</v>
      </c>
      <c r="D482" s="16" t="s">
        <v>690</v>
      </c>
      <c r="E482" s="27"/>
      <c r="F482" s="8"/>
      <c r="G482" s="8"/>
      <c r="H482" s="97">
        <f>VLOOKUP($A482,'Model Inputs'!$A:$D,4,FALSE)</f>
        <v>15</v>
      </c>
      <c r="I482" s="8"/>
      <c r="J482" s="139"/>
      <c r="K482" s="139"/>
      <c r="L482" s="139"/>
      <c r="M482" s="139"/>
      <c r="N482" s="139"/>
      <c r="O482" s="139"/>
      <c r="P482" s="139"/>
      <c r="Q482" s="139"/>
      <c r="R482" s="156"/>
    </row>
    <row r="483" spans="1:22" x14ac:dyDescent="0.35">
      <c r="A483" s="27"/>
      <c r="B483" s="92">
        <v>40</v>
      </c>
      <c r="C483" s="19" t="s">
        <v>193</v>
      </c>
      <c r="D483" s="3" t="s">
        <v>45</v>
      </c>
      <c r="E483" s="27" t="str">
        <f>VLOOKUP(C483,Resources!B:D,3,FALSE)</f>
        <v>M</v>
      </c>
      <c r="F483" s="8">
        <v>1</v>
      </c>
      <c r="G483" s="22">
        <v>1</v>
      </c>
      <c r="H483" s="22">
        <f>H481*1.2</f>
        <v>9.6</v>
      </c>
      <c r="I483" s="22">
        <f>VLOOKUP(C483,Resources!B:G,6,FALSE)</f>
        <v>387.5</v>
      </c>
      <c r="J483" s="139">
        <f t="shared" ref="J483:J490" si="572">(H483/(G483/F483))*I483</f>
        <v>3720</v>
      </c>
      <c r="K483" s="139">
        <f t="shared" ref="K483:K490" si="573">IF(E483="M",H483,(H483/(G483)*F483))</f>
        <v>9.6</v>
      </c>
      <c r="L483" s="139" t="str">
        <f t="shared" ref="L483:L490" si="574">IF(E483="M"," ",K483/F483/Workhrs)</f>
        <v xml:space="preserve"> </v>
      </c>
      <c r="M483" s="139">
        <f t="shared" ref="M483:M490" si="575">IF($E483="L",$J483,0)</f>
        <v>0</v>
      </c>
      <c r="N483" s="139">
        <f t="shared" ref="N483:N490" si="576">IF($E483="M",$J483,0)</f>
        <v>3720</v>
      </c>
      <c r="O483" s="139">
        <f t="shared" ref="O483:O490" si="577">IF($E483="P",$J483,0)</f>
        <v>0</v>
      </c>
      <c r="P483" s="139">
        <f t="shared" ref="P483:P490" si="578">IF($E483="S",$J483,0)</f>
        <v>0</v>
      </c>
      <c r="Q483" s="139">
        <f t="shared" ref="Q483:Q490" si="579">SUM(M483:P483)</f>
        <v>3720</v>
      </c>
      <c r="R483" s="156" t="s">
        <v>698</v>
      </c>
    </row>
    <row r="484" spans="1:22" x14ac:dyDescent="0.35">
      <c r="A484" s="27">
        <v>73.3</v>
      </c>
      <c r="B484" s="92">
        <v>41</v>
      </c>
      <c r="C484" s="19" t="s">
        <v>50</v>
      </c>
      <c r="D484" s="3" t="s">
        <v>26</v>
      </c>
      <c r="E484" s="27" t="str">
        <f>VLOOKUP(C484,Resources!B:D,3,FALSE)</f>
        <v>P</v>
      </c>
      <c r="F484" s="8">
        <v>1</v>
      </c>
      <c r="G484" s="97">
        <f>VLOOKUP($A484,'Model Inputs'!$A:$D,4,FALSE)</f>
        <v>2</v>
      </c>
      <c r="H484" s="22">
        <f>H481</f>
        <v>8</v>
      </c>
      <c r="I484" s="22">
        <f>VLOOKUP(C484,Resources!B:G,6,FALSE)</f>
        <v>135</v>
      </c>
      <c r="J484" s="139">
        <f t="shared" si="572"/>
        <v>540</v>
      </c>
      <c r="K484" s="139">
        <f t="shared" si="573"/>
        <v>4</v>
      </c>
      <c r="L484" s="139">
        <f t="shared" si="574"/>
        <v>0.44444444444444442</v>
      </c>
      <c r="M484" s="139">
        <f t="shared" si="575"/>
        <v>0</v>
      </c>
      <c r="N484" s="139">
        <f t="shared" si="576"/>
        <v>0</v>
      </c>
      <c r="O484" s="139">
        <f t="shared" si="577"/>
        <v>540</v>
      </c>
      <c r="P484" s="139">
        <f t="shared" si="578"/>
        <v>0</v>
      </c>
      <c r="Q484" s="139">
        <f t="shared" si="579"/>
        <v>540</v>
      </c>
      <c r="R484" s="156">
        <v>181</v>
      </c>
    </row>
    <row r="485" spans="1:22" x14ac:dyDescent="0.35">
      <c r="A485" s="27"/>
      <c r="B485" s="92">
        <v>42</v>
      </c>
      <c r="C485" s="19" t="s">
        <v>8</v>
      </c>
      <c r="D485" s="3" t="s">
        <v>26</v>
      </c>
      <c r="E485" s="27" t="str">
        <f>VLOOKUP(C485,Resources!B:D,3,FALSE)</f>
        <v>L</v>
      </c>
      <c r="F485" s="8">
        <v>3</v>
      </c>
      <c r="G485" s="22">
        <f>G484</f>
        <v>2</v>
      </c>
      <c r="H485" s="22">
        <f>H481</f>
        <v>8</v>
      </c>
      <c r="I485" s="22">
        <f>VLOOKUP(C485,Resources!B:G,6,FALSE)</f>
        <v>42</v>
      </c>
      <c r="J485" s="139">
        <f t="shared" si="572"/>
        <v>504</v>
      </c>
      <c r="K485" s="139">
        <f t="shared" si="573"/>
        <v>12</v>
      </c>
      <c r="L485" s="139">
        <f t="shared" si="574"/>
        <v>0.44444444444444442</v>
      </c>
      <c r="M485" s="139">
        <f t="shared" si="575"/>
        <v>504</v>
      </c>
      <c r="N485" s="139">
        <f t="shared" si="576"/>
        <v>0</v>
      </c>
      <c r="O485" s="139">
        <f t="shared" si="577"/>
        <v>0</v>
      </c>
      <c r="P485" s="139">
        <f t="shared" si="578"/>
        <v>0</v>
      </c>
      <c r="Q485" s="139">
        <f t="shared" si="579"/>
        <v>504</v>
      </c>
      <c r="R485" s="156">
        <v>181</v>
      </c>
    </row>
    <row r="486" spans="1:22" x14ac:dyDescent="0.35">
      <c r="A486" s="27"/>
      <c r="B486" s="92">
        <v>43</v>
      </c>
      <c r="C486" s="19" t="s">
        <v>194</v>
      </c>
      <c r="D486" s="3" t="s">
        <v>45</v>
      </c>
      <c r="E486" s="27" t="str">
        <f>VLOOKUP(C486,Resources!B:D,3,FALSE)</f>
        <v>M</v>
      </c>
      <c r="F486" s="8">
        <v>1</v>
      </c>
      <c r="G486" s="22">
        <v>1</v>
      </c>
      <c r="H486" s="22">
        <f>H481*3.5</f>
        <v>28</v>
      </c>
      <c r="I486" s="22">
        <f>VLOOKUP(C486,Resources!B:G,6,FALSE)</f>
        <v>5</v>
      </c>
      <c r="J486" s="139">
        <f t="shared" si="572"/>
        <v>140</v>
      </c>
      <c r="K486" s="139">
        <f t="shared" si="573"/>
        <v>28</v>
      </c>
      <c r="L486" s="139" t="str">
        <f t="shared" si="574"/>
        <v xml:space="preserve"> </v>
      </c>
      <c r="M486" s="139">
        <f t="shared" si="575"/>
        <v>0</v>
      </c>
      <c r="N486" s="139">
        <f t="shared" si="576"/>
        <v>140</v>
      </c>
      <c r="O486" s="139">
        <f t="shared" si="577"/>
        <v>0</v>
      </c>
      <c r="P486" s="139">
        <f t="shared" si="578"/>
        <v>0</v>
      </c>
      <c r="Q486" s="139">
        <f t="shared" si="579"/>
        <v>140</v>
      </c>
      <c r="R486" s="156">
        <v>181</v>
      </c>
    </row>
    <row r="487" spans="1:22" x14ac:dyDescent="0.35">
      <c r="A487" s="27">
        <v>73.400000000000006</v>
      </c>
      <c r="B487" s="92">
        <v>44</v>
      </c>
      <c r="C487" s="19" t="s">
        <v>47</v>
      </c>
      <c r="D487" s="3" t="s">
        <v>26</v>
      </c>
      <c r="E487" s="27" t="str">
        <f>VLOOKUP(C487,Resources!B:D,3,FALSE)</f>
        <v>P</v>
      </c>
      <c r="F487" s="8">
        <v>1</v>
      </c>
      <c r="G487" s="97">
        <f>VLOOKUP($A487,'Model Inputs'!$A:$D,4,FALSE)</f>
        <v>3</v>
      </c>
      <c r="H487" s="22">
        <f>H482</f>
        <v>15</v>
      </c>
      <c r="I487" s="22">
        <f>VLOOKUP(C487,Resources!B:G,6,FALSE)</f>
        <v>95</v>
      </c>
      <c r="J487" s="139">
        <f t="shared" si="572"/>
        <v>475</v>
      </c>
      <c r="K487" s="139">
        <f t="shared" si="573"/>
        <v>5</v>
      </c>
      <c r="L487" s="139">
        <f t="shared" si="574"/>
        <v>0.55555555555555558</v>
      </c>
      <c r="M487" s="139">
        <f t="shared" si="575"/>
        <v>0</v>
      </c>
      <c r="N487" s="139">
        <f t="shared" si="576"/>
        <v>0</v>
      </c>
      <c r="O487" s="139">
        <f t="shared" si="577"/>
        <v>475</v>
      </c>
      <c r="P487" s="139">
        <f t="shared" si="578"/>
        <v>0</v>
      </c>
      <c r="Q487" s="139">
        <f t="shared" si="579"/>
        <v>475</v>
      </c>
      <c r="R487" s="156">
        <v>181</v>
      </c>
    </row>
    <row r="488" spans="1:22" x14ac:dyDescent="0.35">
      <c r="A488" s="27"/>
      <c r="B488" s="92">
        <v>45</v>
      </c>
      <c r="C488" s="19" t="s">
        <v>8</v>
      </c>
      <c r="D488" s="3" t="s">
        <v>26</v>
      </c>
      <c r="E488" s="27" t="str">
        <f>VLOOKUP(C488,Resources!B:D,3,FALSE)</f>
        <v>L</v>
      </c>
      <c r="F488" s="8">
        <v>3</v>
      </c>
      <c r="G488" s="22">
        <f>G487</f>
        <v>3</v>
      </c>
      <c r="H488" s="22">
        <f>H482</f>
        <v>15</v>
      </c>
      <c r="I488" s="22">
        <f>VLOOKUP(C488,Resources!B:G,6,FALSE)</f>
        <v>42</v>
      </c>
      <c r="J488" s="139">
        <f t="shared" si="572"/>
        <v>630</v>
      </c>
      <c r="K488" s="139">
        <f t="shared" si="573"/>
        <v>15</v>
      </c>
      <c r="L488" s="139">
        <f t="shared" si="574"/>
        <v>0.55555555555555558</v>
      </c>
      <c r="M488" s="139">
        <f t="shared" si="575"/>
        <v>630</v>
      </c>
      <c r="N488" s="139">
        <f t="shared" si="576"/>
        <v>0</v>
      </c>
      <c r="O488" s="139">
        <f t="shared" si="577"/>
        <v>0</v>
      </c>
      <c r="P488" s="139">
        <f t="shared" si="578"/>
        <v>0</v>
      </c>
      <c r="Q488" s="139">
        <f t="shared" si="579"/>
        <v>630</v>
      </c>
      <c r="R488" s="156">
        <v>181</v>
      </c>
    </row>
    <row r="489" spans="1:22" x14ac:dyDescent="0.35">
      <c r="A489" s="27"/>
      <c r="B489" s="92">
        <v>46</v>
      </c>
      <c r="C489" s="19" t="s">
        <v>83</v>
      </c>
      <c r="D489" s="3" t="s">
        <v>26</v>
      </c>
      <c r="E489" s="27" t="str">
        <f>VLOOKUP(C489,Resources!B:D,3,FALSE)</f>
        <v>P</v>
      </c>
      <c r="F489" s="8">
        <v>1</v>
      </c>
      <c r="G489" s="22">
        <f>G487</f>
        <v>3</v>
      </c>
      <c r="H489" s="22">
        <f>H482</f>
        <v>15</v>
      </c>
      <c r="I489" s="22">
        <f>VLOOKUP(C489,Resources!B:G,6,FALSE)</f>
        <v>3.5</v>
      </c>
      <c r="J489" s="139">
        <f t="shared" si="572"/>
        <v>17.5</v>
      </c>
      <c r="K489" s="139">
        <f t="shared" si="573"/>
        <v>5</v>
      </c>
      <c r="L489" s="139">
        <f t="shared" si="574"/>
        <v>0.55555555555555558</v>
      </c>
      <c r="M489" s="139">
        <f t="shared" si="575"/>
        <v>0</v>
      </c>
      <c r="N489" s="139">
        <f t="shared" si="576"/>
        <v>0</v>
      </c>
      <c r="O489" s="139">
        <f t="shared" si="577"/>
        <v>17.5</v>
      </c>
      <c r="P489" s="139">
        <f t="shared" si="578"/>
        <v>0</v>
      </c>
      <c r="Q489" s="139">
        <f t="shared" si="579"/>
        <v>17.5</v>
      </c>
      <c r="R489" s="156">
        <v>181</v>
      </c>
    </row>
    <row r="490" spans="1:22" x14ac:dyDescent="0.35">
      <c r="A490" s="27"/>
      <c r="B490" s="92">
        <v>47</v>
      </c>
      <c r="C490" s="19" t="s">
        <v>52</v>
      </c>
      <c r="D490" s="3" t="s">
        <v>26</v>
      </c>
      <c r="E490" s="27" t="str">
        <f>VLOOKUP(C490,Resources!B:D,3,FALSE)</f>
        <v>P</v>
      </c>
      <c r="F490" s="8">
        <v>1</v>
      </c>
      <c r="G490" s="22">
        <f>G487</f>
        <v>3</v>
      </c>
      <c r="H490" s="22">
        <f>H482</f>
        <v>15</v>
      </c>
      <c r="I490" s="22">
        <f>VLOOKUP(C490,Resources!B:G,6,FALSE)</f>
        <v>100</v>
      </c>
      <c r="J490" s="139">
        <f t="shared" si="572"/>
        <v>500</v>
      </c>
      <c r="K490" s="139">
        <f t="shared" si="573"/>
        <v>5</v>
      </c>
      <c r="L490" s="139">
        <f t="shared" si="574"/>
        <v>0.55555555555555558</v>
      </c>
      <c r="M490" s="139">
        <f t="shared" si="575"/>
        <v>0</v>
      </c>
      <c r="N490" s="139">
        <f t="shared" si="576"/>
        <v>0</v>
      </c>
      <c r="O490" s="139">
        <f t="shared" si="577"/>
        <v>500</v>
      </c>
      <c r="P490" s="139">
        <f t="shared" si="578"/>
        <v>0</v>
      </c>
      <c r="Q490" s="139">
        <f t="shared" si="579"/>
        <v>500</v>
      </c>
      <c r="R490" s="156">
        <v>181</v>
      </c>
    </row>
    <row r="491" spans="1:22" x14ac:dyDescent="0.35">
      <c r="B491" s="95">
        <v>48</v>
      </c>
      <c r="C491" s="6" t="s">
        <v>402</v>
      </c>
      <c r="F491" s="9"/>
      <c r="G491" s="9"/>
      <c r="H491" s="9"/>
      <c r="I491" s="9"/>
    </row>
    <row r="492" spans="1:22" s="90" customFormat="1" x14ac:dyDescent="0.35">
      <c r="A492" s="26">
        <v>74</v>
      </c>
      <c r="B492" s="94">
        <v>49</v>
      </c>
      <c r="C492" s="14" t="s">
        <v>183</v>
      </c>
      <c r="D492" s="15"/>
      <c r="E492" s="24"/>
      <c r="F492" s="21"/>
      <c r="G492" s="21"/>
      <c r="H492" s="21"/>
      <c r="I492" s="21"/>
      <c r="J492" s="138">
        <f>SUBTOTAL(9,J495:J502)</f>
        <v>6526.5</v>
      </c>
      <c r="K492" s="138"/>
      <c r="L492" s="138">
        <f>ROUNDUP(MAX(L496:L502),0)</f>
        <v>1</v>
      </c>
      <c r="M492" s="138">
        <f t="shared" ref="M492:Q492" si="580">SUBTOTAL(9,M495:M502)</f>
        <v>1134</v>
      </c>
      <c r="N492" s="138">
        <f t="shared" si="580"/>
        <v>3860</v>
      </c>
      <c r="O492" s="138">
        <f t="shared" si="580"/>
        <v>1532.5</v>
      </c>
      <c r="P492" s="138">
        <f t="shared" si="580"/>
        <v>0</v>
      </c>
      <c r="Q492" s="138">
        <f t="shared" si="580"/>
        <v>6526.5</v>
      </c>
      <c r="R492" s="155"/>
      <c r="T492" s="247"/>
      <c r="U492"/>
      <c r="V492" s="277"/>
    </row>
    <row r="493" spans="1:22" x14ac:dyDescent="0.35">
      <c r="A493" s="27">
        <v>74.099999999999994</v>
      </c>
      <c r="B493" s="92">
        <v>50</v>
      </c>
      <c r="C493" s="5" t="s">
        <v>703</v>
      </c>
      <c r="D493" s="16" t="s">
        <v>707</v>
      </c>
      <c r="E493" s="27"/>
      <c r="F493" s="8"/>
      <c r="G493" s="8"/>
      <c r="H493" s="97">
        <f>VLOOKUP($A493,'Model Inputs'!$A:$D,4,FALSE)</f>
        <v>8</v>
      </c>
      <c r="I493" s="8"/>
      <c r="J493" s="139"/>
      <c r="K493" s="139"/>
      <c r="L493" s="139"/>
      <c r="M493" s="139"/>
      <c r="N493" s="139"/>
      <c r="O493" s="139"/>
      <c r="P493" s="139"/>
      <c r="Q493" s="139"/>
      <c r="R493" s="156"/>
    </row>
    <row r="494" spans="1:22" x14ac:dyDescent="0.35">
      <c r="A494" s="27">
        <v>74.2</v>
      </c>
      <c r="B494" s="92">
        <v>51</v>
      </c>
      <c r="C494" s="5" t="s">
        <v>702</v>
      </c>
      <c r="D494" s="16" t="s">
        <v>690</v>
      </c>
      <c r="E494" s="27"/>
      <c r="F494" s="8"/>
      <c r="G494" s="8"/>
      <c r="H494" s="97">
        <f>VLOOKUP($A494,'Model Inputs'!$A:$D,4,FALSE)</f>
        <v>15</v>
      </c>
      <c r="I494" s="8"/>
      <c r="J494" s="139"/>
      <c r="K494" s="139"/>
      <c r="L494" s="139"/>
      <c r="M494" s="139"/>
      <c r="N494" s="139"/>
      <c r="O494" s="139"/>
      <c r="P494" s="139"/>
      <c r="Q494" s="139"/>
      <c r="R494" s="156"/>
    </row>
    <row r="495" spans="1:22" x14ac:dyDescent="0.35">
      <c r="A495" s="27"/>
      <c r="B495" s="92">
        <v>52</v>
      </c>
      <c r="C495" s="19" t="s">
        <v>193</v>
      </c>
      <c r="D495" s="3" t="s">
        <v>45</v>
      </c>
      <c r="E495" s="27" t="str">
        <f>VLOOKUP(C495,Resources!B:D,3,FALSE)</f>
        <v>M</v>
      </c>
      <c r="F495" s="8">
        <v>1</v>
      </c>
      <c r="G495" s="22">
        <v>1</v>
      </c>
      <c r="H495" s="22">
        <f>H493*1.2</f>
        <v>9.6</v>
      </c>
      <c r="I495" s="22">
        <f>VLOOKUP(C495,Resources!B:G,6,FALSE)</f>
        <v>387.5</v>
      </c>
      <c r="J495" s="139">
        <f t="shared" ref="J495:J502" si="581">(H495/(G495/F495))*I495</f>
        <v>3720</v>
      </c>
      <c r="K495" s="139">
        <f t="shared" ref="K495:K502" si="582">IF(E495="M",H495,(H495/(G495)*F495))</f>
        <v>9.6</v>
      </c>
      <c r="L495" s="139" t="str">
        <f t="shared" ref="L495:L502" si="583">IF(E495="M"," ",K495/F495/Workhrs)</f>
        <v xml:space="preserve"> </v>
      </c>
      <c r="M495" s="139">
        <f t="shared" ref="M495:M502" si="584">IF($E495="L",$J495,0)</f>
        <v>0</v>
      </c>
      <c r="N495" s="139">
        <f t="shared" ref="N495:N502" si="585">IF($E495="M",$J495,0)</f>
        <v>3720</v>
      </c>
      <c r="O495" s="139">
        <f t="shared" ref="O495:O502" si="586">IF($E495="P",$J495,0)</f>
        <v>0</v>
      </c>
      <c r="P495" s="139">
        <f t="shared" ref="P495:P502" si="587">IF($E495="S",$J495,0)</f>
        <v>0</v>
      </c>
      <c r="Q495" s="139">
        <f t="shared" ref="Q495:Q502" si="588">SUM(M495:P495)</f>
        <v>3720</v>
      </c>
      <c r="R495" s="156" t="s">
        <v>698</v>
      </c>
    </row>
    <row r="496" spans="1:22" x14ac:dyDescent="0.35">
      <c r="A496" s="27">
        <v>74.3</v>
      </c>
      <c r="B496" s="92">
        <v>53</v>
      </c>
      <c r="C496" s="19" t="s">
        <v>50</v>
      </c>
      <c r="D496" s="3" t="s">
        <v>26</v>
      </c>
      <c r="E496" s="27" t="str">
        <f>VLOOKUP(C496,Resources!B:D,3,FALSE)</f>
        <v>P</v>
      </c>
      <c r="F496" s="8">
        <v>1</v>
      </c>
      <c r="G496" s="97">
        <f>VLOOKUP($A496,'Model Inputs'!$A:$D,4,FALSE)</f>
        <v>2</v>
      </c>
      <c r="H496" s="22">
        <f>H493</f>
        <v>8</v>
      </c>
      <c r="I496" s="22">
        <f>VLOOKUP(C496,Resources!B:G,6,FALSE)</f>
        <v>135</v>
      </c>
      <c r="J496" s="139">
        <f t="shared" si="581"/>
        <v>540</v>
      </c>
      <c r="K496" s="139">
        <f t="shared" si="582"/>
        <v>4</v>
      </c>
      <c r="L496" s="139">
        <f t="shared" si="583"/>
        <v>0.44444444444444442</v>
      </c>
      <c r="M496" s="139">
        <f t="shared" si="584"/>
        <v>0</v>
      </c>
      <c r="N496" s="139">
        <f t="shared" si="585"/>
        <v>0</v>
      </c>
      <c r="O496" s="139">
        <f t="shared" si="586"/>
        <v>540</v>
      </c>
      <c r="P496" s="139">
        <f t="shared" si="587"/>
        <v>0</v>
      </c>
      <c r="Q496" s="139">
        <f t="shared" si="588"/>
        <v>540</v>
      </c>
      <c r="R496" s="156">
        <v>181</v>
      </c>
    </row>
    <row r="497" spans="1:22" x14ac:dyDescent="0.35">
      <c r="A497" s="27"/>
      <c r="B497" s="92">
        <v>54</v>
      </c>
      <c r="C497" s="19" t="s">
        <v>8</v>
      </c>
      <c r="D497" s="3" t="s">
        <v>26</v>
      </c>
      <c r="E497" s="27" t="str">
        <f>VLOOKUP(C497,Resources!B:D,3,FALSE)</f>
        <v>L</v>
      </c>
      <c r="F497" s="8">
        <v>3</v>
      </c>
      <c r="G497" s="22">
        <f>G496</f>
        <v>2</v>
      </c>
      <c r="H497" s="22">
        <f>H493</f>
        <v>8</v>
      </c>
      <c r="I497" s="22">
        <f>VLOOKUP(C497,Resources!B:G,6,FALSE)</f>
        <v>42</v>
      </c>
      <c r="J497" s="139">
        <f t="shared" si="581"/>
        <v>504</v>
      </c>
      <c r="K497" s="139">
        <f t="shared" si="582"/>
        <v>12</v>
      </c>
      <c r="L497" s="139">
        <f t="shared" si="583"/>
        <v>0.44444444444444442</v>
      </c>
      <c r="M497" s="139">
        <f t="shared" si="584"/>
        <v>504</v>
      </c>
      <c r="N497" s="139">
        <f t="shared" si="585"/>
        <v>0</v>
      </c>
      <c r="O497" s="139">
        <f t="shared" si="586"/>
        <v>0</v>
      </c>
      <c r="P497" s="139">
        <f t="shared" si="587"/>
        <v>0</v>
      </c>
      <c r="Q497" s="139">
        <f t="shared" si="588"/>
        <v>504</v>
      </c>
      <c r="R497" s="156">
        <v>181</v>
      </c>
    </row>
    <row r="498" spans="1:22" x14ac:dyDescent="0.35">
      <c r="A498" s="27"/>
      <c r="B498" s="92">
        <v>55</v>
      </c>
      <c r="C498" s="19" t="s">
        <v>194</v>
      </c>
      <c r="D498" s="3" t="s">
        <v>45</v>
      </c>
      <c r="E498" s="27" t="str">
        <f>VLOOKUP(C498,Resources!B:D,3,FALSE)</f>
        <v>M</v>
      </c>
      <c r="F498" s="8">
        <v>1</v>
      </c>
      <c r="G498" s="22">
        <v>1</v>
      </c>
      <c r="H498" s="22">
        <f>H493*3.5</f>
        <v>28</v>
      </c>
      <c r="I498" s="22">
        <f>VLOOKUP(C498,Resources!B:G,6,FALSE)</f>
        <v>5</v>
      </c>
      <c r="J498" s="139">
        <f t="shared" si="581"/>
        <v>140</v>
      </c>
      <c r="K498" s="139">
        <f t="shared" si="582"/>
        <v>28</v>
      </c>
      <c r="L498" s="139" t="str">
        <f t="shared" si="583"/>
        <v xml:space="preserve"> </v>
      </c>
      <c r="M498" s="139">
        <f t="shared" si="584"/>
        <v>0</v>
      </c>
      <c r="N498" s="139">
        <f t="shared" si="585"/>
        <v>140</v>
      </c>
      <c r="O498" s="139">
        <f t="shared" si="586"/>
        <v>0</v>
      </c>
      <c r="P498" s="139">
        <f t="shared" si="587"/>
        <v>0</v>
      </c>
      <c r="Q498" s="139">
        <f t="shared" si="588"/>
        <v>140</v>
      </c>
      <c r="R498" s="156">
        <v>181</v>
      </c>
    </row>
    <row r="499" spans="1:22" x14ac:dyDescent="0.35">
      <c r="A499" s="27">
        <v>74.400000000000006</v>
      </c>
      <c r="B499" s="92">
        <v>56</v>
      </c>
      <c r="C499" s="19" t="s">
        <v>47</v>
      </c>
      <c r="D499" s="3" t="s">
        <v>26</v>
      </c>
      <c r="E499" s="27" t="str">
        <f>VLOOKUP(C499,Resources!B:D,3,FALSE)</f>
        <v>P</v>
      </c>
      <c r="F499" s="8">
        <v>1</v>
      </c>
      <c r="G499" s="97">
        <f>VLOOKUP($A499,'Model Inputs'!$A:$D,4,FALSE)</f>
        <v>3</v>
      </c>
      <c r="H499" s="22">
        <f>H494</f>
        <v>15</v>
      </c>
      <c r="I499" s="22">
        <f>VLOOKUP(C499,Resources!B:G,6,FALSE)</f>
        <v>95</v>
      </c>
      <c r="J499" s="139">
        <f t="shared" si="581"/>
        <v>475</v>
      </c>
      <c r="K499" s="139">
        <f t="shared" si="582"/>
        <v>5</v>
      </c>
      <c r="L499" s="139">
        <f t="shared" si="583"/>
        <v>0.55555555555555558</v>
      </c>
      <c r="M499" s="139">
        <f t="shared" si="584"/>
        <v>0</v>
      </c>
      <c r="N499" s="139">
        <f t="shared" si="585"/>
        <v>0</v>
      </c>
      <c r="O499" s="139">
        <f t="shared" si="586"/>
        <v>475</v>
      </c>
      <c r="P499" s="139">
        <f t="shared" si="587"/>
        <v>0</v>
      </c>
      <c r="Q499" s="139">
        <f t="shared" si="588"/>
        <v>475</v>
      </c>
      <c r="R499" s="156">
        <v>181</v>
      </c>
    </row>
    <row r="500" spans="1:22" x14ac:dyDescent="0.35">
      <c r="A500" s="27"/>
      <c r="B500" s="92">
        <v>57</v>
      </c>
      <c r="C500" s="19" t="s">
        <v>8</v>
      </c>
      <c r="D500" s="3" t="s">
        <v>26</v>
      </c>
      <c r="E500" s="27" t="str">
        <f>VLOOKUP(C500,Resources!B:D,3,FALSE)</f>
        <v>L</v>
      </c>
      <c r="F500" s="8">
        <v>3</v>
      </c>
      <c r="G500" s="22">
        <f>G499</f>
        <v>3</v>
      </c>
      <c r="H500" s="22">
        <f>H494</f>
        <v>15</v>
      </c>
      <c r="I500" s="22">
        <f>VLOOKUP(C500,Resources!B:G,6,FALSE)</f>
        <v>42</v>
      </c>
      <c r="J500" s="139">
        <f t="shared" si="581"/>
        <v>630</v>
      </c>
      <c r="K500" s="139">
        <f t="shared" si="582"/>
        <v>15</v>
      </c>
      <c r="L500" s="139">
        <f t="shared" si="583"/>
        <v>0.55555555555555558</v>
      </c>
      <c r="M500" s="139">
        <f t="shared" si="584"/>
        <v>630</v>
      </c>
      <c r="N500" s="139">
        <f t="shared" si="585"/>
        <v>0</v>
      </c>
      <c r="O500" s="139">
        <f t="shared" si="586"/>
        <v>0</v>
      </c>
      <c r="P500" s="139">
        <f t="shared" si="587"/>
        <v>0</v>
      </c>
      <c r="Q500" s="139">
        <f t="shared" si="588"/>
        <v>630</v>
      </c>
      <c r="R500" s="156">
        <v>181</v>
      </c>
    </row>
    <row r="501" spans="1:22" x14ac:dyDescent="0.35">
      <c r="A501" s="27"/>
      <c r="B501" s="92">
        <v>58</v>
      </c>
      <c r="C501" s="19" t="s">
        <v>83</v>
      </c>
      <c r="D501" s="3" t="s">
        <v>26</v>
      </c>
      <c r="E501" s="27" t="str">
        <f>VLOOKUP(C501,Resources!B:D,3,FALSE)</f>
        <v>P</v>
      </c>
      <c r="F501" s="8">
        <v>1</v>
      </c>
      <c r="G501" s="22">
        <f>G499</f>
        <v>3</v>
      </c>
      <c r="H501" s="22">
        <f>H494</f>
        <v>15</v>
      </c>
      <c r="I501" s="22">
        <f>VLOOKUP(C501,Resources!B:G,6,FALSE)</f>
        <v>3.5</v>
      </c>
      <c r="J501" s="139">
        <f t="shared" si="581"/>
        <v>17.5</v>
      </c>
      <c r="K501" s="139">
        <f t="shared" si="582"/>
        <v>5</v>
      </c>
      <c r="L501" s="139">
        <f t="shared" si="583"/>
        <v>0.55555555555555558</v>
      </c>
      <c r="M501" s="139">
        <f t="shared" si="584"/>
        <v>0</v>
      </c>
      <c r="N501" s="139">
        <f t="shared" si="585"/>
        <v>0</v>
      </c>
      <c r="O501" s="139">
        <f t="shared" si="586"/>
        <v>17.5</v>
      </c>
      <c r="P501" s="139">
        <f t="shared" si="587"/>
        <v>0</v>
      </c>
      <c r="Q501" s="139">
        <f t="shared" si="588"/>
        <v>17.5</v>
      </c>
      <c r="R501" s="156">
        <v>181</v>
      </c>
    </row>
    <row r="502" spans="1:22" x14ac:dyDescent="0.35">
      <c r="A502" s="27"/>
      <c r="B502" s="92">
        <v>59</v>
      </c>
      <c r="C502" s="19" t="s">
        <v>52</v>
      </c>
      <c r="D502" s="3" t="s">
        <v>26</v>
      </c>
      <c r="E502" s="27" t="str">
        <f>VLOOKUP(C502,Resources!B:D,3,FALSE)</f>
        <v>P</v>
      </c>
      <c r="F502" s="8">
        <v>1</v>
      </c>
      <c r="G502" s="22">
        <f>G499</f>
        <v>3</v>
      </c>
      <c r="H502" s="22">
        <f>H494</f>
        <v>15</v>
      </c>
      <c r="I502" s="22">
        <f>VLOOKUP(C502,Resources!B:G,6,FALSE)</f>
        <v>100</v>
      </c>
      <c r="J502" s="139">
        <f t="shared" si="581"/>
        <v>500</v>
      </c>
      <c r="K502" s="139">
        <f t="shared" si="582"/>
        <v>5</v>
      </c>
      <c r="L502" s="139">
        <f t="shared" si="583"/>
        <v>0.55555555555555558</v>
      </c>
      <c r="M502" s="139">
        <f t="shared" si="584"/>
        <v>0</v>
      </c>
      <c r="N502" s="139">
        <f t="shared" si="585"/>
        <v>0</v>
      </c>
      <c r="O502" s="139">
        <f t="shared" si="586"/>
        <v>500</v>
      </c>
      <c r="P502" s="139">
        <f t="shared" si="587"/>
        <v>0</v>
      </c>
      <c r="Q502" s="139">
        <f t="shared" si="588"/>
        <v>500</v>
      </c>
      <c r="R502" s="156">
        <v>181</v>
      </c>
    </row>
    <row r="503" spans="1:22" x14ac:dyDescent="0.35">
      <c r="B503" s="95">
        <v>60</v>
      </c>
      <c r="C503" s="6" t="s">
        <v>402</v>
      </c>
      <c r="F503" s="9"/>
      <c r="G503" s="9"/>
      <c r="H503" s="9"/>
      <c r="I503" s="9"/>
    </row>
    <row r="504" spans="1:22" s="90" customFormat="1" x14ac:dyDescent="0.35">
      <c r="A504" s="26">
        <v>75</v>
      </c>
      <c r="B504" s="94">
        <v>61</v>
      </c>
      <c r="C504" s="14" t="s">
        <v>184</v>
      </c>
      <c r="D504" s="15"/>
      <c r="E504" s="24"/>
      <c r="F504" s="21"/>
      <c r="G504" s="21"/>
      <c r="H504" s="21"/>
      <c r="I504" s="21"/>
      <c r="J504" s="138">
        <f>SUBTOTAL(9,J507:J514)</f>
        <v>4074.5</v>
      </c>
      <c r="K504" s="138"/>
      <c r="L504" s="138">
        <f>ROUNDUP(MAX(L508:L514),0)</f>
        <v>1</v>
      </c>
      <c r="M504" s="138">
        <f t="shared" ref="M504:Q504" si="589">SUBTOTAL(9,M507:M514)</f>
        <v>882</v>
      </c>
      <c r="N504" s="138">
        <f t="shared" si="589"/>
        <v>1930</v>
      </c>
      <c r="O504" s="138">
        <f t="shared" si="589"/>
        <v>1262.5</v>
      </c>
      <c r="P504" s="138">
        <f t="shared" si="589"/>
        <v>0</v>
      </c>
      <c r="Q504" s="138">
        <f t="shared" si="589"/>
        <v>4074.5</v>
      </c>
      <c r="R504" s="155"/>
      <c r="T504" s="247"/>
      <c r="U504"/>
      <c r="V504" s="277"/>
    </row>
    <row r="505" spans="1:22" x14ac:dyDescent="0.35">
      <c r="A505" s="27">
        <v>75.099999999999994</v>
      </c>
      <c r="B505" s="92">
        <v>62</v>
      </c>
      <c r="C505" s="5" t="s">
        <v>703</v>
      </c>
      <c r="D505" s="16" t="s">
        <v>707</v>
      </c>
      <c r="E505" s="27"/>
      <c r="F505" s="8"/>
      <c r="G505" s="8"/>
      <c r="H505" s="97">
        <f>VLOOKUP($A505,'Model Inputs'!$A:$D,4,FALSE)</f>
        <v>4</v>
      </c>
      <c r="I505" s="8"/>
      <c r="J505" s="139"/>
      <c r="K505" s="139"/>
      <c r="L505" s="139"/>
      <c r="M505" s="139"/>
      <c r="N505" s="139"/>
      <c r="O505" s="139"/>
      <c r="P505" s="139"/>
      <c r="Q505" s="139"/>
      <c r="R505" s="156"/>
    </row>
    <row r="506" spans="1:22" x14ac:dyDescent="0.35">
      <c r="A506" s="27">
        <v>75.2</v>
      </c>
      <c r="B506" s="92">
        <v>63</v>
      </c>
      <c r="C506" s="5" t="s">
        <v>702</v>
      </c>
      <c r="D506" s="16" t="s">
        <v>690</v>
      </c>
      <c r="E506" s="27"/>
      <c r="F506" s="8"/>
      <c r="G506" s="8"/>
      <c r="H506" s="97">
        <f>VLOOKUP($A506,'Model Inputs'!$A:$D,4,FALSE)</f>
        <v>15</v>
      </c>
      <c r="I506" s="8"/>
      <c r="J506" s="139"/>
      <c r="K506" s="139"/>
      <c r="L506" s="139"/>
      <c r="M506" s="139"/>
      <c r="N506" s="139"/>
      <c r="O506" s="139"/>
      <c r="P506" s="139"/>
      <c r="Q506" s="139"/>
      <c r="R506" s="156"/>
    </row>
    <row r="507" spans="1:22" x14ac:dyDescent="0.35">
      <c r="A507" s="27"/>
      <c r="B507" s="92">
        <v>64</v>
      </c>
      <c r="C507" s="19" t="s">
        <v>193</v>
      </c>
      <c r="D507" s="3" t="s">
        <v>45</v>
      </c>
      <c r="E507" s="27" t="str">
        <f>VLOOKUP(C507,Resources!B:D,3,FALSE)</f>
        <v>M</v>
      </c>
      <c r="F507" s="8">
        <v>1</v>
      </c>
      <c r="G507" s="22">
        <v>1</v>
      </c>
      <c r="H507" s="22">
        <f>H505*1.2</f>
        <v>4.8</v>
      </c>
      <c r="I507" s="22">
        <f>VLOOKUP(C507,Resources!B:G,6,FALSE)</f>
        <v>387.5</v>
      </c>
      <c r="J507" s="139">
        <f t="shared" ref="J507:J514" si="590">(H507/(G507/F507))*I507</f>
        <v>1860</v>
      </c>
      <c r="K507" s="139">
        <f t="shared" ref="K507:K514" si="591">IF(E507="M",H507,(H507/(G507)*F507))</f>
        <v>4.8</v>
      </c>
      <c r="L507" s="139" t="str">
        <f t="shared" ref="L507:L514" si="592">IF(E507="M"," ",K507/F507/Workhrs)</f>
        <v xml:space="preserve"> </v>
      </c>
      <c r="M507" s="139">
        <f t="shared" ref="M507:M514" si="593">IF($E507="L",$J507,0)</f>
        <v>0</v>
      </c>
      <c r="N507" s="139">
        <f t="shared" ref="N507:N514" si="594">IF($E507="M",$J507,0)</f>
        <v>1860</v>
      </c>
      <c r="O507" s="139">
        <f t="shared" ref="O507:O514" si="595">IF($E507="P",$J507,0)</f>
        <v>0</v>
      </c>
      <c r="P507" s="139">
        <f t="shared" ref="P507:P514" si="596">IF($E507="S",$J507,0)</f>
        <v>0</v>
      </c>
      <c r="Q507" s="139">
        <f t="shared" ref="Q507:Q514" si="597">SUM(M507:P507)</f>
        <v>1860</v>
      </c>
      <c r="R507" s="156" t="s">
        <v>698</v>
      </c>
    </row>
    <row r="508" spans="1:22" x14ac:dyDescent="0.35">
      <c r="A508" s="27">
        <v>75.3</v>
      </c>
      <c r="B508" s="92">
        <v>65</v>
      </c>
      <c r="C508" s="19" t="s">
        <v>50</v>
      </c>
      <c r="D508" s="3" t="s">
        <v>26</v>
      </c>
      <c r="E508" s="27" t="str">
        <f>VLOOKUP(C508,Resources!B:D,3,FALSE)</f>
        <v>P</v>
      </c>
      <c r="F508" s="8">
        <v>1</v>
      </c>
      <c r="G508" s="97">
        <f>VLOOKUP($A508,'Model Inputs'!$A:$D,4,FALSE)</f>
        <v>2</v>
      </c>
      <c r="H508" s="22">
        <f>H505</f>
        <v>4</v>
      </c>
      <c r="I508" s="22">
        <f>VLOOKUP(C508,Resources!B:G,6,FALSE)</f>
        <v>135</v>
      </c>
      <c r="J508" s="139">
        <f t="shared" si="590"/>
        <v>270</v>
      </c>
      <c r="K508" s="139">
        <f t="shared" si="591"/>
        <v>2</v>
      </c>
      <c r="L508" s="139">
        <f t="shared" si="592"/>
        <v>0.22222222222222221</v>
      </c>
      <c r="M508" s="139">
        <f t="shared" si="593"/>
        <v>0</v>
      </c>
      <c r="N508" s="139">
        <f t="shared" si="594"/>
        <v>0</v>
      </c>
      <c r="O508" s="139">
        <f t="shared" si="595"/>
        <v>270</v>
      </c>
      <c r="P508" s="139">
        <f t="shared" si="596"/>
        <v>0</v>
      </c>
      <c r="Q508" s="139">
        <f t="shared" si="597"/>
        <v>270</v>
      </c>
      <c r="R508" s="156">
        <v>181</v>
      </c>
    </row>
    <row r="509" spans="1:22" x14ac:dyDescent="0.35">
      <c r="A509" s="27"/>
      <c r="B509" s="92">
        <v>66</v>
      </c>
      <c r="C509" s="19" t="s">
        <v>8</v>
      </c>
      <c r="D509" s="3" t="s">
        <v>26</v>
      </c>
      <c r="E509" s="27" t="str">
        <f>VLOOKUP(C509,Resources!B:D,3,FALSE)</f>
        <v>L</v>
      </c>
      <c r="F509" s="8">
        <v>3</v>
      </c>
      <c r="G509" s="22">
        <f>G508</f>
        <v>2</v>
      </c>
      <c r="H509" s="22">
        <f>H505</f>
        <v>4</v>
      </c>
      <c r="I509" s="22">
        <f>VLOOKUP(C509,Resources!B:G,6,FALSE)</f>
        <v>42</v>
      </c>
      <c r="J509" s="139">
        <f t="shared" si="590"/>
        <v>252</v>
      </c>
      <c r="K509" s="139">
        <f t="shared" si="591"/>
        <v>6</v>
      </c>
      <c r="L509" s="139">
        <f t="shared" si="592"/>
        <v>0.22222222222222221</v>
      </c>
      <c r="M509" s="139">
        <f t="shared" si="593"/>
        <v>252</v>
      </c>
      <c r="N509" s="139">
        <f t="shared" si="594"/>
        <v>0</v>
      </c>
      <c r="O509" s="139">
        <f t="shared" si="595"/>
        <v>0</v>
      </c>
      <c r="P509" s="139">
        <f t="shared" si="596"/>
        <v>0</v>
      </c>
      <c r="Q509" s="139">
        <f t="shared" si="597"/>
        <v>252</v>
      </c>
      <c r="R509" s="156">
        <v>181</v>
      </c>
    </row>
    <row r="510" spans="1:22" x14ac:dyDescent="0.35">
      <c r="A510" s="27"/>
      <c r="B510" s="92">
        <v>67</v>
      </c>
      <c r="C510" s="19" t="s">
        <v>194</v>
      </c>
      <c r="D510" s="3" t="s">
        <v>45</v>
      </c>
      <c r="E510" s="27" t="str">
        <f>VLOOKUP(C510,Resources!B:D,3,FALSE)</f>
        <v>M</v>
      </c>
      <c r="F510" s="8">
        <v>1</v>
      </c>
      <c r="G510" s="22">
        <v>1</v>
      </c>
      <c r="H510" s="22">
        <f>H505*3.5</f>
        <v>14</v>
      </c>
      <c r="I510" s="22">
        <f>VLOOKUP(C510,Resources!B:G,6,FALSE)</f>
        <v>5</v>
      </c>
      <c r="J510" s="139">
        <f t="shared" si="590"/>
        <v>70</v>
      </c>
      <c r="K510" s="139">
        <f t="shared" si="591"/>
        <v>14</v>
      </c>
      <c r="L510" s="139" t="str">
        <f t="shared" si="592"/>
        <v xml:space="preserve"> </v>
      </c>
      <c r="M510" s="139">
        <f t="shared" si="593"/>
        <v>0</v>
      </c>
      <c r="N510" s="139">
        <f t="shared" si="594"/>
        <v>70</v>
      </c>
      <c r="O510" s="139">
        <f t="shared" si="595"/>
        <v>0</v>
      </c>
      <c r="P510" s="139">
        <f t="shared" si="596"/>
        <v>0</v>
      </c>
      <c r="Q510" s="139">
        <f t="shared" si="597"/>
        <v>70</v>
      </c>
      <c r="R510" s="156">
        <v>181</v>
      </c>
    </row>
    <row r="511" spans="1:22" x14ac:dyDescent="0.35">
      <c r="A511" s="27">
        <v>75.400000000000006</v>
      </c>
      <c r="B511" s="92">
        <v>68</v>
      </c>
      <c r="C511" s="19" t="s">
        <v>47</v>
      </c>
      <c r="D511" s="3" t="s">
        <v>26</v>
      </c>
      <c r="E511" s="27" t="str">
        <f>VLOOKUP(C511,Resources!B:D,3,FALSE)</f>
        <v>P</v>
      </c>
      <c r="F511" s="8">
        <v>1</v>
      </c>
      <c r="G511" s="97">
        <f>VLOOKUP($A511,'Model Inputs'!$A:$D,4,FALSE)</f>
        <v>3</v>
      </c>
      <c r="H511" s="22">
        <f>H506</f>
        <v>15</v>
      </c>
      <c r="I511" s="22">
        <f>VLOOKUP(C511,Resources!B:G,6,FALSE)</f>
        <v>95</v>
      </c>
      <c r="J511" s="139">
        <f t="shared" si="590"/>
        <v>475</v>
      </c>
      <c r="K511" s="139">
        <f t="shared" si="591"/>
        <v>5</v>
      </c>
      <c r="L511" s="139">
        <f t="shared" si="592"/>
        <v>0.55555555555555558</v>
      </c>
      <c r="M511" s="139">
        <f t="shared" si="593"/>
        <v>0</v>
      </c>
      <c r="N511" s="139">
        <f t="shared" si="594"/>
        <v>0</v>
      </c>
      <c r="O511" s="139">
        <f t="shared" si="595"/>
        <v>475</v>
      </c>
      <c r="P511" s="139">
        <f t="shared" si="596"/>
        <v>0</v>
      </c>
      <c r="Q511" s="139">
        <f t="shared" si="597"/>
        <v>475</v>
      </c>
      <c r="R511" s="156">
        <v>181</v>
      </c>
    </row>
    <row r="512" spans="1:22" x14ac:dyDescent="0.35">
      <c r="A512" s="27"/>
      <c r="B512" s="92">
        <v>69</v>
      </c>
      <c r="C512" s="19" t="s">
        <v>8</v>
      </c>
      <c r="D512" s="3" t="s">
        <v>26</v>
      </c>
      <c r="E512" s="27" t="str">
        <f>VLOOKUP(C512,Resources!B:D,3,FALSE)</f>
        <v>L</v>
      </c>
      <c r="F512" s="8">
        <v>3</v>
      </c>
      <c r="G512" s="22">
        <f>G511</f>
        <v>3</v>
      </c>
      <c r="H512" s="22">
        <f>H506</f>
        <v>15</v>
      </c>
      <c r="I512" s="22">
        <f>VLOOKUP(C512,Resources!B:G,6,FALSE)</f>
        <v>42</v>
      </c>
      <c r="J512" s="139">
        <f t="shared" si="590"/>
        <v>630</v>
      </c>
      <c r="K512" s="139">
        <f t="shared" si="591"/>
        <v>15</v>
      </c>
      <c r="L512" s="139">
        <f t="shared" si="592"/>
        <v>0.55555555555555558</v>
      </c>
      <c r="M512" s="139">
        <f t="shared" si="593"/>
        <v>630</v>
      </c>
      <c r="N512" s="139">
        <f t="shared" si="594"/>
        <v>0</v>
      </c>
      <c r="O512" s="139">
        <f t="shared" si="595"/>
        <v>0</v>
      </c>
      <c r="P512" s="139">
        <f t="shared" si="596"/>
        <v>0</v>
      </c>
      <c r="Q512" s="139">
        <f t="shared" si="597"/>
        <v>630</v>
      </c>
      <c r="R512" s="156">
        <v>181</v>
      </c>
    </row>
    <row r="513" spans="1:22" x14ac:dyDescent="0.35">
      <c r="A513" s="27"/>
      <c r="B513" s="92">
        <v>70</v>
      </c>
      <c r="C513" s="19" t="s">
        <v>83</v>
      </c>
      <c r="D513" s="3" t="s">
        <v>26</v>
      </c>
      <c r="E513" s="27" t="str">
        <f>VLOOKUP(C513,Resources!B:D,3,FALSE)</f>
        <v>P</v>
      </c>
      <c r="F513" s="8">
        <v>1</v>
      </c>
      <c r="G513" s="22">
        <f>G511</f>
        <v>3</v>
      </c>
      <c r="H513" s="22">
        <f>H506</f>
        <v>15</v>
      </c>
      <c r="I513" s="22">
        <f>VLOOKUP(C513,Resources!B:G,6,FALSE)</f>
        <v>3.5</v>
      </c>
      <c r="J513" s="139">
        <f t="shared" si="590"/>
        <v>17.5</v>
      </c>
      <c r="K513" s="139">
        <f t="shared" si="591"/>
        <v>5</v>
      </c>
      <c r="L513" s="139">
        <f t="shared" si="592"/>
        <v>0.55555555555555558</v>
      </c>
      <c r="M513" s="139">
        <f t="shared" si="593"/>
        <v>0</v>
      </c>
      <c r="N513" s="139">
        <f t="shared" si="594"/>
        <v>0</v>
      </c>
      <c r="O513" s="139">
        <f t="shared" si="595"/>
        <v>17.5</v>
      </c>
      <c r="P513" s="139">
        <f t="shared" si="596"/>
        <v>0</v>
      </c>
      <c r="Q513" s="139">
        <f t="shared" si="597"/>
        <v>17.5</v>
      </c>
      <c r="R513" s="156">
        <v>181</v>
      </c>
    </row>
    <row r="514" spans="1:22" x14ac:dyDescent="0.35">
      <c r="A514" s="27"/>
      <c r="B514" s="92">
        <v>71</v>
      </c>
      <c r="C514" s="19" t="s">
        <v>52</v>
      </c>
      <c r="D514" s="3" t="s">
        <v>26</v>
      </c>
      <c r="E514" s="27" t="str">
        <f>VLOOKUP(C514,Resources!B:D,3,FALSE)</f>
        <v>P</v>
      </c>
      <c r="F514" s="8">
        <v>1</v>
      </c>
      <c r="G514" s="22">
        <f>G511</f>
        <v>3</v>
      </c>
      <c r="H514" s="22">
        <f>H506</f>
        <v>15</v>
      </c>
      <c r="I514" s="22">
        <f>VLOOKUP(C514,Resources!B:G,6,FALSE)</f>
        <v>100</v>
      </c>
      <c r="J514" s="139">
        <f t="shared" si="590"/>
        <v>500</v>
      </c>
      <c r="K514" s="139">
        <f t="shared" si="591"/>
        <v>5</v>
      </c>
      <c r="L514" s="139">
        <f t="shared" si="592"/>
        <v>0.55555555555555558</v>
      </c>
      <c r="M514" s="139">
        <f t="shared" si="593"/>
        <v>0</v>
      </c>
      <c r="N514" s="139">
        <f t="shared" si="594"/>
        <v>0</v>
      </c>
      <c r="O514" s="139">
        <f t="shared" si="595"/>
        <v>500</v>
      </c>
      <c r="P514" s="139">
        <f t="shared" si="596"/>
        <v>0</v>
      </c>
      <c r="Q514" s="139">
        <f t="shared" si="597"/>
        <v>500</v>
      </c>
      <c r="R514" s="156">
        <v>181</v>
      </c>
    </row>
    <row r="515" spans="1:22" x14ac:dyDescent="0.35">
      <c r="B515" s="95">
        <v>72</v>
      </c>
      <c r="C515" s="6" t="s">
        <v>402</v>
      </c>
      <c r="F515" s="9"/>
      <c r="G515" s="9"/>
      <c r="H515" s="9"/>
      <c r="I515" s="9"/>
    </row>
    <row r="516" spans="1:22" s="90" customFormat="1" x14ac:dyDescent="0.35">
      <c r="A516" s="26">
        <v>76</v>
      </c>
      <c r="B516" s="94">
        <v>73</v>
      </c>
      <c r="C516" s="14" t="s">
        <v>185</v>
      </c>
      <c r="D516" s="15"/>
      <c r="E516" s="24"/>
      <c r="F516" s="21"/>
      <c r="G516" s="21"/>
      <c r="H516" s="21"/>
      <c r="I516" s="21"/>
      <c r="J516" s="138">
        <f>SUBTOTAL(9,J519:J526)</f>
        <v>5012</v>
      </c>
      <c r="K516" s="138"/>
      <c r="L516" s="138">
        <f>ROUNDUP(MAX(L520:L526),0)</f>
        <v>1</v>
      </c>
      <c r="M516" s="138">
        <f t="shared" ref="M516:Q516" si="598">SUBTOTAL(9,M519:M526)</f>
        <v>1071</v>
      </c>
      <c r="N516" s="138">
        <f t="shared" si="598"/>
        <v>2412.5</v>
      </c>
      <c r="O516" s="138">
        <f t="shared" si="598"/>
        <v>1528.5</v>
      </c>
      <c r="P516" s="138">
        <f t="shared" si="598"/>
        <v>0</v>
      </c>
      <c r="Q516" s="138">
        <f t="shared" si="598"/>
        <v>5012</v>
      </c>
      <c r="R516" s="155"/>
      <c r="T516" s="247"/>
      <c r="U516"/>
      <c r="V516" s="277"/>
    </row>
    <row r="517" spans="1:22" x14ac:dyDescent="0.35">
      <c r="A517" s="27">
        <v>76.099999999999994</v>
      </c>
      <c r="B517" s="92">
        <v>74</v>
      </c>
      <c r="C517" s="5" t="s">
        <v>703</v>
      </c>
      <c r="D517" s="16" t="s">
        <v>707</v>
      </c>
      <c r="E517" s="27"/>
      <c r="F517" s="8"/>
      <c r="G517" s="8"/>
      <c r="H517" s="97">
        <f>VLOOKUP($A517,'Model Inputs'!$A:$D,4,FALSE)</f>
        <v>5</v>
      </c>
      <c r="I517" s="8"/>
      <c r="J517" s="139"/>
      <c r="K517" s="139"/>
      <c r="L517" s="139"/>
      <c r="M517" s="139"/>
      <c r="N517" s="139"/>
      <c r="O517" s="139"/>
      <c r="P517" s="139"/>
      <c r="Q517" s="139"/>
      <c r="R517" s="156"/>
    </row>
    <row r="518" spans="1:22" x14ac:dyDescent="0.35">
      <c r="A518" s="27">
        <v>76.2</v>
      </c>
      <c r="B518" s="92">
        <v>75</v>
      </c>
      <c r="C518" s="5" t="s">
        <v>702</v>
      </c>
      <c r="D518" s="16" t="s">
        <v>690</v>
      </c>
      <c r="E518" s="27"/>
      <c r="F518" s="8"/>
      <c r="G518" s="8"/>
      <c r="H518" s="97">
        <f>VLOOKUP($A518,'Model Inputs'!$A:$D,4,FALSE)</f>
        <v>18</v>
      </c>
      <c r="I518" s="8"/>
      <c r="J518" s="139"/>
      <c r="K518" s="139"/>
      <c r="L518" s="139"/>
      <c r="M518" s="139"/>
      <c r="N518" s="139"/>
      <c r="O518" s="139"/>
      <c r="P518" s="139"/>
      <c r="Q518" s="139"/>
      <c r="R518" s="156"/>
    </row>
    <row r="519" spans="1:22" x14ac:dyDescent="0.35">
      <c r="A519" s="27"/>
      <c r="B519" s="92">
        <v>76</v>
      </c>
      <c r="C519" s="19" t="s">
        <v>193</v>
      </c>
      <c r="D519" s="3" t="s">
        <v>45</v>
      </c>
      <c r="E519" s="27" t="str">
        <f>VLOOKUP(C519,Resources!B:D,3,FALSE)</f>
        <v>M</v>
      </c>
      <c r="F519" s="8">
        <v>1</v>
      </c>
      <c r="G519" s="22">
        <v>1</v>
      </c>
      <c r="H519" s="22">
        <f>H517*1.2</f>
        <v>6</v>
      </c>
      <c r="I519" s="22">
        <f>VLOOKUP(C519,Resources!B:G,6,FALSE)</f>
        <v>387.5</v>
      </c>
      <c r="J519" s="139">
        <f t="shared" ref="J519:J526" si="599">(H519/(G519/F519))*I519</f>
        <v>2325</v>
      </c>
      <c r="K519" s="139">
        <f t="shared" ref="K519:K526" si="600">IF(E519="M",H519,(H519/(G519)*F519))</f>
        <v>6</v>
      </c>
      <c r="L519" s="139" t="str">
        <f t="shared" ref="L519:L526" si="601">IF(E519="M"," ",K519/F519/Workhrs)</f>
        <v xml:space="preserve"> </v>
      </c>
      <c r="M519" s="139">
        <f t="shared" ref="M519:M526" si="602">IF($E519="L",$J519,0)</f>
        <v>0</v>
      </c>
      <c r="N519" s="139">
        <f t="shared" ref="N519:N526" si="603">IF($E519="M",$J519,0)</f>
        <v>2325</v>
      </c>
      <c r="O519" s="139">
        <f t="shared" ref="O519:O526" si="604">IF($E519="P",$J519,0)</f>
        <v>0</v>
      </c>
      <c r="P519" s="139">
        <f t="shared" ref="P519:P526" si="605">IF($E519="S",$J519,0)</f>
        <v>0</v>
      </c>
      <c r="Q519" s="139">
        <f t="shared" ref="Q519:Q526" si="606">SUM(M519:P519)</f>
        <v>2325</v>
      </c>
      <c r="R519" s="156" t="s">
        <v>698</v>
      </c>
    </row>
    <row r="520" spans="1:22" x14ac:dyDescent="0.35">
      <c r="A520" s="27">
        <v>76.3</v>
      </c>
      <c r="B520" s="92">
        <v>77</v>
      </c>
      <c r="C520" s="19" t="s">
        <v>50</v>
      </c>
      <c r="D520" s="3" t="s">
        <v>26</v>
      </c>
      <c r="E520" s="27" t="str">
        <f>VLOOKUP(C520,Resources!B:D,3,FALSE)</f>
        <v>P</v>
      </c>
      <c r="F520" s="8">
        <v>1</v>
      </c>
      <c r="G520" s="97">
        <f>VLOOKUP($A520,'Model Inputs'!$A:$D,4,FALSE)</f>
        <v>2</v>
      </c>
      <c r="H520" s="22">
        <f>H517</f>
        <v>5</v>
      </c>
      <c r="I520" s="22">
        <f>VLOOKUP(C520,Resources!B:G,6,FALSE)</f>
        <v>135</v>
      </c>
      <c r="J520" s="139">
        <f t="shared" si="599"/>
        <v>337.5</v>
      </c>
      <c r="K520" s="139">
        <f t="shared" si="600"/>
        <v>2.5</v>
      </c>
      <c r="L520" s="139">
        <f t="shared" si="601"/>
        <v>0.27777777777777779</v>
      </c>
      <c r="M520" s="139">
        <f t="shared" si="602"/>
        <v>0</v>
      </c>
      <c r="N520" s="139">
        <f t="shared" si="603"/>
        <v>0</v>
      </c>
      <c r="O520" s="139">
        <f t="shared" si="604"/>
        <v>337.5</v>
      </c>
      <c r="P520" s="139">
        <f t="shared" si="605"/>
        <v>0</v>
      </c>
      <c r="Q520" s="139">
        <f t="shared" si="606"/>
        <v>337.5</v>
      </c>
      <c r="R520" s="156">
        <v>181</v>
      </c>
    </row>
    <row r="521" spans="1:22" x14ac:dyDescent="0.35">
      <c r="A521" s="27"/>
      <c r="B521" s="92">
        <v>78</v>
      </c>
      <c r="C521" s="19" t="s">
        <v>8</v>
      </c>
      <c r="D521" s="3" t="s">
        <v>26</v>
      </c>
      <c r="E521" s="27" t="str">
        <f>VLOOKUP(C521,Resources!B:D,3,FALSE)</f>
        <v>L</v>
      </c>
      <c r="F521" s="8">
        <v>3</v>
      </c>
      <c r="G521" s="22">
        <f>G520</f>
        <v>2</v>
      </c>
      <c r="H521" s="22">
        <f>H517</f>
        <v>5</v>
      </c>
      <c r="I521" s="22">
        <f>VLOOKUP(C521,Resources!B:G,6,FALSE)</f>
        <v>42</v>
      </c>
      <c r="J521" s="139">
        <f t="shared" si="599"/>
        <v>315</v>
      </c>
      <c r="K521" s="139">
        <f t="shared" si="600"/>
        <v>7.5</v>
      </c>
      <c r="L521" s="139">
        <f t="shared" si="601"/>
        <v>0.27777777777777779</v>
      </c>
      <c r="M521" s="139">
        <f t="shared" si="602"/>
        <v>315</v>
      </c>
      <c r="N521" s="139">
        <f t="shared" si="603"/>
        <v>0</v>
      </c>
      <c r="O521" s="139">
        <f t="shared" si="604"/>
        <v>0</v>
      </c>
      <c r="P521" s="139">
        <f t="shared" si="605"/>
        <v>0</v>
      </c>
      <c r="Q521" s="139">
        <f t="shared" si="606"/>
        <v>315</v>
      </c>
      <c r="R521" s="156">
        <v>181</v>
      </c>
    </row>
    <row r="522" spans="1:22" x14ac:dyDescent="0.35">
      <c r="A522" s="27"/>
      <c r="B522" s="92">
        <v>79</v>
      </c>
      <c r="C522" s="19" t="s">
        <v>194</v>
      </c>
      <c r="D522" s="3" t="s">
        <v>45</v>
      </c>
      <c r="E522" s="27" t="str">
        <f>VLOOKUP(C522,Resources!B:D,3,FALSE)</f>
        <v>M</v>
      </c>
      <c r="F522" s="8">
        <v>1</v>
      </c>
      <c r="G522" s="22">
        <v>1</v>
      </c>
      <c r="H522" s="22">
        <f>H517*3.5</f>
        <v>17.5</v>
      </c>
      <c r="I522" s="22">
        <f>VLOOKUP(C522,Resources!B:G,6,FALSE)</f>
        <v>5</v>
      </c>
      <c r="J522" s="139">
        <f t="shared" si="599"/>
        <v>87.5</v>
      </c>
      <c r="K522" s="139">
        <f t="shared" si="600"/>
        <v>17.5</v>
      </c>
      <c r="L522" s="139" t="str">
        <f t="shared" si="601"/>
        <v xml:space="preserve"> </v>
      </c>
      <c r="M522" s="139">
        <f t="shared" si="602"/>
        <v>0</v>
      </c>
      <c r="N522" s="139">
        <f t="shared" si="603"/>
        <v>87.5</v>
      </c>
      <c r="O522" s="139">
        <f t="shared" si="604"/>
        <v>0</v>
      </c>
      <c r="P522" s="139">
        <f t="shared" si="605"/>
        <v>0</v>
      </c>
      <c r="Q522" s="139">
        <f t="shared" si="606"/>
        <v>87.5</v>
      </c>
      <c r="R522" s="156">
        <v>181</v>
      </c>
    </row>
    <row r="523" spans="1:22" x14ac:dyDescent="0.35">
      <c r="A523" s="27">
        <v>76.400000000000006</v>
      </c>
      <c r="B523" s="92">
        <v>80</v>
      </c>
      <c r="C523" s="19" t="s">
        <v>47</v>
      </c>
      <c r="D523" s="3" t="s">
        <v>26</v>
      </c>
      <c r="E523" s="27" t="str">
        <f>VLOOKUP(C523,Resources!B:D,3,FALSE)</f>
        <v>P</v>
      </c>
      <c r="F523" s="8">
        <v>1</v>
      </c>
      <c r="G523" s="97">
        <f>VLOOKUP($A523,'Model Inputs'!$A:$D,4,FALSE)</f>
        <v>3</v>
      </c>
      <c r="H523" s="22">
        <f>H518</f>
        <v>18</v>
      </c>
      <c r="I523" s="22">
        <f>VLOOKUP(C523,Resources!B:G,6,FALSE)</f>
        <v>95</v>
      </c>
      <c r="J523" s="139">
        <f t="shared" si="599"/>
        <v>570</v>
      </c>
      <c r="K523" s="139">
        <f t="shared" si="600"/>
        <v>6</v>
      </c>
      <c r="L523" s="139">
        <f t="shared" si="601"/>
        <v>0.66666666666666663</v>
      </c>
      <c r="M523" s="139">
        <f t="shared" si="602"/>
        <v>0</v>
      </c>
      <c r="N523" s="139">
        <f t="shared" si="603"/>
        <v>0</v>
      </c>
      <c r="O523" s="139">
        <f t="shared" si="604"/>
        <v>570</v>
      </c>
      <c r="P523" s="139">
        <f t="shared" si="605"/>
        <v>0</v>
      </c>
      <c r="Q523" s="139">
        <f t="shared" si="606"/>
        <v>570</v>
      </c>
      <c r="R523" s="156">
        <v>181</v>
      </c>
    </row>
    <row r="524" spans="1:22" x14ac:dyDescent="0.35">
      <c r="A524" s="27"/>
      <c r="B524" s="92">
        <v>81</v>
      </c>
      <c r="C524" s="19" t="s">
        <v>8</v>
      </c>
      <c r="D524" s="3" t="s">
        <v>26</v>
      </c>
      <c r="E524" s="27" t="str">
        <f>VLOOKUP(C524,Resources!B:D,3,FALSE)</f>
        <v>L</v>
      </c>
      <c r="F524" s="8">
        <v>3</v>
      </c>
      <c r="G524" s="22">
        <f>G523</f>
        <v>3</v>
      </c>
      <c r="H524" s="22">
        <f>H518</f>
        <v>18</v>
      </c>
      <c r="I524" s="22">
        <f>VLOOKUP(C524,Resources!B:G,6,FALSE)</f>
        <v>42</v>
      </c>
      <c r="J524" s="139">
        <f t="shared" si="599"/>
        <v>756</v>
      </c>
      <c r="K524" s="139">
        <f t="shared" si="600"/>
        <v>18</v>
      </c>
      <c r="L524" s="139">
        <f t="shared" si="601"/>
        <v>0.66666666666666663</v>
      </c>
      <c r="M524" s="139">
        <f t="shared" si="602"/>
        <v>756</v>
      </c>
      <c r="N524" s="139">
        <f t="shared" si="603"/>
        <v>0</v>
      </c>
      <c r="O524" s="139">
        <f t="shared" si="604"/>
        <v>0</v>
      </c>
      <c r="P524" s="139">
        <f t="shared" si="605"/>
        <v>0</v>
      </c>
      <c r="Q524" s="139">
        <f t="shared" si="606"/>
        <v>756</v>
      </c>
      <c r="R524" s="156">
        <v>181</v>
      </c>
    </row>
    <row r="525" spans="1:22" x14ac:dyDescent="0.35">
      <c r="A525" s="27"/>
      <c r="B525" s="92">
        <v>82</v>
      </c>
      <c r="C525" s="19" t="s">
        <v>83</v>
      </c>
      <c r="D525" s="3" t="s">
        <v>26</v>
      </c>
      <c r="E525" s="27" t="str">
        <f>VLOOKUP(C525,Resources!B:D,3,FALSE)</f>
        <v>P</v>
      </c>
      <c r="F525" s="8">
        <v>1</v>
      </c>
      <c r="G525" s="22">
        <f>G523</f>
        <v>3</v>
      </c>
      <c r="H525" s="22">
        <f>H518</f>
        <v>18</v>
      </c>
      <c r="I525" s="22">
        <f>VLOOKUP(C525,Resources!B:G,6,FALSE)</f>
        <v>3.5</v>
      </c>
      <c r="J525" s="139">
        <f t="shared" si="599"/>
        <v>21</v>
      </c>
      <c r="K525" s="139">
        <f t="shared" si="600"/>
        <v>6</v>
      </c>
      <c r="L525" s="139">
        <f t="shared" si="601"/>
        <v>0.66666666666666663</v>
      </c>
      <c r="M525" s="139">
        <f t="shared" si="602"/>
        <v>0</v>
      </c>
      <c r="N525" s="139">
        <f t="shared" si="603"/>
        <v>0</v>
      </c>
      <c r="O525" s="139">
        <f t="shared" si="604"/>
        <v>21</v>
      </c>
      <c r="P525" s="139">
        <f t="shared" si="605"/>
        <v>0</v>
      </c>
      <c r="Q525" s="139">
        <f t="shared" si="606"/>
        <v>21</v>
      </c>
      <c r="R525" s="156">
        <v>181</v>
      </c>
    </row>
    <row r="526" spans="1:22" x14ac:dyDescent="0.35">
      <c r="A526" s="27"/>
      <c r="B526" s="92">
        <v>83</v>
      </c>
      <c r="C526" s="19" t="s">
        <v>52</v>
      </c>
      <c r="D526" s="3" t="s">
        <v>26</v>
      </c>
      <c r="E526" s="27" t="str">
        <f>VLOOKUP(C526,Resources!B:D,3,FALSE)</f>
        <v>P</v>
      </c>
      <c r="F526" s="8">
        <v>1</v>
      </c>
      <c r="G526" s="22">
        <f>G523</f>
        <v>3</v>
      </c>
      <c r="H526" s="22">
        <f>H518</f>
        <v>18</v>
      </c>
      <c r="I526" s="22">
        <f>VLOOKUP(C526,Resources!B:G,6,FALSE)</f>
        <v>100</v>
      </c>
      <c r="J526" s="139">
        <f t="shared" si="599"/>
        <v>600</v>
      </c>
      <c r="K526" s="139">
        <f t="shared" si="600"/>
        <v>6</v>
      </c>
      <c r="L526" s="139">
        <f t="shared" si="601"/>
        <v>0.66666666666666663</v>
      </c>
      <c r="M526" s="139">
        <f t="shared" si="602"/>
        <v>0</v>
      </c>
      <c r="N526" s="139">
        <f t="shared" si="603"/>
        <v>0</v>
      </c>
      <c r="O526" s="139">
        <f t="shared" si="604"/>
        <v>600</v>
      </c>
      <c r="P526" s="139">
        <f t="shared" si="605"/>
        <v>0</v>
      </c>
      <c r="Q526" s="139">
        <f t="shared" si="606"/>
        <v>600</v>
      </c>
      <c r="R526" s="156">
        <v>181</v>
      </c>
    </row>
    <row r="527" spans="1:22" x14ac:dyDescent="0.35">
      <c r="B527" s="95">
        <v>84</v>
      </c>
      <c r="C527" s="6" t="s">
        <v>402</v>
      </c>
      <c r="F527" s="9"/>
      <c r="G527" s="9"/>
      <c r="H527" s="9"/>
      <c r="I527" s="9"/>
    </row>
    <row r="528" spans="1:22" s="90" customFormat="1" x14ac:dyDescent="0.35">
      <c r="A528" s="26">
        <v>77</v>
      </c>
      <c r="B528" s="94">
        <v>85</v>
      </c>
      <c r="C528" s="14" t="s">
        <v>187</v>
      </c>
      <c r="D528" s="15"/>
      <c r="E528" s="24"/>
      <c r="F528" s="21"/>
      <c r="G528" s="21"/>
      <c r="H528" s="21"/>
      <c r="I528" s="21"/>
      <c r="J528" s="138">
        <f>SUBTOTAL(9,J531:J538)</f>
        <v>17957</v>
      </c>
      <c r="K528" s="138"/>
      <c r="L528" s="138">
        <f>ROUNDUP(MAX(L532:L538),0)</f>
        <v>2</v>
      </c>
      <c r="M528" s="138">
        <f t="shared" ref="M528:Q528" si="607">SUBTOTAL(9,M531:M538)</f>
        <v>2772</v>
      </c>
      <c r="N528" s="138">
        <f t="shared" si="607"/>
        <v>11579.999999999998</v>
      </c>
      <c r="O528" s="138">
        <f t="shared" si="607"/>
        <v>3605</v>
      </c>
      <c r="P528" s="138">
        <f t="shared" si="607"/>
        <v>0</v>
      </c>
      <c r="Q528" s="138">
        <f t="shared" si="607"/>
        <v>17957</v>
      </c>
      <c r="R528" s="155"/>
      <c r="T528" s="247"/>
      <c r="U528"/>
      <c r="V528" s="277"/>
    </row>
    <row r="529" spans="1:22" x14ac:dyDescent="0.35">
      <c r="A529" s="27">
        <v>77.099999999999994</v>
      </c>
      <c r="B529" s="92">
        <v>86</v>
      </c>
      <c r="C529" s="5" t="s">
        <v>703</v>
      </c>
      <c r="D529" s="16" t="s">
        <v>707</v>
      </c>
      <c r="E529" s="27"/>
      <c r="F529" s="8"/>
      <c r="G529" s="8"/>
      <c r="H529" s="97">
        <f>VLOOKUP($A529,'Model Inputs'!$A:$D,4,FALSE)</f>
        <v>24</v>
      </c>
      <c r="I529" s="8"/>
      <c r="J529" s="139"/>
      <c r="K529" s="139"/>
      <c r="L529" s="139"/>
      <c r="M529" s="139"/>
      <c r="N529" s="139"/>
      <c r="O529" s="139"/>
      <c r="P529" s="139"/>
      <c r="Q529" s="139"/>
      <c r="R529" s="156"/>
    </row>
    <row r="530" spans="1:22" x14ac:dyDescent="0.35">
      <c r="A530" s="27">
        <v>77.2</v>
      </c>
      <c r="B530" s="92">
        <v>87</v>
      </c>
      <c r="C530" s="5" t="s">
        <v>702</v>
      </c>
      <c r="D530" s="16" t="s">
        <v>690</v>
      </c>
      <c r="E530" s="27"/>
      <c r="F530" s="8"/>
      <c r="G530" s="8"/>
      <c r="H530" s="97">
        <f>VLOOKUP($A530,'Model Inputs'!$A:$D,4,FALSE)</f>
        <v>30</v>
      </c>
      <c r="I530" s="8"/>
      <c r="J530" s="139"/>
      <c r="K530" s="139"/>
      <c r="L530" s="139"/>
      <c r="M530" s="139"/>
      <c r="N530" s="139"/>
      <c r="O530" s="139"/>
      <c r="P530" s="139"/>
      <c r="Q530" s="139"/>
      <c r="R530" s="156"/>
    </row>
    <row r="531" spans="1:22" x14ac:dyDescent="0.35">
      <c r="A531" s="27"/>
      <c r="B531" s="92">
        <v>88</v>
      </c>
      <c r="C531" s="19" t="s">
        <v>193</v>
      </c>
      <c r="D531" s="3" t="s">
        <v>45</v>
      </c>
      <c r="E531" s="27" t="str">
        <f>VLOOKUP(C531,Resources!B:D,3,FALSE)</f>
        <v>M</v>
      </c>
      <c r="F531" s="8">
        <v>1</v>
      </c>
      <c r="G531" s="22">
        <v>1</v>
      </c>
      <c r="H531" s="22">
        <f>H529*1.2</f>
        <v>28.799999999999997</v>
      </c>
      <c r="I531" s="22">
        <f>VLOOKUP(C531,Resources!B:G,6,FALSE)</f>
        <v>387.5</v>
      </c>
      <c r="J531" s="139">
        <f t="shared" ref="J531:J538" si="608">(H531/(G531/F531))*I531</f>
        <v>11159.999999999998</v>
      </c>
      <c r="K531" s="139">
        <f t="shared" ref="K531:K538" si="609">IF(E531="M",H531,(H531/(G531)*F531))</f>
        <v>28.799999999999997</v>
      </c>
      <c r="L531" s="139" t="str">
        <f t="shared" ref="L531:L538" si="610">IF(E531="M"," ",K531/F531/Workhrs)</f>
        <v xml:space="preserve"> </v>
      </c>
      <c r="M531" s="139">
        <f t="shared" ref="M531:M538" si="611">IF($E531="L",$J531,0)</f>
        <v>0</v>
      </c>
      <c r="N531" s="139">
        <f t="shared" ref="N531:N538" si="612">IF($E531="M",$J531,0)</f>
        <v>11159.999999999998</v>
      </c>
      <c r="O531" s="139">
        <f t="shared" ref="O531:O538" si="613">IF($E531="P",$J531,0)</f>
        <v>0</v>
      </c>
      <c r="P531" s="139">
        <f t="shared" ref="P531:P538" si="614">IF($E531="S",$J531,0)</f>
        <v>0</v>
      </c>
      <c r="Q531" s="139">
        <f t="shared" ref="Q531:Q538" si="615">SUM(M531:P531)</f>
        <v>11159.999999999998</v>
      </c>
      <c r="R531" s="156" t="s">
        <v>698</v>
      </c>
    </row>
    <row r="532" spans="1:22" x14ac:dyDescent="0.35">
      <c r="A532" s="27">
        <v>77.3</v>
      </c>
      <c r="B532" s="92">
        <v>89</v>
      </c>
      <c r="C532" s="19" t="s">
        <v>50</v>
      </c>
      <c r="D532" s="3" t="s">
        <v>26</v>
      </c>
      <c r="E532" s="27" t="str">
        <f>VLOOKUP(C532,Resources!B:D,3,FALSE)</f>
        <v>P</v>
      </c>
      <c r="F532" s="8">
        <v>1</v>
      </c>
      <c r="G532" s="97">
        <f>VLOOKUP($A532,'Model Inputs'!$A:$D,4,FALSE)</f>
        <v>2</v>
      </c>
      <c r="H532" s="22">
        <f>H529</f>
        <v>24</v>
      </c>
      <c r="I532" s="22">
        <f>VLOOKUP(C532,Resources!B:G,6,FALSE)</f>
        <v>135</v>
      </c>
      <c r="J532" s="139">
        <f t="shared" si="608"/>
        <v>1620</v>
      </c>
      <c r="K532" s="139">
        <f t="shared" si="609"/>
        <v>12</v>
      </c>
      <c r="L532" s="139">
        <f t="shared" si="610"/>
        <v>1.3333333333333333</v>
      </c>
      <c r="M532" s="139">
        <f t="shared" si="611"/>
        <v>0</v>
      </c>
      <c r="N532" s="139">
        <f t="shared" si="612"/>
        <v>0</v>
      </c>
      <c r="O532" s="139">
        <f t="shared" si="613"/>
        <v>1620</v>
      </c>
      <c r="P532" s="139">
        <f t="shared" si="614"/>
        <v>0</v>
      </c>
      <c r="Q532" s="139">
        <f t="shared" si="615"/>
        <v>1620</v>
      </c>
      <c r="R532" s="156">
        <v>181</v>
      </c>
    </row>
    <row r="533" spans="1:22" x14ac:dyDescent="0.35">
      <c r="A533" s="27"/>
      <c r="B533" s="92">
        <v>90</v>
      </c>
      <c r="C533" s="19" t="s">
        <v>8</v>
      </c>
      <c r="D533" s="3" t="s">
        <v>26</v>
      </c>
      <c r="E533" s="27" t="str">
        <f>VLOOKUP(C533,Resources!B:D,3,FALSE)</f>
        <v>L</v>
      </c>
      <c r="F533" s="8">
        <v>3</v>
      </c>
      <c r="G533" s="22">
        <f>G532</f>
        <v>2</v>
      </c>
      <c r="H533" s="22">
        <f>H529</f>
        <v>24</v>
      </c>
      <c r="I533" s="22">
        <f>VLOOKUP(C533,Resources!B:G,6,FALSE)</f>
        <v>42</v>
      </c>
      <c r="J533" s="139">
        <f t="shared" si="608"/>
        <v>1512</v>
      </c>
      <c r="K533" s="139">
        <f t="shared" si="609"/>
        <v>36</v>
      </c>
      <c r="L533" s="139">
        <f t="shared" si="610"/>
        <v>1.3333333333333333</v>
      </c>
      <c r="M533" s="139">
        <f t="shared" si="611"/>
        <v>1512</v>
      </c>
      <c r="N533" s="139">
        <f t="shared" si="612"/>
        <v>0</v>
      </c>
      <c r="O533" s="139">
        <f t="shared" si="613"/>
        <v>0</v>
      </c>
      <c r="P533" s="139">
        <f t="shared" si="614"/>
        <v>0</v>
      </c>
      <c r="Q533" s="139">
        <f t="shared" si="615"/>
        <v>1512</v>
      </c>
      <c r="R533" s="156">
        <v>181</v>
      </c>
    </row>
    <row r="534" spans="1:22" x14ac:dyDescent="0.35">
      <c r="A534" s="27"/>
      <c r="B534" s="92">
        <v>91</v>
      </c>
      <c r="C534" s="19" t="s">
        <v>194</v>
      </c>
      <c r="D534" s="3" t="s">
        <v>45</v>
      </c>
      <c r="E534" s="27" t="str">
        <f>VLOOKUP(C534,Resources!B:D,3,FALSE)</f>
        <v>M</v>
      </c>
      <c r="F534" s="8">
        <v>1</v>
      </c>
      <c r="G534" s="22">
        <v>1</v>
      </c>
      <c r="H534" s="22">
        <f>H529*3.5</f>
        <v>84</v>
      </c>
      <c r="I534" s="22">
        <f>VLOOKUP(C534,Resources!B:G,6,FALSE)</f>
        <v>5</v>
      </c>
      <c r="J534" s="139">
        <f t="shared" si="608"/>
        <v>420</v>
      </c>
      <c r="K534" s="139">
        <f t="shared" si="609"/>
        <v>84</v>
      </c>
      <c r="L534" s="139" t="str">
        <f t="shared" si="610"/>
        <v xml:space="preserve"> </v>
      </c>
      <c r="M534" s="139">
        <f t="shared" si="611"/>
        <v>0</v>
      </c>
      <c r="N534" s="139">
        <f t="shared" si="612"/>
        <v>420</v>
      </c>
      <c r="O534" s="139">
        <f t="shared" si="613"/>
        <v>0</v>
      </c>
      <c r="P534" s="139">
        <f t="shared" si="614"/>
        <v>0</v>
      </c>
      <c r="Q534" s="139">
        <f t="shared" si="615"/>
        <v>420</v>
      </c>
      <c r="R534" s="156">
        <v>181</v>
      </c>
    </row>
    <row r="535" spans="1:22" x14ac:dyDescent="0.35">
      <c r="A535" s="27">
        <v>77.400000000000006</v>
      </c>
      <c r="B535" s="92">
        <v>92</v>
      </c>
      <c r="C535" s="19" t="s">
        <v>47</v>
      </c>
      <c r="D535" s="3" t="s">
        <v>26</v>
      </c>
      <c r="E535" s="27" t="str">
        <f>VLOOKUP(C535,Resources!B:D,3,FALSE)</f>
        <v>P</v>
      </c>
      <c r="F535" s="8">
        <v>1</v>
      </c>
      <c r="G535" s="97">
        <f>VLOOKUP($A535,'Model Inputs'!$A:$D,4,FALSE)</f>
        <v>3</v>
      </c>
      <c r="H535" s="22">
        <f>H530</f>
        <v>30</v>
      </c>
      <c r="I535" s="22">
        <f>VLOOKUP(C535,Resources!B:G,6,FALSE)</f>
        <v>95</v>
      </c>
      <c r="J535" s="139">
        <f t="shared" si="608"/>
        <v>950</v>
      </c>
      <c r="K535" s="139">
        <f t="shared" si="609"/>
        <v>10</v>
      </c>
      <c r="L535" s="139">
        <f t="shared" si="610"/>
        <v>1.1111111111111112</v>
      </c>
      <c r="M535" s="139">
        <f t="shared" si="611"/>
        <v>0</v>
      </c>
      <c r="N535" s="139">
        <f t="shared" si="612"/>
        <v>0</v>
      </c>
      <c r="O535" s="139">
        <f t="shared" si="613"/>
        <v>950</v>
      </c>
      <c r="P535" s="139">
        <f t="shared" si="614"/>
        <v>0</v>
      </c>
      <c r="Q535" s="139">
        <f t="shared" si="615"/>
        <v>950</v>
      </c>
      <c r="R535" s="156">
        <v>181</v>
      </c>
    </row>
    <row r="536" spans="1:22" x14ac:dyDescent="0.35">
      <c r="A536" s="27"/>
      <c r="B536" s="92">
        <v>93</v>
      </c>
      <c r="C536" s="19" t="s">
        <v>8</v>
      </c>
      <c r="D536" s="3" t="s">
        <v>26</v>
      </c>
      <c r="E536" s="27" t="str">
        <f>VLOOKUP(C536,Resources!B:D,3,FALSE)</f>
        <v>L</v>
      </c>
      <c r="F536" s="8">
        <v>3</v>
      </c>
      <c r="G536" s="22">
        <f>G535</f>
        <v>3</v>
      </c>
      <c r="H536" s="22">
        <f>H530</f>
        <v>30</v>
      </c>
      <c r="I536" s="22">
        <f>VLOOKUP(C536,Resources!B:G,6,FALSE)</f>
        <v>42</v>
      </c>
      <c r="J536" s="139">
        <f t="shared" si="608"/>
        <v>1260</v>
      </c>
      <c r="K536" s="139">
        <f t="shared" si="609"/>
        <v>30</v>
      </c>
      <c r="L536" s="139">
        <f t="shared" si="610"/>
        <v>1.1111111111111112</v>
      </c>
      <c r="M536" s="139">
        <f t="shared" si="611"/>
        <v>1260</v>
      </c>
      <c r="N536" s="139">
        <f t="shared" si="612"/>
        <v>0</v>
      </c>
      <c r="O536" s="139">
        <f t="shared" si="613"/>
        <v>0</v>
      </c>
      <c r="P536" s="139">
        <f t="shared" si="614"/>
        <v>0</v>
      </c>
      <c r="Q536" s="139">
        <f t="shared" si="615"/>
        <v>1260</v>
      </c>
      <c r="R536" s="156">
        <v>181</v>
      </c>
    </row>
    <row r="537" spans="1:22" x14ac:dyDescent="0.35">
      <c r="A537" s="27"/>
      <c r="B537" s="92">
        <v>94</v>
      </c>
      <c r="C537" s="19" t="s">
        <v>83</v>
      </c>
      <c r="D537" s="3" t="s">
        <v>26</v>
      </c>
      <c r="E537" s="27" t="str">
        <f>VLOOKUP(C537,Resources!B:D,3,FALSE)</f>
        <v>P</v>
      </c>
      <c r="F537" s="8">
        <v>1</v>
      </c>
      <c r="G537" s="22">
        <f>G535</f>
        <v>3</v>
      </c>
      <c r="H537" s="22">
        <f>H530</f>
        <v>30</v>
      </c>
      <c r="I537" s="22">
        <f>VLOOKUP(C537,Resources!B:G,6,FALSE)</f>
        <v>3.5</v>
      </c>
      <c r="J537" s="139">
        <f t="shared" si="608"/>
        <v>35</v>
      </c>
      <c r="K537" s="139">
        <f t="shared" si="609"/>
        <v>10</v>
      </c>
      <c r="L537" s="139">
        <f t="shared" si="610"/>
        <v>1.1111111111111112</v>
      </c>
      <c r="M537" s="139">
        <f t="shared" si="611"/>
        <v>0</v>
      </c>
      <c r="N537" s="139">
        <f t="shared" si="612"/>
        <v>0</v>
      </c>
      <c r="O537" s="139">
        <f t="shared" si="613"/>
        <v>35</v>
      </c>
      <c r="P537" s="139">
        <f t="shared" si="614"/>
        <v>0</v>
      </c>
      <c r="Q537" s="139">
        <f t="shared" si="615"/>
        <v>35</v>
      </c>
      <c r="R537" s="156">
        <v>181</v>
      </c>
    </row>
    <row r="538" spans="1:22" x14ac:dyDescent="0.35">
      <c r="A538" s="27"/>
      <c r="B538" s="92">
        <v>95</v>
      </c>
      <c r="C538" s="19" t="s">
        <v>52</v>
      </c>
      <c r="D538" s="3" t="s">
        <v>26</v>
      </c>
      <c r="E538" s="27" t="str">
        <f>VLOOKUP(C538,Resources!B:D,3,FALSE)</f>
        <v>P</v>
      </c>
      <c r="F538" s="8">
        <v>1</v>
      </c>
      <c r="G538" s="22">
        <f>G535</f>
        <v>3</v>
      </c>
      <c r="H538" s="22">
        <f>H530</f>
        <v>30</v>
      </c>
      <c r="I538" s="22">
        <f>VLOOKUP(C538,Resources!B:G,6,FALSE)</f>
        <v>100</v>
      </c>
      <c r="J538" s="139">
        <f t="shared" si="608"/>
        <v>1000</v>
      </c>
      <c r="K538" s="139">
        <f t="shared" si="609"/>
        <v>10</v>
      </c>
      <c r="L538" s="139">
        <f t="shared" si="610"/>
        <v>1.1111111111111112</v>
      </c>
      <c r="M538" s="139">
        <f t="shared" si="611"/>
        <v>0</v>
      </c>
      <c r="N538" s="139">
        <f t="shared" si="612"/>
        <v>0</v>
      </c>
      <c r="O538" s="139">
        <f t="shared" si="613"/>
        <v>1000</v>
      </c>
      <c r="P538" s="139">
        <f t="shared" si="614"/>
        <v>0</v>
      </c>
      <c r="Q538" s="139">
        <f t="shared" si="615"/>
        <v>1000</v>
      </c>
      <c r="R538" s="156">
        <v>181</v>
      </c>
    </row>
    <row r="539" spans="1:22" x14ac:dyDescent="0.35">
      <c r="B539" s="95">
        <v>96</v>
      </c>
      <c r="C539" s="6" t="s">
        <v>402</v>
      </c>
      <c r="F539" s="9"/>
      <c r="G539" s="9"/>
      <c r="H539" s="9"/>
      <c r="I539" s="9"/>
    </row>
    <row r="540" spans="1:22" s="90" customFormat="1" x14ac:dyDescent="0.35">
      <c r="A540" s="26">
        <v>78</v>
      </c>
      <c r="B540" s="94">
        <v>97</v>
      </c>
      <c r="C540" s="14" t="s">
        <v>190</v>
      </c>
      <c r="D540" s="15"/>
      <c r="E540" s="24"/>
      <c r="F540" s="21"/>
      <c r="G540" s="21"/>
      <c r="H540" s="21"/>
      <c r="I540" s="21"/>
      <c r="J540" s="138">
        <f>SUBTOTAL(9,J543:J550)</f>
        <v>7500</v>
      </c>
      <c r="K540" s="138"/>
      <c r="L540" s="138">
        <f>ROUNDUP(MAX(L544:L550),0)</f>
        <v>1</v>
      </c>
      <c r="M540" s="138">
        <f t="shared" ref="M540:Q540" si="616">SUBTOTAL(9,M543:M550)</f>
        <v>1512</v>
      </c>
      <c r="N540" s="138">
        <f t="shared" si="616"/>
        <v>3860</v>
      </c>
      <c r="O540" s="138">
        <f t="shared" si="616"/>
        <v>2128</v>
      </c>
      <c r="P540" s="138">
        <f t="shared" si="616"/>
        <v>0</v>
      </c>
      <c r="Q540" s="138">
        <f t="shared" si="616"/>
        <v>7500</v>
      </c>
      <c r="R540" s="155"/>
      <c r="T540" s="247"/>
      <c r="U540"/>
      <c r="V540" s="277"/>
    </row>
    <row r="541" spans="1:22" x14ac:dyDescent="0.35">
      <c r="A541" s="27">
        <v>78.099999999999994</v>
      </c>
      <c r="B541" s="92">
        <v>98</v>
      </c>
      <c r="C541" s="5" t="s">
        <v>703</v>
      </c>
      <c r="D541" s="16" t="s">
        <v>707</v>
      </c>
      <c r="E541" s="27"/>
      <c r="F541" s="8"/>
      <c r="G541" s="8"/>
      <c r="H541" s="97">
        <f>VLOOKUP($A541,'Model Inputs'!$A:$D,4,FALSE)</f>
        <v>8</v>
      </c>
      <c r="I541" s="8"/>
      <c r="J541" s="139"/>
      <c r="K541" s="139"/>
      <c r="L541" s="139"/>
      <c r="M541" s="139"/>
      <c r="N541" s="139"/>
      <c r="O541" s="139"/>
      <c r="P541" s="139"/>
      <c r="Q541" s="139"/>
      <c r="R541" s="156"/>
    </row>
    <row r="542" spans="1:22" x14ac:dyDescent="0.35">
      <c r="A542" s="27">
        <v>78.2</v>
      </c>
      <c r="B542" s="92">
        <v>99</v>
      </c>
      <c r="C542" s="5" t="s">
        <v>702</v>
      </c>
      <c r="D542" s="16" t="s">
        <v>690</v>
      </c>
      <c r="E542" s="27"/>
      <c r="F542" s="8"/>
      <c r="G542" s="8"/>
      <c r="H542" s="97">
        <f>VLOOKUP($A542,'Model Inputs'!$A:$D,4,FALSE)</f>
        <v>24</v>
      </c>
      <c r="I542" s="8"/>
      <c r="J542" s="139"/>
      <c r="K542" s="139"/>
      <c r="L542" s="139"/>
      <c r="M542" s="139"/>
      <c r="N542" s="139"/>
      <c r="O542" s="139"/>
      <c r="P542" s="139"/>
      <c r="Q542" s="139"/>
      <c r="R542" s="156"/>
    </row>
    <row r="543" spans="1:22" x14ac:dyDescent="0.35">
      <c r="A543" s="27"/>
      <c r="B543" s="92">
        <v>100</v>
      </c>
      <c r="C543" s="19" t="s">
        <v>193</v>
      </c>
      <c r="D543" s="3" t="s">
        <v>45</v>
      </c>
      <c r="E543" s="27" t="str">
        <f>VLOOKUP(C543,Resources!B:D,3,FALSE)</f>
        <v>M</v>
      </c>
      <c r="F543" s="8">
        <v>1</v>
      </c>
      <c r="G543" s="22">
        <v>1</v>
      </c>
      <c r="H543" s="22">
        <f>H541*1.2</f>
        <v>9.6</v>
      </c>
      <c r="I543" s="22">
        <f>VLOOKUP(C543,Resources!B:G,6,FALSE)</f>
        <v>387.5</v>
      </c>
      <c r="J543" s="139">
        <f t="shared" ref="J543:J550" si="617">(H543/(G543/F543))*I543</f>
        <v>3720</v>
      </c>
      <c r="K543" s="139">
        <f t="shared" ref="K543:K550" si="618">IF(E543="M",H543,(H543/(G543)*F543))</f>
        <v>9.6</v>
      </c>
      <c r="L543" s="139" t="str">
        <f t="shared" ref="L543:L550" si="619">IF(E543="M"," ",K543/F543/Workhrs)</f>
        <v xml:space="preserve"> </v>
      </c>
      <c r="M543" s="139">
        <f t="shared" ref="M543:M550" si="620">IF($E543="L",$J543,0)</f>
        <v>0</v>
      </c>
      <c r="N543" s="139">
        <f t="shared" ref="N543:N550" si="621">IF($E543="M",$J543,0)</f>
        <v>3720</v>
      </c>
      <c r="O543" s="139">
        <f t="shared" ref="O543:O550" si="622">IF($E543="P",$J543,0)</f>
        <v>0</v>
      </c>
      <c r="P543" s="139">
        <f t="shared" ref="P543:P550" si="623">IF($E543="S",$J543,0)</f>
        <v>0</v>
      </c>
      <c r="Q543" s="139">
        <f t="shared" ref="Q543:Q550" si="624">SUM(M543:P543)</f>
        <v>3720</v>
      </c>
      <c r="R543" s="156" t="s">
        <v>698</v>
      </c>
    </row>
    <row r="544" spans="1:22" x14ac:dyDescent="0.35">
      <c r="A544" s="27">
        <v>78.3</v>
      </c>
      <c r="B544" s="92">
        <v>101</v>
      </c>
      <c r="C544" s="19" t="s">
        <v>50</v>
      </c>
      <c r="D544" s="3" t="s">
        <v>26</v>
      </c>
      <c r="E544" s="27" t="str">
        <f>VLOOKUP(C544,Resources!B:D,3,FALSE)</f>
        <v>P</v>
      </c>
      <c r="F544" s="8">
        <v>1</v>
      </c>
      <c r="G544" s="97">
        <f>VLOOKUP($A544,'Model Inputs'!$A:$D,4,FALSE)</f>
        <v>2</v>
      </c>
      <c r="H544" s="22">
        <f>H541</f>
        <v>8</v>
      </c>
      <c r="I544" s="22">
        <f>VLOOKUP(C544,Resources!B:G,6,FALSE)</f>
        <v>135</v>
      </c>
      <c r="J544" s="139">
        <f t="shared" si="617"/>
        <v>540</v>
      </c>
      <c r="K544" s="139">
        <f t="shared" si="618"/>
        <v>4</v>
      </c>
      <c r="L544" s="139">
        <f t="shared" si="619"/>
        <v>0.44444444444444442</v>
      </c>
      <c r="M544" s="139">
        <f t="shared" si="620"/>
        <v>0</v>
      </c>
      <c r="N544" s="139">
        <f t="shared" si="621"/>
        <v>0</v>
      </c>
      <c r="O544" s="139">
        <f t="shared" si="622"/>
        <v>540</v>
      </c>
      <c r="P544" s="139">
        <f t="shared" si="623"/>
        <v>0</v>
      </c>
      <c r="Q544" s="139">
        <f t="shared" si="624"/>
        <v>540</v>
      </c>
      <c r="R544" s="156">
        <v>181</v>
      </c>
    </row>
    <row r="545" spans="1:22" x14ac:dyDescent="0.35">
      <c r="A545" s="27"/>
      <c r="B545" s="92">
        <v>102</v>
      </c>
      <c r="C545" s="19" t="s">
        <v>8</v>
      </c>
      <c r="D545" s="3" t="s">
        <v>26</v>
      </c>
      <c r="E545" s="27" t="str">
        <f>VLOOKUP(C545,Resources!B:D,3,FALSE)</f>
        <v>L</v>
      </c>
      <c r="F545" s="8">
        <v>3</v>
      </c>
      <c r="G545" s="22">
        <f>G544</f>
        <v>2</v>
      </c>
      <c r="H545" s="22">
        <f>H541</f>
        <v>8</v>
      </c>
      <c r="I545" s="22">
        <f>VLOOKUP(C545,Resources!B:G,6,FALSE)</f>
        <v>42</v>
      </c>
      <c r="J545" s="139">
        <f t="shared" si="617"/>
        <v>504</v>
      </c>
      <c r="K545" s="139">
        <f t="shared" si="618"/>
        <v>12</v>
      </c>
      <c r="L545" s="139">
        <f t="shared" si="619"/>
        <v>0.44444444444444442</v>
      </c>
      <c r="M545" s="139">
        <f t="shared" si="620"/>
        <v>504</v>
      </c>
      <c r="N545" s="139">
        <f t="shared" si="621"/>
        <v>0</v>
      </c>
      <c r="O545" s="139">
        <f t="shared" si="622"/>
        <v>0</v>
      </c>
      <c r="P545" s="139">
        <f t="shared" si="623"/>
        <v>0</v>
      </c>
      <c r="Q545" s="139">
        <f t="shared" si="624"/>
        <v>504</v>
      </c>
      <c r="R545" s="156">
        <v>181</v>
      </c>
    </row>
    <row r="546" spans="1:22" x14ac:dyDescent="0.35">
      <c r="A546" s="27"/>
      <c r="B546" s="92">
        <v>103</v>
      </c>
      <c r="C546" s="19" t="s">
        <v>194</v>
      </c>
      <c r="D546" s="3" t="s">
        <v>45</v>
      </c>
      <c r="E546" s="27" t="str">
        <f>VLOOKUP(C546,Resources!B:D,3,FALSE)</f>
        <v>M</v>
      </c>
      <c r="F546" s="8">
        <v>1</v>
      </c>
      <c r="G546" s="22">
        <v>1</v>
      </c>
      <c r="H546" s="22">
        <f>H541*3.5</f>
        <v>28</v>
      </c>
      <c r="I546" s="22">
        <f>VLOOKUP(C546,Resources!B:G,6,FALSE)</f>
        <v>5</v>
      </c>
      <c r="J546" s="139">
        <f t="shared" si="617"/>
        <v>140</v>
      </c>
      <c r="K546" s="139">
        <f t="shared" si="618"/>
        <v>28</v>
      </c>
      <c r="L546" s="139" t="str">
        <f t="shared" si="619"/>
        <v xml:space="preserve"> </v>
      </c>
      <c r="M546" s="139">
        <f t="shared" si="620"/>
        <v>0</v>
      </c>
      <c r="N546" s="139">
        <f t="shared" si="621"/>
        <v>140</v>
      </c>
      <c r="O546" s="139">
        <f t="shared" si="622"/>
        <v>0</v>
      </c>
      <c r="P546" s="139">
        <f t="shared" si="623"/>
        <v>0</v>
      </c>
      <c r="Q546" s="139">
        <f t="shared" si="624"/>
        <v>140</v>
      </c>
      <c r="R546" s="156">
        <v>181</v>
      </c>
    </row>
    <row r="547" spans="1:22" x14ac:dyDescent="0.35">
      <c r="A547" s="27">
        <v>78.400000000000006</v>
      </c>
      <c r="B547" s="92">
        <v>104</v>
      </c>
      <c r="C547" s="19" t="s">
        <v>47</v>
      </c>
      <c r="D547" s="3" t="s">
        <v>26</v>
      </c>
      <c r="E547" s="27" t="str">
        <f>VLOOKUP(C547,Resources!B:D,3,FALSE)</f>
        <v>P</v>
      </c>
      <c r="F547" s="8">
        <v>1</v>
      </c>
      <c r="G547" s="97">
        <f>VLOOKUP($A547,'Model Inputs'!$A:$D,4,FALSE)</f>
        <v>3</v>
      </c>
      <c r="H547" s="22">
        <f>H542</f>
        <v>24</v>
      </c>
      <c r="I547" s="22">
        <f>VLOOKUP(C547,Resources!B:G,6,FALSE)</f>
        <v>95</v>
      </c>
      <c r="J547" s="139">
        <f t="shared" si="617"/>
        <v>760</v>
      </c>
      <c r="K547" s="139">
        <f t="shared" si="618"/>
        <v>8</v>
      </c>
      <c r="L547" s="139">
        <f t="shared" si="619"/>
        <v>0.88888888888888884</v>
      </c>
      <c r="M547" s="139">
        <f t="shared" si="620"/>
        <v>0</v>
      </c>
      <c r="N547" s="139">
        <f t="shared" si="621"/>
        <v>0</v>
      </c>
      <c r="O547" s="139">
        <f t="shared" si="622"/>
        <v>760</v>
      </c>
      <c r="P547" s="139">
        <f t="shared" si="623"/>
        <v>0</v>
      </c>
      <c r="Q547" s="139">
        <f t="shared" si="624"/>
        <v>760</v>
      </c>
      <c r="R547" s="156">
        <v>181</v>
      </c>
    </row>
    <row r="548" spans="1:22" x14ac:dyDescent="0.35">
      <c r="A548" s="27"/>
      <c r="B548" s="92">
        <v>105</v>
      </c>
      <c r="C548" s="19" t="s">
        <v>8</v>
      </c>
      <c r="D548" s="3" t="s">
        <v>26</v>
      </c>
      <c r="E548" s="27" t="str">
        <f>VLOOKUP(C548,Resources!B:D,3,FALSE)</f>
        <v>L</v>
      </c>
      <c r="F548" s="8">
        <v>3</v>
      </c>
      <c r="G548" s="22">
        <f>G547</f>
        <v>3</v>
      </c>
      <c r="H548" s="22">
        <f>H542</f>
        <v>24</v>
      </c>
      <c r="I548" s="22">
        <f>VLOOKUP(C548,Resources!B:G,6,FALSE)</f>
        <v>42</v>
      </c>
      <c r="J548" s="139">
        <f t="shared" si="617"/>
        <v>1008</v>
      </c>
      <c r="K548" s="139">
        <f t="shared" si="618"/>
        <v>24</v>
      </c>
      <c r="L548" s="139">
        <f t="shared" si="619"/>
        <v>0.88888888888888884</v>
      </c>
      <c r="M548" s="139">
        <f t="shared" si="620"/>
        <v>1008</v>
      </c>
      <c r="N548" s="139">
        <f t="shared" si="621"/>
        <v>0</v>
      </c>
      <c r="O548" s="139">
        <f t="shared" si="622"/>
        <v>0</v>
      </c>
      <c r="P548" s="139">
        <f t="shared" si="623"/>
        <v>0</v>
      </c>
      <c r="Q548" s="139">
        <f t="shared" si="624"/>
        <v>1008</v>
      </c>
      <c r="R548" s="156">
        <v>181</v>
      </c>
    </row>
    <row r="549" spans="1:22" x14ac:dyDescent="0.35">
      <c r="A549" s="27"/>
      <c r="B549" s="92">
        <v>106</v>
      </c>
      <c r="C549" s="19" t="s">
        <v>83</v>
      </c>
      <c r="D549" s="3" t="s">
        <v>26</v>
      </c>
      <c r="E549" s="27" t="str">
        <f>VLOOKUP(C549,Resources!B:D,3,FALSE)</f>
        <v>P</v>
      </c>
      <c r="F549" s="8">
        <v>1</v>
      </c>
      <c r="G549" s="22">
        <f>G547</f>
        <v>3</v>
      </c>
      <c r="H549" s="22">
        <f>H542</f>
        <v>24</v>
      </c>
      <c r="I549" s="22">
        <f>VLOOKUP(C549,Resources!B:G,6,FALSE)</f>
        <v>3.5</v>
      </c>
      <c r="J549" s="139">
        <f t="shared" si="617"/>
        <v>28</v>
      </c>
      <c r="K549" s="139">
        <f t="shared" si="618"/>
        <v>8</v>
      </c>
      <c r="L549" s="139">
        <f t="shared" si="619"/>
        <v>0.88888888888888884</v>
      </c>
      <c r="M549" s="139">
        <f t="shared" si="620"/>
        <v>0</v>
      </c>
      <c r="N549" s="139">
        <f t="shared" si="621"/>
        <v>0</v>
      </c>
      <c r="O549" s="139">
        <f t="shared" si="622"/>
        <v>28</v>
      </c>
      <c r="P549" s="139">
        <f t="shared" si="623"/>
        <v>0</v>
      </c>
      <c r="Q549" s="139">
        <f t="shared" si="624"/>
        <v>28</v>
      </c>
      <c r="R549" s="156">
        <v>181</v>
      </c>
    </row>
    <row r="550" spans="1:22" x14ac:dyDescent="0.35">
      <c r="A550" s="27"/>
      <c r="B550" s="92">
        <v>107</v>
      </c>
      <c r="C550" s="19" t="s">
        <v>52</v>
      </c>
      <c r="D550" s="3" t="s">
        <v>26</v>
      </c>
      <c r="E550" s="27" t="str">
        <f>VLOOKUP(C550,Resources!B:D,3,FALSE)</f>
        <v>P</v>
      </c>
      <c r="F550" s="8">
        <v>1</v>
      </c>
      <c r="G550" s="22">
        <f>G547</f>
        <v>3</v>
      </c>
      <c r="H550" s="22">
        <f>H542</f>
        <v>24</v>
      </c>
      <c r="I550" s="22">
        <f>VLOOKUP(C550,Resources!B:G,6,FALSE)</f>
        <v>100</v>
      </c>
      <c r="J550" s="139">
        <f t="shared" si="617"/>
        <v>800</v>
      </c>
      <c r="K550" s="139">
        <f t="shared" si="618"/>
        <v>8</v>
      </c>
      <c r="L550" s="139">
        <f t="shared" si="619"/>
        <v>0.88888888888888884</v>
      </c>
      <c r="M550" s="139">
        <f t="shared" si="620"/>
        <v>0</v>
      </c>
      <c r="N550" s="139">
        <f t="shared" si="621"/>
        <v>0</v>
      </c>
      <c r="O550" s="139">
        <f t="shared" si="622"/>
        <v>800</v>
      </c>
      <c r="P550" s="139">
        <f t="shared" si="623"/>
        <v>0</v>
      </c>
      <c r="Q550" s="139">
        <f t="shared" si="624"/>
        <v>800</v>
      </c>
      <c r="R550" s="156">
        <v>181</v>
      </c>
    </row>
    <row r="551" spans="1:22" x14ac:dyDescent="0.35">
      <c r="B551" s="95">
        <v>108</v>
      </c>
      <c r="C551" s="6" t="s">
        <v>402</v>
      </c>
      <c r="F551" s="9"/>
      <c r="G551" s="9"/>
      <c r="H551" s="9"/>
      <c r="I551" s="9"/>
    </row>
    <row r="552" spans="1:22" s="90" customFormat="1" x14ac:dyDescent="0.35">
      <c r="A552" s="26">
        <v>79</v>
      </c>
      <c r="B552" s="94">
        <v>109</v>
      </c>
      <c r="C552" s="14" t="s">
        <v>191</v>
      </c>
      <c r="D552" s="15"/>
      <c r="E552" s="24"/>
      <c r="F552" s="21"/>
      <c r="G552" s="21"/>
      <c r="H552" s="21"/>
      <c r="I552" s="21"/>
      <c r="J552" s="138">
        <f>SUBTOTAL(9,J555:J562)</f>
        <v>7500</v>
      </c>
      <c r="K552" s="138"/>
      <c r="L552" s="138">
        <f>ROUNDUP(MAX(L556:L562),0)</f>
        <v>1</v>
      </c>
      <c r="M552" s="138">
        <f t="shared" ref="M552:Q552" si="625">SUBTOTAL(9,M555:M562)</f>
        <v>1512</v>
      </c>
      <c r="N552" s="138">
        <f t="shared" si="625"/>
        <v>3860</v>
      </c>
      <c r="O552" s="138">
        <f t="shared" si="625"/>
        <v>2128</v>
      </c>
      <c r="P552" s="138">
        <f t="shared" si="625"/>
        <v>0</v>
      </c>
      <c r="Q552" s="138">
        <f t="shared" si="625"/>
        <v>7500</v>
      </c>
      <c r="R552" s="155"/>
      <c r="T552" s="247"/>
      <c r="U552"/>
      <c r="V552" s="277"/>
    </row>
    <row r="553" spans="1:22" x14ac:dyDescent="0.35">
      <c r="A553" s="27">
        <v>79.099999999999994</v>
      </c>
      <c r="B553" s="92">
        <v>110</v>
      </c>
      <c r="C553" s="5" t="s">
        <v>703</v>
      </c>
      <c r="D553" s="16" t="s">
        <v>707</v>
      </c>
      <c r="E553" s="27"/>
      <c r="F553" s="8"/>
      <c r="G553" s="8"/>
      <c r="H553" s="97">
        <f>VLOOKUP($A553,'Model Inputs'!$A:$D,4,FALSE)</f>
        <v>8</v>
      </c>
      <c r="I553" s="8"/>
      <c r="J553" s="139"/>
      <c r="K553" s="139"/>
      <c r="L553" s="139"/>
      <c r="M553" s="139"/>
      <c r="N553" s="139"/>
      <c r="O553" s="139"/>
      <c r="P553" s="139"/>
      <c r="Q553" s="139"/>
      <c r="R553" s="156"/>
    </row>
    <row r="554" spans="1:22" x14ac:dyDescent="0.35">
      <c r="A554" s="27">
        <v>79.2</v>
      </c>
      <c r="B554" s="92">
        <v>111</v>
      </c>
      <c r="C554" s="5" t="s">
        <v>702</v>
      </c>
      <c r="D554" s="16" t="s">
        <v>690</v>
      </c>
      <c r="E554" s="27"/>
      <c r="F554" s="8"/>
      <c r="G554" s="8"/>
      <c r="H554" s="97">
        <f>VLOOKUP($A554,'Model Inputs'!$A:$D,4,FALSE)</f>
        <v>24</v>
      </c>
      <c r="I554" s="8"/>
      <c r="J554" s="139"/>
      <c r="K554" s="139"/>
      <c r="L554" s="139"/>
      <c r="M554" s="139"/>
      <c r="N554" s="139"/>
      <c r="O554" s="139"/>
      <c r="P554" s="139"/>
      <c r="Q554" s="139"/>
      <c r="R554" s="156"/>
    </row>
    <row r="555" spans="1:22" x14ac:dyDescent="0.35">
      <c r="A555" s="27"/>
      <c r="B555" s="92">
        <v>112</v>
      </c>
      <c r="C555" s="19" t="s">
        <v>193</v>
      </c>
      <c r="D555" s="3" t="s">
        <v>45</v>
      </c>
      <c r="E555" s="27" t="str">
        <f>VLOOKUP(C555,Resources!B:D,3,FALSE)</f>
        <v>M</v>
      </c>
      <c r="F555" s="8">
        <v>1</v>
      </c>
      <c r="G555" s="22">
        <v>1</v>
      </c>
      <c r="H555" s="22">
        <f>H553*1.2</f>
        <v>9.6</v>
      </c>
      <c r="I555" s="22">
        <f>VLOOKUP(C555,Resources!B:G,6,FALSE)</f>
        <v>387.5</v>
      </c>
      <c r="J555" s="139">
        <f t="shared" ref="J555:J562" si="626">(H555/(G555/F555))*I555</f>
        <v>3720</v>
      </c>
      <c r="K555" s="139">
        <f t="shared" ref="K555:K562" si="627">IF(E555="M",H555,(H555/(G555)*F555))</f>
        <v>9.6</v>
      </c>
      <c r="L555" s="139" t="str">
        <f t="shared" ref="L555:L562" si="628">IF(E555="M"," ",K555/F555/Workhrs)</f>
        <v xml:space="preserve"> </v>
      </c>
      <c r="M555" s="139">
        <f t="shared" ref="M555:M562" si="629">IF($E555="L",$J555,0)</f>
        <v>0</v>
      </c>
      <c r="N555" s="139">
        <f t="shared" ref="N555:N562" si="630">IF($E555="M",$J555,0)</f>
        <v>3720</v>
      </c>
      <c r="O555" s="139">
        <f t="shared" ref="O555:O562" si="631">IF($E555="P",$J555,0)</f>
        <v>0</v>
      </c>
      <c r="P555" s="139">
        <f t="shared" ref="P555:P562" si="632">IF($E555="S",$J555,0)</f>
        <v>0</v>
      </c>
      <c r="Q555" s="139">
        <f t="shared" ref="Q555:Q562" si="633">SUM(M555:P555)</f>
        <v>3720</v>
      </c>
      <c r="R555" s="156" t="s">
        <v>698</v>
      </c>
    </row>
    <row r="556" spans="1:22" x14ac:dyDescent="0.35">
      <c r="A556" s="27">
        <v>79.3</v>
      </c>
      <c r="B556" s="92">
        <v>113</v>
      </c>
      <c r="C556" s="19" t="s">
        <v>50</v>
      </c>
      <c r="D556" s="3" t="s">
        <v>26</v>
      </c>
      <c r="E556" s="27" t="str">
        <f>VLOOKUP(C556,Resources!B:D,3,FALSE)</f>
        <v>P</v>
      </c>
      <c r="F556" s="8">
        <v>1</v>
      </c>
      <c r="G556" s="97">
        <f>VLOOKUP($A556,'Model Inputs'!$A:$D,4,FALSE)</f>
        <v>2</v>
      </c>
      <c r="H556" s="22">
        <f>H553</f>
        <v>8</v>
      </c>
      <c r="I556" s="22">
        <f>VLOOKUP(C556,Resources!B:G,6,FALSE)</f>
        <v>135</v>
      </c>
      <c r="J556" s="139">
        <f t="shared" si="626"/>
        <v>540</v>
      </c>
      <c r="K556" s="139">
        <f t="shared" si="627"/>
        <v>4</v>
      </c>
      <c r="L556" s="139">
        <f t="shared" si="628"/>
        <v>0.44444444444444442</v>
      </c>
      <c r="M556" s="139">
        <f t="shared" si="629"/>
        <v>0</v>
      </c>
      <c r="N556" s="139">
        <f t="shared" si="630"/>
        <v>0</v>
      </c>
      <c r="O556" s="139">
        <f t="shared" si="631"/>
        <v>540</v>
      </c>
      <c r="P556" s="139">
        <f t="shared" si="632"/>
        <v>0</v>
      </c>
      <c r="Q556" s="139">
        <f t="shared" si="633"/>
        <v>540</v>
      </c>
      <c r="R556" s="156">
        <v>181</v>
      </c>
    </row>
    <row r="557" spans="1:22" x14ac:dyDescent="0.35">
      <c r="A557" s="27"/>
      <c r="B557" s="92">
        <v>114</v>
      </c>
      <c r="C557" s="19" t="s">
        <v>8</v>
      </c>
      <c r="D557" s="3" t="s">
        <v>26</v>
      </c>
      <c r="E557" s="27" t="str">
        <f>VLOOKUP(C557,Resources!B:D,3,FALSE)</f>
        <v>L</v>
      </c>
      <c r="F557" s="8">
        <v>3</v>
      </c>
      <c r="G557" s="22">
        <f>G556</f>
        <v>2</v>
      </c>
      <c r="H557" s="22">
        <f>H553</f>
        <v>8</v>
      </c>
      <c r="I557" s="22">
        <f>VLOOKUP(C557,Resources!B:G,6,FALSE)</f>
        <v>42</v>
      </c>
      <c r="J557" s="139">
        <f t="shared" si="626"/>
        <v>504</v>
      </c>
      <c r="K557" s="139">
        <f t="shared" si="627"/>
        <v>12</v>
      </c>
      <c r="L557" s="139">
        <f t="shared" si="628"/>
        <v>0.44444444444444442</v>
      </c>
      <c r="M557" s="139">
        <f t="shared" si="629"/>
        <v>504</v>
      </c>
      <c r="N557" s="139">
        <f t="shared" si="630"/>
        <v>0</v>
      </c>
      <c r="O557" s="139">
        <f t="shared" si="631"/>
        <v>0</v>
      </c>
      <c r="P557" s="139">
        <f t="shared" si="632"/>
        <v>0</v>
      </c>
      <c r="Q557" s="139">
        <f t="shared" si="633"/>
        <v>504</v>
      </c>
      <c r="R557" s="156">
        <v>181</v>
      </c>
    </row>
    <row r="558" spans="1:22" x14ac:dyDescent="0.35">
      <c r="A558" s="27"/>
      <c r="B558" s="92">
        <v>115</v>
      </c>
      <c r="C558" s="19" t="s">
        <v>194</v>
      </c>
      <c r="D558" s="3" t="s">
        <v>45</v>
      </c>
      <c r="E558" s="27" t="str">
        <f>VLOOKUP(C558,Resources!B:D,3,FALSE)</f>
        <v>M</v>
      </c>
      <c r="F558" s="8">
        <v>1</v>
      </c>
      <c r="G558" s="22">
        <v>1</v>
      </c>
      <c r="H558" s="22">
        <f>H553*3.5</f>
        <v>28</v>
      </c>
      <c r="I558" s="22">
        <f>VLOOKUP(C558,Resources!B:G,6,FALSE)</f>
        <v>5</v>
      </c>
      <c r="J558" s="139">
        <f t="shared" si="626"/>
        <v>140</v>
      </c>
      <c r="K558" s="139">
        <f t="shared" si="627"/>
        <v>28</v>
      </c>
      <c r="L558" s="139" t="str">
        <f t="shared" si="628"/>
        <v xml:space="preserve"> </v>
      </c>
      <c r="M558" s="139">
        <f t="shared" si="629"/>
        <v>0</v>
      </c>
      <c r="N558" s="139">
        <f t="shared" si="630"/>
        <v>140</v>
      </c>
      <c r="O558" s="139">
        <f t="shared" si="631"/>
        <v>0</v>
      </c>
      <c r="P558" s="139">
        <f t="shared" si="632"/>
        <v>0</v>
      </c>
      <c r="Q558" s="139">
        <f t="shared" si="633"/>
        <v>140</v>
      </c>
      <c r="R558" s="156">
        <v>181</v>
      </c>
    </row>
    <row r="559" spans="1:22" x14ac:dyDescent="0.35">
      <c r="A559" s="27">
        <v>79.400000000000006</v>
      </c>
      <c r="B559" s="92">
        <v>116</v>
      </c>
      <c r="C559" s="19" t="s">
        <v>47</v>
      </c>
      <c r="D559" s="3" t="s">
        <v>26</v>
      </c>
      <c r="E559" s="27" t="str">
        <f>VLOOKUP(C559,Resources!B:D,3,FALSE)</f>
        <v>P</v>
      </c>
      <c r="F559" s="8">
        <v>1</v>
      </c>
      <c r="G559" s="97">
        <f>VLOOKUP($A559,'Model Inputs'!$A:$D,4,FALSE)</f>
        <v>3</v>
      </c>
      <c r="H559" s="22">
        <f>H554</f>
        <v>24</v>
      </c>
      <c r="I559" s="22">
        <f>VLOOKUP(C559,Resources!B:G,6,FALSE)</f>
        <v>95</v>
      </c>
      <c r="J559" s="139">
        <f t="shared" si="626"/>
        <v>760</v>
      </c>
      <c r="K559" s="139">
        <f t="shared" si="627"/>
        <v>8</v>
      </c>
      <c r="L559" s="139">
        <f t="shared" si="628"/>
        <v>0.88888888888888884</v>
      </c>
      <c r="M559" s="139">
        <f t="shared" si="629"/>
        <v>0</v>
      </c>
      <c r="N559" s="139">
        <f t="shared" si="630"/>
        <v>0</v>
      </c>
      <c r="O559" s="139">
        <f t="shared" si="631"/>
        <v>760</v>
      </c>
      <c r="P559" s="139">
        <f t="shared" si="632"/>
        <v>0</v>
      </c>
      <c r="Q559" s="139">
        <f t="shared" si="633"/>
        <v>760</v>
      </c>
      <c r="R559" s="156">
        <v>181</v>
      </c>
    </row>
    <row r="560" spans="1:22" x14ac:dyDescent="0.35">
      <c r="A560" s="27"/>
      <c r="B560" s="92">
        <v>117</v>
      </c>
      <c r="C560" s="19" t="s">
        <v>8</v>
      </c>
      <c r="D560" s="3" t="s">
        <v>26</v>
      </c>
      <c r="E560" s="27" t="str">
        <f>VLOOKUP(C560,Resources!B:D,3,FALSE)</f>
        <v>L</v>
      </c>
      <c r="F560" s="8">
        <v>3</v>
      </c>
      <c r="G560" s="22">
        <f>G559</f>
        <v>3</v>
      </c>
      <c r="H560" s="22">
        <f>H554</f>
        <v>24</v>
      </c>
      <c r="I560" s="22">
        <f>VLOOKUP(C560,Resources!B:G,6,FALSE)</f>
        <v>42</v>
      </c>
      <c r="J560" s="139">
        <f t="shared" si="626"/>
        <v>1008</v>
      </c>
      <c r="K560" s="139">
        <f t="shared" si="627"/>
        <v>24</v>
      </c>
      <c r="L560" s="139">
        <f t="shared" si="628"/>
        <v>0.88888888888888884</v>
      </c>
      <c r="M560" s="139">
        <f t="shared" si="629"/>
        <v>1008</v>
      </c>
      <c r="N560" s="139">
        <f t="shared" si="630"/>
        <v>0</v>
      </c>
      <c r="O560" s="139">
        <f t="shared" si="631"/>
        <v>0</v>
      </c>
      <c r="P560" s="139">
        <f t="shared" si="632"/>
        <v>0</v>
      </c>
      <c r="Q560" s="139">
        <f t="shared" si="633"/>
        <v>1008</v>
      </c>
      <c r="R560" s="156">
        <v>181</v>
      </c>
    </row>
    <row r="561" spans="1:22" x14ac:dyDescent="0.35">
      <c r="A561" s="27"/>
      <c r="B561" s="92">
        <v>118</v>
      </c>
      <c r="C561" s="19" t="s">
        <v>83</v>
      </c>
      <c r="D561" s="3" t="s">
        <v>26</v>
      </c>
      <c r="E561" s="27" t="str">
        <f>VLOOKUP(C561,Resources!B:D,3,FALSE)</f>
        <v>P</v>
      </c>
      <c r="F561" s="8">
        <v>1</v>
      </c>
      <c r="G561" s="22">
        <f>G559</f>
        <v>3</v>
      </c>
      <c r="H561" s="22">
        <f>H554</f>
        <v>24</v>
      </c>
      <c r="I561" s="22">
        <f>VLOOKUP(C561,Resources!B:G,6,FALSE)</f>
        <v>3.5</v>
      </c>
      <c r="J561" s="139">
        <f t="shared" si="626"/>
        <v>28</v>
      </c>
      <c r="K561" s="139">
        <f t="shared" si="627"/>
        <v>8</v>
      </c>
      <c r="L561" s="139">
        <f t="shared" si="628"/>
        <v>0.88888888888888884</v>
      </c>
      <c r="M561" s="139">
        <f t="shared" si="629"/>
        <v>0</v>
      </c>
      <c r="N561" s="139">
        <f t="shared" si="630"/>
        <v>0</v>
      </c>
      <c r="O561" s="139">
        <f t="shared" si="631"/>
        <v>28</v>
      </c>
      <c r="P561" s="139">
        <f t="shared" si="632"/>
        <v>0</v>
      </c>
      <c r="Q561" s="139">
        <f t="shared" si="633"/>
        <v>28</v>
      </c>
      <c r="R561" s="156">
        <v>181</v>
      </c>
    </row>
    <row r="562" spans="1:22" x14ac:dyDescent="0.35">
      <c r="A562" s="27"/>
      <c r="B562" s="92">
        <v>119</v>
      </c>
      <c r="C562" s="19" t="s">
        <v>52</v>
      </c>
      <c r="D562" s="3" t="s">
        <v>26</v>
      </c>
      <c r="E562" s="27" t="str">
        <f>VLOOKUP(C562,Resources!B:D,3,FALSE)</f>
        <v>P</v>
      </c>
      <c r="F562" s="8">
        <v>1</v>
      </c>
      <c r="G562" s="22">
        <f>G559</f>
        <v>3</v>
      </c>
      <c r="H562" s="22">
        <f>H554</f>
        <v>24</v>
      </c>
      <c r="I562" s="22">
        <f>VLOOKUP(C562,Resources!B:G,6,FALSE)</f>
        <v>100</v>
      </c>
      <c r="J562" s="139">
        <f t="shared" si="626"/>
        <v>800</v>
      </c>
      <c r="K562" s="139">
        <f t="shared" si="627"/>
        <v>8</v>
      </c>
      <c r="L562" s="139">
        <f t="shared" si="628"/>
        <v>0.88888888888888884</v>
      </c>
      <c r="M562" s="139">
        <f t="shared" si="629"/>
        <v>0</v>
      </c>
      <c r="N562" s="139">
        <f t="shared" si="630"/>
        <v>0</v>
      </c>
      <c r="O562" s="139">
        <f t="shared" si="631"/>
        <v>800</v>
      </c>
      <c r="P562" s="139">
        <f t="shared" si="632"/>
        <v>0</v>
      </c>
      <c r="Q562" s="139">
        <f t="shared" si="633"/>
        <v>800</v>
      </c>
      <c r="R562" s="156">
        <v>181</v>
      </c>
    </row>
    <row r="563" spans="1:22" x14ac:dyDescent="0.35">
      <c r="C563" s="6" t="s">
        <v>402</v>
      </c>
      <c r="F563" s="9"/>
      <c r="G563" s="9"/>
      <c r="H563" s="9"/>
      <c r="I563" s="9"/>
    </row>
    <row r="564" spans="1:22" ht="30" x14ac:dyDescent="0.35">
      <c r="A564" s="26">
        <v>80</v>
      </c>
      <c r="B564" s="94" t="s">
        <v>195</v>
      </c>
      <c r="C564" s="1" t="s">
        <v>196</v>
      </c>
      <c r="D564" s="2" t="s">
        <v>45</v>
      </c>
      <c r="E564" s="24"/>
      <c r="F564" s="7"/>
      <c r="G564" s="7"/>
      <c r="H564" s="7">
        <v>114</v>
      </c>
      <c r="I564" s="7"/>
      <c r="J564" s="138">
        <f>SUBTOTAL(9,J568:J623)</f>
        <v>80010.833333333343</v>
      </c>
      <c r="K564" s="138"/>
      <c r="L564" s="138"/>
      <c r="M564" s="138">
        <f t="shared" ref="M564:Q564" si="634">SUBTOTAL(9,M568:M623)</f>
        <v>11613</v>
      </c>
      <c r="N564" s="138">
        <f t="shared" si="634"/>
        <v>53500</v>
      </c>
      <c r="O564" s="138">
        <f t="shared" si="634"/>
        <v>14897.833333333332</v>
      </c>
      <c r="P564" s="138">
        <f t="shared" si="634"/>
        <v>0</v>
      </c>
      <c r="Q564" s="138">
        <f t="shared" si="634"/>
        <v>80010.833333333343</v>
      </c>
      <c r="R564" s="155"/>
    </row>
    <row r="565" spans="1:22" s="90" customFormat="1" x14ac:dyDescent="0.35">
      <c r="A565" s="26">
        <v>81</v>
      </c>
      <c r="B565" s="94">
        <v>1</v>
      </c>
      <c r="C565" s="14" t="s">
        <v>180</v>
      </c>
      <c r="D565" s="15"/>
      <c r="E565" s="24"/>
      <c r="F565" s="21"/>
      <c r="G565" s="21"/>
      <c r="H565" s="21"/>
      <c r="I565" s="21"/>
      <c r="J565" s="138">
        <f>SUBTOTAL(9,J568:J575)</f>
        <v>11404.5</v>
      </c>
      <c r="K565" s="138"/>
      <c r="L565" s="138">
        <f>ROUNDUP(MAX(L569:L575),0)</f>
        <v>1</v>
      </c>
      <c r="M565" s="138">
        <f t="shared" ref="M565:Q565" si="635">SUBTOTAL(9,M568:M575)</f>
        <v>1701</v>
      </c>
      <c r="N565" s="138">
        <f t="shared" si="635"/>
        <v>7500</v>
      </c>
      <c r="O565" s="138">
        <f t="shared" si="635"/>
        <v>2203.5</v>
      </c>
      <c r="P565" s="138">
        <f t="shared" si="635"/>
        <v>0</v>
      </c>
      <c r="Q565" s="138">
        <f t="shared" si="635"/>
        <v>11404.5</v>
      </c>
      <c r="R565" s="155"/>
      <c r="T565" s="247"/>
      <c r="U565"/>
      <c r="V565" s="277"/>
    </row>
    <row r="566" spans="1:22" x14ac:dyDescent="0.35">
      <c r="A566" s="27">
        <v>81.099999999999994</v>
      </c>
      <c r="B566" s="92">
        <v>2</v>
      </c>
      <c r="C566" s="5" t="s">
        <v>703</v>
      </c>
      <c r="D566" s="16" t="s">
        <v>707</v>
      </c>
      <c r="E566" s="27"/>
      <c r="F566" s="8"/>
      <c r="G566" s="8"/>
      <c r="H566" s="97">
        <f>VLOOKUP($A566,'Model Inputs'!$A:$D,4,FALSE)</f>
        <v>15</v>
      </c>
      <c r="I566" s="8"/>
      <c r="J566" s="139"/>
      <c r="K566" s="139"/>
      <c r="L566" s="139"/>
      <c r="M566" s="139"/>
      <c r="N566" s="139"/>
      <c r="O566" s="139"/>
      <c r="P566" s="139"/>
      <c r="Q566" s="139"/>
      <c r="R566" s="156"/>
    </row>
    <row r="567" spans="1:22" x14ac:dyDescent="0.35">
      <c r="A567" s="27">
        <v>81.2</v>
      </c>
      <c r="B567" s="92">
        <v>3</v>
      </c>
      <c r="C567" s="5" t="s">
        <v>702</v>
      </c>
      <c r="D567" s="16" t="s">
        <v>690</v>
      </c>
      <c r="E567" s="27"/>
      <c r="F567" s="8"/>
      <c r="G567" s="8"/>
      <c r="H567" s="97">
        <f>VLOOKUP($A567,'Model Inputs'!$A:$D,4,FALSE)</f>
        <v>18</v>
      </c>
      <c r="I567" s="8"/>
      <c r="J567" s="139"/>
      <c r="K567" s="139"/>
      <c r="L567" s="139"/>
      <c r="M567" s="139"/>
      <c r="N567" s="139"/>
      <c r="O567" s="139"/>
      <c r="P567" s="139"/>
      <c r="Q567" s="139"/>
      <c r="R567" s="156"/>
    </row>
    <row r="568" spans="1:22" x14ac:dyDescent="0.35">
      <c r="A568" s="27"/>
      <c r="B568" s="92">
        <v>4</v>
      </c>
      <c r="C568" s="19" t="s">
        <v>196</v>
      </c>
      <c r="D568" s="3" t="s">
        <v>45</v>
      </c>
      <c r="E568" s="27" t="str">
        <f>VLOOKUP(C568,Resources!B:D,3,FALSE)</f>
        <v>M</v>
      </c>
      <c r="F568" s="8">
        <v>1</v>
      </c>
      <c r="G568" s="8">
        <v>1</v>
      </c>
      <c r="H568" s="8">
        <f>H566*1.2</f>
        <v>18</v>
      </c>
      <c r="I568" s="22">
        <f>VLOOKUP(C568,Resources!B:G,6,FALSE)</f>
        <v>400</v>
      </c>
      <c r="J568" s="139">
        <f t="shared" ref="J568:J575" si="636">(H568/(G568/F568))*I568</f>
        <v>7200</v>
      </c>
      <c r="K568" s="139">
        <f t="shared" ref="K568:K575" si="637">IF(E568="M",H568,(H568/(G568)*F568))</f>
        <v>18</v>
      </c>
      <c r="L568" s="139" t="str">
        <f t="shared" ref="L568:L575" si="638">IF(E568="M"," ",K568/F568/Workhrs)</f>
        <v xml:space="preserve"> </v>
      </c>
      <c r="M568" s="139">
        <f t="shared" ref="M568:M575" si="639">IF($E568="L",$J568,0)</f>
        <v>0</v>
      </c>
      <c r="N568" s="139">
        <f t="shared" ref="N568:N575" si="640">IF($E568="M",$J568,0)</f>
        <v>7200</v>
      </c>
      <c r="O568" s="139">
        <f t="shared" ref="O568:O575" si="641">IF($E568="P",$J568,0)</f>
        <v>0</v>
      </c>
      <c r="P568" s="139">
        <f t="shared" ref="P568:P575" si="642">IF($E568="S",$J568,0)</f>
        <v>0</v>
      </c>
      <c r="Q568" s="139">
        <f t="shared" ref="Q568:Q575" si="643">SUM(M568:P568)</f>
        <v>7200</v>
      </c>
      <c r="R568" s="156" t="s">
        <v>698</v>
      </c>
    </row>
    <row r="569" spans="1:22" x14ac:dyDescent="0.35">
      <c r="A569" s="27">
        <v>81.3</v>
      </c>
      <c r="B569" s="92">
        <v>5</v>
      </c>
      <c r="C569" s="19" t="s">
        <v>50</v>
      </c>
      <c r="D569" s="3" t="s">
        <v>26</v>
      </c>
      <c r="E569" s="27" t="str">
        <f>VLOOKUP(C569,Resources!B:D,3,FALSE)</f>
        <v>P</v>
      </c>
      <c r="F569" s="8">
        <v>1</v>
      </c>
      <c r="G569" s="97">
        <f>VLOOKUP($A569,'Model Inputs'!$A:$D,4,FALSE)</f>
        <v>2</v>
      </c>
      <c r="H569" s="8">
        <f>H566</f>
        <v>15</v>
      </c>
      <c r="I569" s="22">
        <f>VLOOKUP(C569,Resources!B:G,6,FALSE)</f>
        <v>135</v>
      </c>
      <c r="J569" s="139">
        <f t="shared" si="636"/>
        <v>1012.5</v>
      </c>
      <c r="K569" s="139">
        <f t="shared" si="637"/>
        <v>7.5</v>
      </c>
      <c r="L569" s="139">
        <f t="shared" si="638"/>
        <v>0.83333333333333337</v>
      </c>
      <c r="M569" s="139">
        <f t="shared" si="639"/>
        <v>0</v>
      </c>
      <c r="N569" s="139">
        <f t="shared" si="640"/>
        <v>0</v>
      </c>
      <c r="O569" s="139">
        <f t="shared" si="641"/>
        <v>1012.5</v>
      </c>
      <c r="P569" s="139">
        <f t="shared" si="642"/>
        <v>0</v>
      </c>
      <c r="Q569" s="139">
        <f t="shared" si="643"/>
        <v>1012.5</v>
      </c>
      <c r="R569" s="156">
        <v>181</v>
      </c>
    </row>
    <row r="570" spans="1:22" x14ac:dyDescent="0.35">
      <c r="A570" s="27"/>
      <c r="B570" s="92">
        <v>6</v>
      </c>
      <c r="C570" s="19" t="s">
        <v>8</v>
      </c>
      <c r="D570" s="3" t="s">
        <v>26</v>
      </c>
      <c r="E570" s="27" t="str">
        <f>VLOOKUP(C570,Resources!B:D,3,FALSE)</f>
        <v>L</v>
      </c>
      <c r="F570" s="8">
        <v>3</v>
      </c>
      <c r="G570" s="8">
        <f>G569</f>
        <v>2</v>
      </c>
      <c r="H570" s="8">
        <f>H566</f>
        <v>15</v>
      </c>
      <c r="I570" s="22">
        <f>VLOOKUP(C570,Resources!B:G,6,FALSE)</f>
        <v>42</v>
      </c>
      <c r="J570" s="139">
        <f t="shared" si="636"/>
        <v>945</v>
      </c>
      <c r="K570" s="139">
        <f t="shared" si="637"/>
        <v>22.5</v>
      </c>
      <c r="L570" s="139">
        <f t="shared" si="638"/>
        <v>0.83333333333333337</v>
      </c>
      <c r="M570" s="139">
        <f t="shared" si="639"/>
        <v>945</v>
      </c>
      <c r="N570" s="139">
        <f t="shared" si="640"/>
        <v>0</v>
      </c>
      <c r="O570" s="139">
        <f t="shared" si="641"/>
        <v>0</v>
      </c>
      <c r="P570" s="139">
        <f t="shared" si="642"/>
        <v>0</v>
      </c>
      <c r="Q570" s="139">
        <f t="shared" si="643"/>
        <v>945</v>
      </c>
      <c r="R570" s="156">
        <v>181</v>
      </c>
    </row>
    <row r="571" spans="1:22" x14ac:dyDescent="0.35">
      <c r="A571" s="27"/>
      <c r="B571" s="92">
        <v>7</v>
      </c>
      <c r="C571" s="19" t="s">
        <v>194</v>
      </c>
      <c r="D571" s="3" t="s">
        <v>45</v>
      </c>
      <c r="E571" s="27" t="str">
        <f>VLOOKUP(C571,Resources!B:D,3,FALSE)</f>
        <v>M</v>
      </c>
      <c r="F571" s="8">
        <v>1</v>
      </c>
      <c r="G571" s="8">
        <v>1</v>
      </c>
      <c r="H571" s="8">
        <f>H566*4</f>
        <v>60</v>
      </c>
      <c r="I571" s="22">
        <f>VLOOKUP(C571,Resources!B:G,6,FALSE)</f>
        <v>5</v>
      </c>
      <c r="J571" s="139">
        <f t="shared" si="636"/>
        <v>300</v>
      </c>
      <c r="K571" s="139">
        <f t="shared" si="637"/>
        <v>60</v>
      </c>
      <c r="L571" s="139" t="str">
        <f t="shared" si="638"/>
        <v xml:space="preserve"> </v>
      </c>
      <c r="M571" s="139">
        <f t="shared" si="639"/>
        <v>0</v>
      </c>
      <c r="N571" s="139">
        <f t="shared" si="640"/>
        <v>300</v>
      </c>
      <c r="O571" s="139">
        <f t="shared" si="641"/>
        <v>0</v>
      </c>
      <c r="P571" s="139">
        <f t="shared" si="642"/>
        <v>0</v>
      </c>
      <c r="Q571" s="139">
        <f t="shared" si="643"/>
        <v>300</v>
      </c>
      <c r="R571" s="156">
        <v>181</v>
      </c>
    </row>
    <row r="572" spans="1:22" x14ac:dyDescent="0.35">
      <c r="A572" s="27">
        <v>81.400000000000006</v>
      </c>
      <c r="B572" s="92">
        <v>8</v>
      </c>
      <c r="C572" s="19" t="s">
        <v>47</v>
      </c>
      <c r="D572" s="3" t="s">
        <v>26</v>
      </c>
      <c r="E572" s="27" t="str">
        <f>VLOOKUP(C572,Resources!B:D,3,FALSE)</f>
        <v>P</v>
      </c>
      <c r="F572" s="8">
        <v>1</v>
      </c>
      <c r="G572" s="97">
        <f>VLOOKUP($A572,'Model Inputs'!$A:$D,4,FALSE)</f>
        <v>3</v>
      </c>
      <c r="H572" s="8">
        <f>H567</f>
        <v>18</v>
      </c>
      <c r="I572" s="22">
        <f>VLOOKUP(C572,Resources!B:G,6,FALSE)</f>
        <v>95</v>
      </c>
      <c r="J572" s="139">
        <f t="shared" si="636"/>
        <v>570</v>
      </c>
      <c r="K572" s="139">
        <f t="shared" si="637"/>
        <v>6</v>
      </c>
      <c r="L572" s="139">
        <f t="shared" si="638"/>
        <v>0.66666666666666663</v>
      </c>
      <c r="M572" s="139">
        <f t="shared" si="639"/>
        <v>0</v>
      </c>
      <c r="N572" s="139">
        <f t="shared" si="640"/>
        <v>0</v>
      </c>
      <c r="O572" s="139">
        <f t="shared" si="641"/>
        <v>570</v>
      </c>
      <c r="P572" s="139">
        <f t="shared" si="642"/>
        <v>0</v>
      </c>
      <c r="Q572" s="139">
        <f t="shared" si="643"/>
        <v>570</v>
      </c>
      <c r="R572" s="156">
        <v>181</v>
      </c>
    </row>
    <row r="573" spans="1:22" x14ac:dyDescent="0.35">
      <c r="A573" s="27"/>
      <c r="B573" s="92">
        <v>9</v>
      </c>
      <c r="C573" s="19" t="s">
        <v>8</v>
      </c>
      <c r="D573" s="3" t="s">
        <v>26</v>
      </c>
      <c r="E573" s="27" t="str">
        <f>VLOOKUP(C573,Resources!B:D,3,FALSE)</f>
        <v>L</v>
      </c>
      <c r="F573" s="8">
        <v>3</v>
      </c>
      <c r="G573" s="8">
        <f>G572</f>
        <v>3</v>
      </c>
      <c r="H573" s="8">
        <f>H567</f>
        <v>18</v>
      </c>
      <c r="I573" s="22">
        <f>VLOOKUP(C573,Resources!B:G,6,FALSE)</f>
        <v>42</v>
      </c>
      <c r="J573" s="139">
        <f t="shared" si="636"/>
        <v>756</v>
      </c>
      <c r="K573" s="139">
        <f t="shared" si="637"/>
        <v>18</v>
      </c>
      <c r="L573" s="139">
        <f t="shared" si="638"/>
        <v>0.66666666666666663</v>
      </c>
      <c r="M573" s="139">
        <f t="shared" si="639"/>
        <v>756</v>
      </c>
      <c r="N573" s="139">
        <f t="shared" si="640"/>
        <v>0</v>
      </c>
      <c r="O573" s="139">
        <f t="shared" si="641"/>
        <v>0</v>
      </c>
      <c r="P573" s="139">
        <f t="shared" si="642"/>
        <v>0</v>
      </c>
      <c r="Q573" s="139">
        <f t="shared" si="643"/>
        <v>756</v>
      </c>
      <c r="R573" s="156">
        <v>181</v>
      </c>
    </row>
    <row r="574" spans="1:22" x14ac:dyDescent="0.35">
      <c r="A574" s="27"/>
      <c r="B574" s="92">
        <v>10</v>
      </c>
      <c r="C574" s="19" t="s">
        <v>83</v>
      </c>
      <c r="D574" s="3" t="s">
        <v>26</v>
      </c>
      <c r="E574" s="27" t="str">
        <f>VLOOKUP(C574,Resources!B:D,3,FALSE)</f>
        <v>P</v>
      </c>
      <c r="F574" s="8">
        <v>1</v>
      </c>
      <c r="G574" s="8">
        <f>G572</f>
        <v>3</v>
      </c>
      <c r="H574" s="8">
        <f>H567</f>
        <v>18</v>
      </c>
      <c r="I574" s="22">
        <f>VLOOKUP(C574,Resources!B:G,6,FALSE)</f>
        <v>3.5</v>
      </c>
      <c r="J574" s="139">
        <f t="shared" si="636"/>
        <v>21</v>
      </c>
      <c r="K574" s="139">
        <f t="shared" si="637"/>
        <v>6</v>
      </c>
      <c r="L574" s="139">
        <f t="shared" si="638"/>
        <v>0.66666666666666663</v>
      </c>
      <c r="M574" s="139">
        <f t="shared" si="639"/>
        <v>0</v>
      </c>
      <c r="N574" s="139">
        <f t="shared" si="640"/>
        <v>0</v>
      </c>
      <c r="O574" s="139">
        <f t="shared" si="641"/>
        <v>21</v>
      </c>
      <c r="P574" s="139">
        <f t="shared" si="642"/>
        <v>0</v>
      </c>
      <c r="Q574" s="139">
        <f t="shared" si="643"/>
        <v>21</v>
      </c>
      <c r="R574" s="156">
        <v>181</v>
      </c>
    </row>
    <row r="575" spans="1:22" x14ac:dyDescent="0.35">
      <c r="A575" s="27"/>
      <c r="B575" s="92">
        <v>11</v>
      </c>
      <c r="C575" s="19" t="s">
        <v>52</v>
      </c>
      <c r="D575" s="3" t="s">
        <v>26</v>
      </c>
      <c r="E575" s="27" t="str">
        <f>VLOOKUP(C575,Resources!B:D,3,FALSE)</f>
        <v>P</v>
      </c>
      <c r="F575" s="8">
        <v>1</v>
      </c>
      <c r="G575" s="8">
        <f>G572</f>
        <v>3</v>
      </c>
      <c r="H575" s="8">
        <f>H567</f>
        <v>18</v>
      </c>
      <c r="I575" s="22">
        <f>VLOOKUP(C575,Resources!B:G,6,FALSE)</f>
        <v>100</v>
      </c>
      <c r="J575" s="139">
        <f t="shared" si="636"/>
        <v>600</v>
      </c>
      <c r="K575" s="139">
        <f t="shared" si="637"/>
        <v>6</v>
      </c>
      <c r="L575" s="139">
        <f t="shared" si="638"/>
        <v>0.66666666666666663</v>
      </c>
      <c r="M575" s="139">
        <f t="shared" si="639"/>
        <v>0</v>
      </c>
      <c r="N575" s="139">
        <f t="shared" si="640"/>
        <v>0</v>
      </c>
      <c r="O575" s="139">
        <f t="shared" si="641"/>
        <v>600</v>
      </c>
      <c r="P575" s="139">
        <f t="shared" si="642"/>
        <v>0</v>
      </c>
      <c r="Q575" s="139">
        <f t="shared" si="643"/>
        <v>600</v>
      </c>
      <c r="R575" s="156">
        <v>181</v>
      </c>
    </row>
    <row r="576" spans="1:22" x14ac:dyDescent="0.35">
      <c r="B576" s="95">
        <v>14</v>
      </c>
      <c r="C576" s="6" t="s">
        <v>402</v>
      </c>
      <c r="F576" s="9"/>
      <c r="G576" s="9"/>
      <c r="H576" s="9"/>
      <c r="I576" s="9"/>
    </row>
    <row r="577" spans="1:22" s="90" customFormat="1" x14ac:dyDescent="0.35">
      <c r="A577" s="26">
        <v>82</v>
      </c>
      <c r="B577" s="94">
        <v>15</v>
      </c>
      <c r="C577" s="14" t="s">
        <v>181</v>
      </c>
      <c r="D577" s="15"/>
      <c r="E577" s="24"/>
      <c r="F577" s="21"/>
      <c r="G577" s="21"/>
      <c r="H577" s="21"/>
      <c r="I577" s="21"/>
      <c r="J577" s="138">
        <f>SUBTOTAL(9,J580:J587)</f>
        <v>8252</v>
      </c>
      <c r="K577" s="138"/>
      <c r="L577" s="138">
        <f>ROUNDUP(MAX(L581:L587),0)</f>
        <v>1</v>
      </c>
      <c r="M577" s="138">
        <f t="shared" ref="M577:Q577" si="644">SUBTOTAL(9,M580:M587)</f>
        <v>1386</v>
      </c>
      <c r="N577" s="138">
        <f t="shared" si="644"/>
        <v>5000</v>
      </c>
      <c r="O577" s="138">
        <f t="shared" si="644"/>
        <v>1866</v>
      </c>
      <c r="P577" s="138">
        <f t="shared" si="644"/>
        <v>0</v>
      </c>
      <c r="Q577" s="138">
        <f t="shared" si="644"/>
        <v>8252</v>
      </c>
      <c r="R577" s="155"/>
      <c r="T577" s="247"/>
      <c r="U577"/>
      <c r="V577" s="277"/>
    </row>
    <row r="578" spans="1:22" x14ac:dyDescent="0.35">
      <c r="A578" s="27">
        <v>82.1</v>
      </c>
      <c r="B578" s="92">
        <v>16</v>
      </c>
      <c r="C578" s="5" t="s">
        <v>703</v>
      </c>
      <c r="D578" s="16" t="s">
        <v>707</v>
      </c>
      <c r="E578" s="27"/>
      <c r="F578" s="8"/>
      <c r="G578" s="8"/>
      <c r="H578" s="97">
        <f>VLOOKUP($A578,'Model Inputs'!$A:$D,4,FALSE)</f>
        <v>10</v>
      </c>
      <c r="I578" s="8"/>
      <c r="J578" s="139"/>
      <c r="K578" s="139"/>
      <c r="L578" s="139"/>
      <c r="M578" s="139"/>
      <c r="N578" s="139"/>
      <c r="O578" s="139"/>
      <c r="P578" s="139"/>
      <c r="Q578" s="139"/>
      <c r="R578" s="156"/>
    </row>
    <row r="579" spans="1:22" x14ac:dyDescent="0.35">
      <c r="A579" s="27">
        <v>82.2</v>
      </c>
      <c r="B579" s="92">
        <v>17</v>
      </c>
      <c r="C579" s="5" t="s">
        <v>702</v>
      </c>
      <c r="D579" s="16" t="s">
        <v>690</v>
      </c>
      <c r="E579" s="27"/>
      <c r="F579" s="8"/>
      <c r="G579" s="8"/>
      <c r="H579" s="97">
        <f>VLOOKUP($A579,'Model Inputs'!$A:$D,4,FALSE)</f>
        <v>18</v>
      </c>
      <c r="I579" s="8"/>
      <c r="J579" s="139"/>
      <c r="K579" s="139"/>
      <c r="L579" s="139"/>
      <c r="M579" s="139"/>
      <c r="N579" s="139"/>
      <c r="O579" s="139"/>
      <c r="P579" s="139"/>
      <c r="Q579" s="139"/>
      <c r="R579" s="156"/>
    </row>
    <row r="580" spans="1:22" x14ac:dyDescent="0.35">
      <c r="A580" s="27"/>
      <c r="B580" s="92">
        <v>18</v>
      </c>
      <c r="C580" s="19" t="s">
        <v>196</v>
      </c>
      <c r="D580" s="3" t="s">
        <v>45</v>
      </c>
      <c r="E580" s="27" t="str">
        <f>VLOOKUP(C580,Resources!B:D,3,FALSE)</f>
        <v>M</v>
      </c>
      <c r="F580" s="8">
        <v>1</v>
      </c>
      <c r="G580" s="22">
        <v>1</v>
      </c>
      <c r="H580" s="22">
        <f>H578*1.2</f>
        <v>12</v>
      </c>
      <c r="I580" s="22">
        <f>VLOOKUP(C580,Resources!B:G,6,FALSE)</f>
        <v>400</v>
      </c>
      <c r="J580" s="139">
        <f t="shared" ref="J580:J587" si="645">(H580/(G580/F580))*I580</f>
        <v>4800</v>
      </c>
      <c r="K580" s="139">
        <f t="shared" ref="K580:K587" si="646">IF(E580="M",H580,(H580/(G580)*F580))</f>
        <v>12</v>
      </c>
      <c r="L580" s="139" t="str">
        <f t="shared" ref="L580:L587" si="647">IF(E580="M"," ",K580/F580/Workhrs)</f>
        <v xml:space="preserve"> </v>
      </c>
      <c r="M580" s="139">
        <f t="shared" ref="M580:M587" si="648">IF($E580="L",$J580,0)</f>
        <v>0</v>
      </c>
      <c r="N580" s="139">
        <f t="shared" ref="N580:N587" si="649">IF($E580="M",$J580,0)</f>
        <v>4800</v>
      </c>
      <c r="O580" s="139">
        <f t="shared" ref="O580:O587" si="650">IF($E580="P",$J580,0)</f>
        <v>0</v>
      </c>
      <c r="P580" s="139">
        <f t="shared" ref="P580:P587" si="651">IF($E580="S",$J580,0)</f>
        <v>0</v>
      </c>
      <c r="Q580" s="139">
        <f t="shared" ref="Q580:Q587" si="652">SUM(M580:P580)</f>
        <v>4800</v>
      </c>
      <c r="R580" s="156" t="s">
        <v>698</v>
      </c>
    </row>
    <row r="581" spans="1:22" x14ac:dyDescent="0.35">
      <c r="A581" s="27">
        <v>82.3</v>
      </c>
      <c r="B581" s="92">
        <v>19</v>
      </c>
      <c r="C581" s="19" t="s">
        <v>50</v>
      </c>
      <c r="D581" s="3" t="s">
        <v>26</v>
      </c>
      <c r="E581" s="27" t="str">
        <f>VLOOKUP(C581,Resources!B:D,3,FALSE)</f>
        <v>P</v>
      </c>
      <c r="F581" s="8">
        <v>1</v>
      </c>
      <c r="G581" s="97">
        <f>VLOOKUP($A581,'Model Inputs'!$A:$D,4,FALSE)</f>
        <v>2</v>
      </c>
      <c r="H581" s="22">
        <f>H578</f>
        <v>10</v>
      </c>
      <c r="I581" s="22">
        <f>VLOOKUP(C581,Resources!B:G,6,FALSE)</f>
        <v>135</v>
      </c>
      <c r="J581" s="139">
        <f t="shared" si="645"/>
        <v>675</v>
      </c>
      <c r="K581" s="139">
        <f t="shared" si="646"/>
        <v>5</v>
      </c>
      <c r="L581" s="139">
        <f t="shared" si="647"/>
        <v>0.55555555555555558</v>
      </c>
      <c r="M581" s="139">
        <f t="shared" si="648"/>
        <v>0</v>
      </c>
      <c r="N581" s="139">
        <f t="shared" si="649"/>
        <v>0</v>
      </c>
      <c r="O581" s="139">
        <f t="shared" si="650"/>
        <v>675</v>
      </c>
      <c r="P581" s="139">
        <f t="shared" si="651"/>
        <v>0</v>
      </c>
      <c r="Q581" s="139">
        <f t="shared" si="652"/>
        <v>675</v>
      </c>
      <c r="R581" s="156">
        <v>181</v>
      </c>
    </row>
    <row r="582" spans="1:22" x14ac:dyDescent="0.35">
      <c r="A582" s="27"/>
      <c r="B582" s="92">
        <v>20</v>
      </c>
      <c r="C582" s="19" t="s">
        <v>8</v>
      </c>
      <c r="D582" s="3" t="s">
        <v>26</v>
      </c>
      <c r="E582" s="27" t="str">
        <f>VLOOKUP(C582,Resources!B:D,3,FALSE)</f>
        <v>L</v>
      </c>
      <c r="F582" s="8">
        <v>3</v>
      </c>
      <c r="G582" s="22">
        <f>G581</f>
        <v>2</v>
      </c>
      <c r="H582" s="22">
        <f>H578</f>
        <v>10</v>
      </c>
      <c r="I582" s="22">
        <f>VLOOKUP(C582,Resources!B:G,6,FALSE)</f>
        <v>42</v>
      </c>
      <c r="J582" s="139">
        <f t="shared" si="645"/>
        <v>630</v>
      </c>
      <c r="K582" s="139">
        <f t="shared" si="646"/>
        <v>15</v>
      </c>
      <c r="L582" s="139">
        <f t="shared" si="647"/>
        <v>0.55555555555555558</v>
      </c>
      <c r="M582" s="139">
        <f t="shared" si="648"/>
        <v>630</v>
      </c>
      <c r="N582" s="139">
        <f t="shared" si="649"/>
        <v>0</v>
      </c>
      <c r="O582" s="139">
        <f t="shared" si="650"/>
        <v>0</v>
      </c>
      <c r="P582" s="139">
        <f t="shared" si="651"/>
        <v>0</v>
      </c>
      <c r="Q582" s="139">
        <f t="shared" si="652"/>
        <v>630</v>
      </c>
      <c r="R582" s="156">
        <v>181</v>
      </c>
    </row>
    <row r="583" spans="1:22" x14ac:dyDescent="0.35">
      <c r="A583" s="27"/>
      <c r="B583" s="92">
        <v>21</v>
      </c>
      <c r="C583" s="19" t="s">
        <v>194</v>
      </c>
      <c r="D583" s="3" t="s">
        <v>45</v>
      </c>
      <c r="E583" s="27" t="str">
        <f>VLOOKUP(C583,Resources!B:D,3,FALSE)</f>
        <v>M</v>
      </c>
      <c r="F583" s="8">
        <v>1</v>
      </c>
      <c r="G583" s="22">
        <v>1</v>
      </c>
      <c r="H583" s="22">
        <f>H578*4</f>
        <v>40</v>
      </c>
      <c r="I583" s="22">
        <f>VLOOKUP(C583,Resources!B:G,6,FALSE)</f>
        <v>5</v>
      </c>
      <c r="J583" s="139">
        <f t="shared" si="645"/>
        <v>200</v>
      </c>
      <c r="K583" s="139">
        <f t="shared" si="646"/>
        <v>40</v>
      </c>
      <c r="L583" s="139" t="str">
        <f t="shared" si="647"/>
        <v xml:space="preserve"> </v>
      </c>
      <c r="M583" s="139">
        <f t="shared" si="648"/>
        <v>0</v>
      </c>
      <c r="N583" s="139">
        <f t="shared" si="649"/>
        <v>200</v>
      </c>
      <c r="O583" s="139">
        <f t="shared" si="650"/>
        <v>0</v>
      </c>
      <c r="P583" s="139">
        <f t="shared" si="651"/>
        <v>0</v>
      </c>
      <c r="Q583" s="139">
        <f t="shared" si="652"/>
        <v>200</v>
      </c>
      <c r="R583" s="156">
        <v>181</v>
      </c>
    </row>
    <row r="584" spans="1:22" x14ac:dyDescent="0.35">
      <c r="A584" s="27">
        <v>82.4</v>
      </c>
      <c r="B584" s="92">
        <v>22</v>
      </c>
      <c r="C584" s="19" t="s">
        <v>47</v>
      </c>
      <c r="D584" s="3" t="s">
        <v>26</v>
      </c>
      <c r="E584" s="27" t="str">
        <f>VLOOKUP(C584,Resources!B:D,3,FALSE)</f>
        <v>P</v>
      </c>
      <c r="F584" s="8">
        <v>1</v>
      </c>
      <c r="G584" s="97">
        <f>VLOOKUP($A584,'Model Inputs'!$A:$D,4,FALSE)</f>
        <v>3</v>
      </c>
      <c r="H584" s="22">
        <f>H579</f>
        <v>18</v>
      </c>
      <c r="I584" s="22">
        <f>VLOOKUP(C584,Resources!B:G,6,FALSE)</f>
        <v>95</v>
      </c>
      <c r="J584" s="139">
        <f t="shared" si="645"/>
        <v>570</v>
      </c>
      <c r="K584" s="139">
        <f t="shared" si="646"/>
        <v>6</v>
      </c>
      <c r="L584" s="139">
        <f t="shared" si="647"/>
        <v>0.66666666666666663</v>
      </c>
      <c r="M584" s="139">
        <f t="shared" si="648"/>
        <v>0</v>
      </c>
      <c r="N584" s="139">
        <f t="shared" si="649"/>
        <v>0</v>
      </c>
      <c r="O584" s="139">
        <f t="shared" si="650"/>
        <v>570</v>
      </c>
      <c r="P584" s="139">
        <f t="shared" si="651"/>
        <v>0</v>
      </c>
      <c r="Q584" s="139">
        <f t="shared" si="652"/>
        <v>570</v>
      </c>
      <c r="R584" s="156">
        <v>181</v>
      </c>
    </row>
    <row r="585" spans="1:22" x14ac:dyDescent="0.35">
      <c r="A585" s="27"/>
      <c r="B585" s="92">
        <v>23</v>
      </c>
      <c r="C585" s="19" t="s">
        <v>8</v>
      </c>
      <c r="D585" s="3" t="s">
        <v>26</v>
      </c>
      <c r="E585" s="27" t="str">
        <f>VLOOKUP(C585,Resources!B:D,3,FALSE)</f>
        <v>L</v>
      </c>
      <c r="F585" s="8">
        <v>3</v>
      </c>
      <c r="G585" s="22">
        <f>G584</f>
        <v>3</v>
      </c>
      <c r="H585" s="22">
        <f>H579</f>
        <v>18</v>
      </c>
      <c r="I585" s="22">
        <f>VLOOKUP(C585,Resources!B:G,6,FALSE)</f>
        <v>42</v>
      </c>
      <c r="J585" s="139">
        <f t="shared" si="645"/>
        <v>756</v>
      </c>
      <c r="K585" s="139">
        <f t="shared" si="646"/>
        <v>18</v>
      </c>
      <c r="L585" s="139">
        <f t="shared" si="647"/>
        <v>0.66666666666666663</v>
      </c>
      <c r="M585" s="139">
        <f t="shared" si="648"/>
        <v>756</v>
      </c>
      <c r="N585" s="139">
        <f t="shared" si="649"/>
        <v>0</v>
      </c>
      <c r="O585" s="139">
        <f t="shared" si="650"/>
        <v>0</v>
      </c>
      <c r="P585" s="139">
        <f t="shared" si="651"/>
        <v>0</v>
      </c>
      <c r="Q585" s="139">
        <f t="shared" si="652"/>
        <v>756</v>
      </c>
      <c r="R585" s="156">
        <v>181</v>
      </c>
    </row>
    <row r="586" spans="1:22" x14ac:dyDescent="0.35">
      <c r="A586" s="27"/>
      <c r="B586" s="92">
        <v>24</v>
      </c>
      <c r="C586" s="19" t="s">
        <v>83</v>
      </c>
      <c r="D586" s="3" t="s">
        <v>26</v>
      </c>
      <c r="E586" s="27" t="str">
        <f>VLOOKUP(C586,Resources!B:D,3,FALSE)</f>
        <v>P</v>
      </c>
      <c r="F586" s="8">
        <v>1</v>
      </c>
      <c r="G586" s="22">
        <f>G584</f>
        <v>3</v>
      </c>
      <c r="H586" s="22">
        <f>H579</f>
        <v>18</v>
      </c>
      <c r="I586" s="22">
        <f>VLOOKUP(C586,Resources!B:G,6,FALSE)</f>
        <v>3.5</v>
      </c>
      <c r="J586" s="139">
        <f t="shared" si="645"/>
        <v>21</v>
      </c>
      <c r="K586" s="139">
        <f t="shared" si="646"/>
        <v>6</v>
      </c>
      <c r="L586" s="139">
        <f t="shared" si="647"/>
        <v>0.66666666666666663</v>
      </c>
      <c r="M586" s="139">
        <f t="shared" si="648"/>
        <v>0</v>
      </c>
      <c r="N586" s="139">
        <f t="shared" si="649"/>
        <v>0</v>
      </c>
      <c r="O586" s="139">
        <f t="shared" si="650"/>
        <v>21</v>
      </c>
      <c r="P586" s="139">
        <f t="shared" si="651"/>
        <v>0</v>
      </c>
      <c r="Q586" s="139">
        <f t="shared" si="652"/>
        <v>21</v>
      </c>
      <c r="R586" s="156">
        <v>181</v>
      </c>
    </row>
    <row r="587" spans="1:22" x14ac:dyDescent="0.35">
      <c r="A587" s="27"/>
      <c r="B587" s="92">
        <v>25</v>
      </c>
      <c r="C587" s="19" t="s">
        <v>52</v>
      </c>
      <c r="D587" s="3" t="s">
        <v>26</v>
      </c>
      <c r="E587" s="27" t="str">
        <f>VLOOKUP(C587,Resources!B:D,3,FALSE)</f>
        <v>P</v>
      </c>
      <c r="F587" s="8">
        <v>1</v>
      </c>
      <c r="G587" s="22">
        <f>G584</f>
        <v>3</v>
      </c>
      <c r="H587" s="22">
        <f>H579</f>
        <v>18</v>
      </c>
      <c r="I587" s="22">
        <f>VLOOKUP(C587,Resources!B:G,6,FALSE)</f>
        <v>100</v>
      </c>
      <c r="J587" s="139">
        <f t="shared" si="645"/>
        <v>600</v>
      </c>
      <c r="K587" s="139">
        <f t="shared" si="646"/>
        <v>6</v>
      </c>
      <c r="L587" s="139">
        <f t="shared" si="647"/>
        <v>0.66666666666666663</v>
      </c>
      <c r="M587" s="139">
        <f t="shared" si="648"/>
        <v>0</v>
      </c>
      <c r="N587" s="139">
        <f t="shared" si="649"/>
        <v>0</v>
      </c>
      <c r="O587" s="139">
        <f t="shared" si="650"/>
        <v>600</v>
      </c>
      <c r="P587" s="139">
        <f t="shared" si="651"/>
        <v>0</v>
      </c>
      <c r="Q587" s="139">
        <f t="shared" si="652"/>
        <v>600</v>
      </c>
      <c r="R587" s="156">
        <v>181</v>
      </c>
    </row>
    <row r="588" spans="1:22" x14ac:dyDescent="0.35">
      <c r="B588" s="95">
        <v>28</v>
      </c>
      <c r="C588" s="6" t="s">
        <v>402</v>
      </c>
      <c r="F588" s="9"/>
      <c r="G588" s="9"/>
      <c r="H588" s="9"/>
      <c r="I588" s="9"/>
    </row>
    <row r="589" spans="1:22" s="90" customFormat="1" x14ac:dyDescent="0.35">
      <c r="A589" s="26">
        <v>83</v>
      </c>
      <c r="B589" s="94">
        <v>29</v>
      </c>
      <c r="C589" s="14" t="s">
        <v>186</v>
      </c>
      <c r="D589" s="15"/>
      <c r="E589" s="24"/>
      <c r="F589" s="21"/>
      <c r="G589" s="21"/>
      <c r="H589" s="21"/>
      <c r="I589" s="21"/>
      <c r="J589" s="138">
        <f>SUBTOTAL(9,J592:J599)</f>
        <v>26159.333333333332</v>
      </c>
      <c r="K589" s="138"/>
      <c r="L589" s="138">
        <f>ROUNDUP(MAX(L593:L599),0)</f>
        <v>2</v>
      </c>
      <c r="M589" s="138">
        <f t="shared" ref="M589:Q589" si="653">SUBTOTAL(9,M592:M599)</f>
        <v>3612</v>
      </c>
      <c r="N589" s="138">
        <f t="shared" si="653"/>
        <v>18000</v>
      </c>
      <c r="O589" s="138">
        <f t="shared" si="653"/>
        <v>4547.333333333333</v>
      </c>
      <c r="P589" s="138">
        <f t="shared" si="653"/>
        <v>0</v>
      </c>
      <c r="Q589" s="138">
        <f t="shared" si="653"/>
        <v>26159.333333333332</v>
      </c>
      <c r="R589" s="155"/>
      <c r="T589" s="247"/>
      <c r="U589"/>
      <c r="V589" s="277"/>
    </row>
    <row r="590" spans="1:22" x14ac:dyDescent="0.35">
      <c r="A590" s="27">
        <v>83.1</v>
      </c>
      <c r="B590" s="92">
        <v>30</v>
      </c>
      <c r="C590" s="5" t="s">
        <v>703</v>
      </c>
      <c r="D590" s="16" t="s">
        <v>707</v>
      </c>
      <c r="E590" s="27"/>
      <c r="F590" s="8"/>
      <c r="G590" s="8"/>
      <c r="H590" s="97">
        <f>VLOOKUP($A590,'Model Inputs'!$A:$D,4,FALSE)</f>
        <v>36</v>
      </c>
      <c r="I590" s="8"/>
      <c r="J590" s="139"/>
      <c r="K590" s="139"/>
      <c r="L590" s="139"/>
      <c r="M590" s="139"/>
      <c r="N590" s="139"/>
      <c r="O590" s="139"/>
      <c r="P590" s="139"/>
      <c r="Q590" s="139"/>
      <c r="R590" s="156"/>
    </row>
    <row r="591" spans="1:22" x14ac:dyDescent="0.35">
      <c r="A591" s="27">
        <v>83.2</v>
      </c>
      <c r="B591" s="92">
        <v>31</v>
      </c>
      <c r="C591" s="5" t="s">
        <v>702</v>
      </c>
      <c r="D591" s="16" t="s">
        <v>690</v>
      </c>
      <c r="E591" s="27"/>
      <c r="F591" s="8"/>
      <c r="G591" s="8"/>
      <c r="H591" s="97">
        <f>VLOOKUP($A591,'Model Inputs'!$A:$D,4,FALSE)</f>
        <v>32</v>
      </c>
      <c r="I591" s="8"/>
      <c r="J591" s="139"/>
      <c r="K591" s="139"/>
      <c r="L591" s="139"/>
      <c r="M591" s="139"/>
      <c r="N591" s="139"/>
      <c r="O591" s="139"/>
      <c r="P591" s="139"/>
      <c r="Q591" s="139"/>
      <c r="R591" s="156"/>
    </row>
    <row r="592" spans="1:22" x14ac:dyDescent="0.35">
      <c r="A592" s="27"/>
      <c r="B592" s="92">
        <v>32</v>
      </c>
      <c r="C592" s="19" t="s">
        <v>196</v>
      </c>
      <c r="D592" s="3" t="s">
        <v>45</v>
      </c>
      <c r="E592" s="27" t="str">
        <f>VLOOKUP(C592,Resources!B:D,3,FALSE)</f>
        <v>M</v>
      </c>
      <c r="F592" s="8">
        <v>1</v>
      </c>
      <c r="G592" s="22">
        <v>1</v>
      </c>
      <c r="H592" s="22">
        <f>H590*1.2</f>
        <v>43.199999999999996</v>
      </c>
      <c r="I592" s="22">
        <f>VLOOKUP(C592,Resources!B:G,6,FALSE)</f>
        <v>400</v>
      </c>
      <c r="J592" s="139">
        <f t="shared" ref="J592:J599" si="654">(H592/(G592/F592))*I592</f>
        <v>17280</v>
      </c>
      <c r="K592" s="139">
        <f t="shared" ref="K592:K599" si="655">IF(E592="M",H592,(H592/(G592)*F592))</f>
        <v>43.199999999999996</v>
      </c>
      <c r="L592" s="139" t="str">
        <f t="shared" ref="L592:L599" si="656">IF(E592="M"," ",K592/F592/Workhrs)</f>
        <v xml:space="preserve"> </v>
      </c>
      <c r="M592" s="139">
        <f t="shared" ref="M592:M599" si="657">IF($E592="L",$J592,0)</f>
        <v>0</v>
      </c>
      <c r="N592" s="139">
        <f t="shared" ref="N592:N599" si="658">IF($E592="M",$J592,0)</f>
        <v>17280</v>
      </c>
      <c r="O592" s="139">
        <f t="shared" ref="O592:O599" si="659">IF($E592="P",$J592,0)</f>
        <v>0</v>
      </c>
      <c r="P592" s="139">
        <f t="shared" ref="P592:P599" si="660">IF($E592="S",$J592,0)</f>
        <v>0</v>
      </c>
      <c r="Q592" s="139">
        <f t="shared" ref="Q592:Q599" si="661">SUM(M592:P592)</f>
        <v>17280</v>
      </c>
      <c r="R592" s="156" t="s">
        <v>698</v>
      </c>
    </row>
    <row r="593" spans="1:22" x14ac:dyDescent="0.35">
      <c r="A593" s="27">
        <v>83.3</v>
      </c>
      <c r="B593" s="92">
        <v>33</v>
      </c>
      <c r="C593" s="19" t="s">
        <v>50</v>
      </c>
      <c r="D593" s="3" t="s">
        <v>26</v>
      </c>
      <c r="E593" s="27" t="str">
        <f>VLOOKUP(C593,Resources!B:D,3,FALSE)</f>
        <v>P</v>
      </c>
      <c r="F593" s="8">
        <v>1</v>
      </c>
      <c r="G593" s="97">
        <f>VLOOKUP($A593,'Model Inputs'!$A:$D,4,FALSE)</f>
        <v>2</v>
      </c>
      <c r="H593" s="22">
        <f>H590</f>
        <v>36</v>
      </c>
      <c r="I593" s="22">
        <f>VLOOKUP(C593,Resources!B:G,6,FALSE)</f>
        <v>135</v>
      </c>
      <c r="J593" s="139">
        <f t="shared" si="654"/>
        <v>2430</v>
      </c>
      <c r="K593" s="139">
        <f t="shared" si="655"/>
        <v>18</v>
      </c>
      <c r="L593" s="139">
        <f t="shared" si="656"/>
        <v>2</v>
      </c>
      <c r="M593" s="139">
        <f t="shared" si="657"/>
        <v>0</v>
      </c>
      <c r="N593" s="139">
        <f t="shared" si="658"/>
        <v>0</v>
      </c>
      <c r="O593" s="139">
        <f t="shared" si="659"/>
        <v>2430</v>
      </c>
      <c r="P593" s="139">
        <f t="shared" si="660"/>
        <v>0</v>
      </c>
      <c r="Q593" s="139">
        <f t="shared" si="661"/>
        <v>2430</v>
      </c>
      <c r="R593" s="156">
        <v>181</v>
      </c>
    </row>
    <row r="594" spans="1:22" x14ac:dyDescent="0.35">
      <c r="A594" s="27"/>
      <c r="B594" s="92">
        <v>34</v>
      </c>
      <c r="C594" s="19" t="s">
        <v>8</v>
      </c>
      <c r="D594" s="3" t="s">
        <v>26</v>
      </c>
      <c r="E594" s="27" t="str">
        <f>VLOOKUP(C594,Resources!B:D,3,FALSE)</f>
        <v>L</v>
      </c>
      <c r="F594" s="8">
        <v>3</v>
      </c>
      <c r="G594" s="22">
        <f>G593</f>
        <v>2</v>
      </c>
      <c r="H594" s="22">
        <f>H590</f>
        <v>36</v>
      </c>
      <c r="I594" s="22">
        <f>VLOOKUP(C594,Resources!B:G,6,FALSE)</f>
        <v>42</v>
      </c>
      <c r="J594" s="139">
        <f t="shared" si="654"/>
        <v>2268</v>
      </c>
      <c r="K594" s="139">
        <f t="shared" si="655"/>
        <v>54</v>
      </c>
      <c r="L594" s="139">
        <f t="shared" si="656"/>
        <v>2</v>
      </c>
      <c r="M594" s="139">
        <f t="shared" si="657"/>
        <v>2268</v>
      </c>
      <c r="N594" s="139">
        <f t="shared" si="658"/>
        <v>0</v>
      </c>
      <c r="O594" s="139">
        <f t="shared" si="659"/>
        <v>0</v>
      </c>
      <c r="P594" s="139">
        <f t="shared" si="660"/>
        <v>0</v>
      </c>
      <c r="Q594" s="139">
        <f t="shared" si="661"/>
        <v>2268</v>
      </c>
      <c r="R594" s="156">
        <v>181</v>
      </c>
    </row>
    <row r="595" spans="1:22" x14ac:dyDescent="0.35">
      <c r="A595" s="27"/>
      <c r="B595" s="92">
        <v>35</v>
      </c>
      <c r="C595" s="19" t="s">
        <v>194</v>
      </c>
      <c r="D595" s="3" t="s">
        <v>45</v>
      </c>
      <c r="E595" s="27" t="str">
        <f>VLOOKUP(C595,Resources!B:D,3,FALSE)</f>
        <v>M</v>
      </c>
      <c r="F595" s="8">
        <v>1</v>
      </c>
      <c r="G595" s="22">
        <v>1</v>
      </c>
      <c r="H595" s="22">
        <f>H590*4</f>
        <v>144</v>
      </c>
      <c r="I595" s="22">
        <f>VLOOKUP(C595,Resources!B:G,6,FALSE)</f>
        <v>5</v>
      </c>
      <c r="J595" s="139">
        <f t="shared" si="654"/>
        <v>720</v>
      </c>
      <c r="K595" s="139">
        <f t="shared" si="655"/>
        <v>144</v>
      </c>
      <c r="L595" s="139" t="str">
        <f t="shared" si="656"/>
        <v xml:space="preserve"> </v>
      </c>
      <c r="M595" s="139">
        <f t="shared" si="657"/>
        <v>0</v>
      </c>
      <c r="N595" s="139">
        <f t="shared" si="658"/>
        <v>720</v>
      </c>
      <c r="O595" s="139">
        <f t="shared" si="659"/>
        <v>0</v>
      </c>
      <c r="P595" s="139">
        <f t="shared" si="660"/>
        <v>0</v>
      </c>
      <c r="Q595" s="139">
        <f t="shared" si="661"/>
        <v>720</v>
      </c>
      <c r="R595" s="156">
        <v>181</v>
      </c>
    </row>
    <row r="596" spans="1:22" x14ac:dyDescent="0.35">
      <c r="A596" s="27">
        <v>83.4</v>
      </c>
      <c r="B596" s="92">
        <v>36</v>
      </c>
      <c r="C596" s="19" t="s">
        <v>47</v>
      </c>
      <c r="D596" s="3" t="s">
        <v>26</v>
      </c>
      <c r="E596" s="27" t="str">
        <f>VLOOKUP(C596,Resources!B:D,3,FALSE)</f>
        <v>P</v>
      </c>
      <c r="F596" s="8">
        <v>1</v>
      </c>
      <c r="G596" s="97">
        <f>VLOOKUP($A596,'Model Inputs'!$A:$D,4,FALSE)</f>
        <v>3</v>
      </c>
      <c r="H596" s="22">
        <f>H591</f>
        <v>32</v>
      </c>
      <c r="I596" s="22">
        <f>VLOOKUP(C596,Resources!B:G,6,FALSE)</f>
        <v>95</v>
      </c>
      <c r="J596" s="139">
        <f t="shared" si="654"/>
        <v>1013.3333333333333</v>
      </c>
      <c r="K596" s="139">
        <f t="shared" si="655"/>
        <v>10.666666666666666</v>
      </c>
      <c r="L596" s="139">
        <f t="shared" si="656"/>
        <v>1.1851851851851851</v>
      </c>
      <c r="M596" s="139">
        <f t="shared" si="657"/>
        <v>0</v>
      </c>
      <c r="N596" s="139">
        <f t="shared" si="658"/>
        <v>0</v>
      </c>
      <c r="O596" s="139">
        <f t="shared" si="659"/>
        <v>1013.3333333333333</v>
      </c>
      <c r="P596" s="139">
        <f t="shared" si="660"/>
        <v>0</v>
      </c>
      <c r="Q596" s="139">
        <f t="shared" si="661"/>
        <v>1013.3333333333333</v>
      </c>
      <c r="R596" s="156">
        <v>181</v>
      </c>
    </row>
    <row r="597" spans="1:22" x14ac:dyDescent="0.35">
      <c r="A597" s="27"/>
      <c r="B597" s="92">
        <v>37</v>
      </c>
      <c r="C597" s="19" t="s">
        <v>8</v>
      </c>
      <c r="D597" s="3" t="s">
        <v>26</v>
      </c>
      <c r="E597" s="27" t="str">
        <f>VLOOKUP(C597,Resources!B:D,3,FALSE)</f>
        <v>L</v>
      </c>
      <c r="F597" s="8">
        <v>3</v>
      </c>
      <c r="G597" s="22">
        <f>G596</f>
        <v>3</v>
      </c>
      <c r="H597" s="22">
        <f>H591</f>
        <v>32</v>
      </c>
      <c r="I597" s="22">
        <f>VLOOKUP(C597,Resources!B:G,6,FALSE)</f>
        <v>42</v>
      </c>
      <c r="J597" s="139">
        <f t="shared" si="654"/>
        <v>1344</v>
      </c>
      <c r="K597" s="139">
        <f t="shared" si="655"/>
        <v>32</v>
      </c>
      <c r="L597" s="139">
        <f t="shared" si="656"/>
        <v>1.1851851851851851</v>
      </c>
      <c r="M597" s="139">
        <f t="shared" si="657"/>
        <v>1344</v>
      </c>
      <c r="N597" s="139">
        <f t="shared" si="658"/>
        <v>0</v>
      </c>
      <c r="O597" s="139">
        <f t="shared" si="659"/>
        <v>0</v>
      </c>
      <c r="P597" s="139">
        <f t="shared" si="660"/>
        <v>0</v>
      </c>
      <c r="Q597" s="139">
        <f t="shared" si="661"/>
        <v>1344</v>
      </c>
      <c r="R597" s="156">
        <v>181</v>
      </c>
    </row>
    <row r="598" spans="1:22" x14ac:dyDescent="0.35">
      <c r="A598" s="27"/>
      <c r="B598" s="92">
        <v>38</v>
      </c>
      <c r="C598" s="19" t="s">
        <v>83</v>
      </c>
      <c r="D598" s="3" t="s">
        <v>26</v>
      </c>
      <c r="E598" s="27" t="str">
        <f>VLOOKUP(C598,Resources!B:D,3,FALSE)</f>
        <v>P</v>
      </c>
      <c r="F598" s="8">
        <v>1</v>
      </c>
      <c r="G598" s="22">
        <f>G596</f>
        <v>3</v>
      </c>
      <c r="H598" s="22">
        <f>H591</f>
        <v>32</v>
      </c>
      <c r="I598" s="22">
        <f>VLOOKUP(C598,Resources!B:G,6,FALSE)</f>
        <v>3.5</v>
      </c>
      <c r="J598" s="139">
        <f t="shared" si="654"/>
        <v>37.333333333333329</v>
      </c>
      <c r="K598" s="139">
        <f t="shared" si="655"/>
        <v>10.666666666666666</v>
      </c>
      <c r="L598" s="139">
        <f t="shared" si="656"/>
        <v>1.1851851851851851</v>
      </c>
      <c r="M598" s="139">
        <f t="shared" si="657"/>
        <v>0</v>
      </c>
      <c r="N598" s="139">
        <f t="shared" si="658"/>
        <v>0</v>
      </c>
      <c r="O598" s="139">
        <f t="shared" si="659"/>
        <v>37.333333333333329</v>
      </c>
      <c r="P598" s="139">
        <f t="shared" si="660"/>
        <v>0</v>
      </c>
      <c r="Q598" s="139">
        <f t="shared" si="661"/>
        <v>37.333333333333329</v>
      </c>
      <c r="R598" s="156">
        <v>181</v>
      </c>
    </row>
    <row r="599" spans="1:22" x14ac:dyDescent="0.35">
      <c r="A599" s="27"/>
      <c r="B599" s="92">
        <v>39</v>
      </c>
      <c r="C599" s="19" t="s">
        <v>52</v>
      </c>
      <c r="D599" s="3" t="s">
        <v>26</v>
      </c>
      <c r="E599" s="27" t="str">
        <f>VLOOKUP(C599,Resources!B:D,3,FALSE)</f>
        <v>P</v>
      </c>
      <c r="F599" s="8">
        <v>1</v>
      </c>
      <c r="G599" s="22">
        <f>G596</f>
        <v>3</v>
      </c>
      <c r="H599" s="22">
        <f>H591</f>
        <v>32</v>
      </c>
      <c r="I599" s="22">
        <f>VLOOKUP(C599,Resources!B:G,6,FALSE)</f>
        <v>100</v>
      </c>
      <c r="J599" s="139">
        <f t="shared" si="654"/>
        <v>1066.6666666666665</v>
      </c>
      <c r="K599" s="139">
        <f t="shared" si="655"/>
        <v>10.666666666666666</v>
      </c>
      <c r="L599" s="139">
        <f t="shared" si="656"/>
        <v>1.1851851851851851</v>
      </c>
      <c r="M599" s="139">
        <f t="shared" si="657"/>
        <v>0</v>
      </c>
      <c r="N599" s="139">
        <f t="shared" si="658"/>
        <v>0</v>
      </c>
      <c r="O599" s="139">
        <f t="shared" si="659"/>
        <v>1066.6666666666665</v>
      </c>
      <c r="P599" s="139">
        <f t="shared" si="660"/>
        <v>0</v>
      </c>
      <c r="Q599" s="139">
        <f t="shared" si="661"/>
        <v>1066.6666666666665</v>
      </c>
      <c r="R599" s="156">
        <v>181</v>
      </c>
    </row>
    <row r="600" spans="1:22" x14ac:dyDescent="0.35">
      <c r="B600" s="95">
        <v>42</v>
      </c>
      <c r="C600" s="6" t="s">
        <v>402</v>
      </c>
      <c r="F600" s="9"/>
      <c r="G600" s="9"/>
      <c r="H600" s="9"/>
      <c r="I600" s="9"/>
    </row>
    <row r="601" spans="1:22" s="90" customFormat="1" x14ac:dyDescent="0.35">
      <c r="A601" s="26">
        <v>84</v>
      </c>
      <c r="B601" s="94">
        <v>43</v>
      </c>
      <c r="C601" s="14" t="s">
        <v>188</v>
      </c>
      <c r="D601" s="15"/>
      <c r="E601" s="24"/>
      <c r="F601" s="21"/>
      <c r="G601" s="21"/>
      <c r="H601" s="21"/>
      <c r="I601" s="21"/>
      <c r="J601" s="138">
        <f>SUBTOTAL(9,J604:J611)</f>
        <v>8252</v>
      </c>
      <c r="K601" s="138"/>
      <c r="L601" s="138">
        <f>ROUNDUP(MAX(L605:L611),0)</f>
        <v>1</v>
      </c>
      <c r="M601" s="138">
        <f t="shared" ref="M601:Q601" si="662">SUBTOTAL(9,M604:M611)</f>
        <v>1386</v>
      </c>
      <c r="N601" s="138">
        <f t="shared" si="662"/>
        <v>5000</v>
      </c>
      <c r="O601" s="138">
        <f t="shared" si="662"/>
        <v>1866</v>
      </c>
      <c r="P601" s="138">
        <f t="shared" si="662"/>
        <v>0</v>
      </c>
      <c r="Q601" s="138">
        <f t="shared" si="662"/>
        <v>8252</v>
      </c>
      <c r="R601" s="155"/>
      <c r="T601" s="247"/>
      <c r="U601"/>
      <c r="V601" s="277"/>
    </row>
    <row r="602" spans="1:22" x14ac:dyDescent="0.35">
      <c r="A602" s="27">
        <v>84.1</v>
      </c>
      <c r="B602" s="92">
        <v>44</v>
      </c>
      <c r="C602" s="5" t="s">
        <v>703</v>
      </c>
      <c r="D602" s="16" t="s">
        <v>707</v>
      </c>
      <c r="E602" s="27"/>
      <c r="F602" s="8"/>
      <c r="G602" s="8"/>
      <c r="H602" s="97">
        <f>VLOOKUP($A602,'Model Inputs'!$A:$D,4,FALSE)</f>
        <v>10</v>
      </c>
      <c r="I602" s="8"/>
      <c r="J602" s="139"/>
      <c r="K602" s="139"/>
      <c r="L602" s="139"/>
      <c r="M602" s="139"/>
      <c r="N602" s="139"/>
      <c r="O602" s="139"/>
      <c r="P602" s="139"/>
      <c r="Q602" s="139"/>
      <c r="R602" s="156"/>
    </row>
    <row r="603" spans="1:22" x14ac:dyDescent="0.35">
      <c r="A603" s="27">
        <v>84.2</v>
      </c>
      <c r="B603" s="92">
        <v>45</v>
      </c>
      <c r="C603" s="5" t="s">
        <v>702</v>
      </c>
      <c r="D603" s="16" t="s">
        <v>690</v>
      </c>
      <c r="E603" s="27"/>
      <c r="F603" s="8"/>
      <c r="G603" s="8"/>
      <c r="H603" s="97">
        <f>VLOOKUP($A603,'Model Inputs'!$A:$D,4,FALSE)</f>
        <v>18</v>
      </c>
      <c r="I603" s="8"/>
      <c r="J603" s="139"/>
      <c r="K603" s="139"/>
      <c r="L603" s="139"/>
      <c r="M603" s="139"/>
      <c r="N603" s="139"/>
      <c r="O603" s="139"/>
      <c r="P603" s="139"/>
      <c r="Q603" s="139"/>
      <c r="R603" s="156"/>
    </row>
    <row r="604" spans="1:22" x14ac:dyDescent="0.35">
      <c r="A604" s="27"/>
      <c r="B604" s="92">
        <v>46</v>
      </c>
      <c r="C604" s="19" t="s">
        <v>196</v>
      </c>
      <c r="D604" s="3" t="s">
        <v>45</v>
      </c>
      <c r="E604" s="27" t="str">
        <f>VLOOKUP(C604,Resources!B:D,3,FALSE)</f>
        <v>M</v>
      </c>
      <c r="F604" s="8">
        <v>1</v>
      </c>
      <c r="G604" s="22">
        <v>1</v>
      </c>
      <c r="H604" s="22">
        <f>H602*1.2</f>
        <v>12</v>
      </c>
      <c r="I604" s="22">
        <f>VLOOKUP(C604,Resources!B:G,6,FALSE)</f>
        <v>400</v>
      </c>
      <c r="J604" s="139">
        <f t="shared" ref="J604:J611" si="663">(H604/(G604/F604))*I604</f>
        <v>4800</v>
      </c>
      <c r="K604" s="139">
        <f t="shared" ref="K604:K611" si="664">IF(E604="M",H604,(H604/(G604)*F604))</f>
        <v>12</v>
      </c>
      <c r="L604" s="139" t="str">
        <f t="shared" ref="L604:L611" si="665">IF(E604="M"," ",K604/F604/Workhrs)</f>
        <v xml:space="preserve"> </v>
      </c>
      <c r="M604" s="139">
        <f t="shared" ref="M604:M611" si="666">IF($E604="L",$J604,0)</f>
        <v>0</v>
      </c>
      <c r="N604" s="139">
        <f t="shared" ref="N604:N611" si="667">IF($E604="M",$J604,0)</f>
        <v>4800</v>
      </c>
      <c r="O604" s="139">
        <f t="shared" ref="O604:O611" si="668">IF($E604="P",$J604,0)</f>
        <v>0</v>
      </c>
      <c r="P604" s="139">
        <f t="shared" ref="P604:P611" si="669">IF($E604="S",$J604,0)</f>
        <v>0</v>
      </c>
      <c r="Q604" s="139">
        <f t="shared" ref="Q604:Q611" si="670">SUM(M604:P604)</f>
        <v>4800</v>
      </c>
      <c r="R604" s="156" t="s">
        <v>698</v>
      </c>
    </row>
    <row r="605" spans="1:22" x14ac:dyDescent="0.35">
      <c r="A605" s="27">
        <v>84.3</v>
      </c>
      <c r="B605" s="92">
        <v>47</v>
      </c>
      <c r="C605" s="19" t="s">
        <v>50</v>
      </c>
      <c r="D605" s="3" t="s">
        <v>26</v>
      </c>
      <c r="E605" s="27" t="str">
        <f>VLOOKUP(C605,Resources!B:D,3,FALSE)</f>
        <v>P</v>
      </c>
      <c r="F605" s="8">
        <v>1</v>
      </c>
      <c r="G605" s="97">
        <f>VLOOKUP($A605,'Model Inputs'!$A:$D,4,FALSE)</f>
        <v>2</v>
      </c>
      <c r="H605" s="22">
        <f>H602</f>
        <v>10</v>
      </c>
      <c r="I605" s="22">
        <f>VLOOKUP(C605,Resources!B:G,6,FALSE)</f>
        <v>135</v>
      </c>
      <c r="J605" s="139">
        <f t="shared" si="663"/>
        <v>675</v>
      </c>
      <c r="K605" s="139">
        <f t="shared" si="664"/>
        <v>5</v>
      </c>
      <c r="L605" s="139">
        <f t="shared" si="665"/>
        <v>0.55555555555555558</v>
      </c>
      <c r="M605" s="139">
        <f t="shared" si="666"/>
        <v>0</v>
      </c>
      <c r="N605" s="139">
        <f t="shared" si="667"/>
        <v>0</v>
      </c>
      <c r="O605" s="139">
        <f t="shared" si="668"/>
        <v>675</v>
      </c>
      <c r="P605" s="139">
        <f t="shared" si="669"/>
        <v>0</v>
      </c>
      <c r="Q605" s="139">
        <f t="shared" si="670"/>
        <v>675</v>
      </c>
      <c r="R605" s="156">
        <v>181</v>
      </c>
    </row>
    <row r="606" spans="1:22" x14ac:dyDescent="0.35">
      <c r="A606" s="27"/>
      <c r="B606" s="92">
        <v>48</v>
      </c>
      <c r="C606" s="19" t="s">
        <v>8</v>
      </c>
      <c r="D606" s="3" t="s">
        <v>26</v>
      </c>
      <c r="E606" s="27" t="str">
        <f>VLOOKUP(C606,Resources!B:D,3,FALSE)</f>
        <v>L</v>
      </c>
      <c r="F606" s="8">
        <v>3</v>
      </c>
      <c r="G606" s="22">
        <f>G605</f>
        <v>2</v>
      </c>
      <c r="H606" s="22">
        <f>H602</f>
        <v>10</v>
      </c>
      <c r="I606" s="22">
        <f>VLOOKUP(C606,Resources!B:G,6,FALSE)</f>
        <v>42</v>
      </c>
      <c r="J606" s="139">
        <f t="shared" si="663"/>
        <v>630</v>
      </c>
      <c r="K606" s="139">
        <f t="shared" si="664"/>
        <v>15</v>
      </c>
      <c r="L606" s="139">
        <f t="shared" si="665"/>
        <v>0.55555555555555558</v>
      </c>
      <c r="M606" s="139">
        <f t="shared" si="666"/>
        <v>630</v>
      </c>
      <c r="N606" s="139">
        <f t="shared" si="667"/>
        <v>0</v>
      </c>
      <c r="O606" s="139">
        <f t="shared" si="668"/>
        <v>0</v>
      </c>
      <c r="P606" s="139">
        <f t="shared" si="669"/>
        <v>0</v>
      </c>
      <c r="Q606" s="139">
        <f t="shared" si="670"/>
        <v>630</v>
      </c>
      <c r="R606" s="156">
        <v>181</v>
      </c>
    </row>
    <row r="607" spans="1:22" x14ac:dyDescent="0.35">
      <c r="A607" s="27"/>
      <c r="B607" s="92">
        <v>49</v>
      </c>
      <c r="C607" s="19" t="s">
        <v>194</v>
      </c>
      <c r="D607" s="3" t="s">
        <v>45</v>
      </c>
      <c r="E607" s="27" t="str">
        <f>VLOOKUP(C607,Resources!B:D,3,FALSE)</f>
        <v>M</v>
      </c>
      <c r="F607" s="8">
        <v>1</v>
      </c>
      <c r="G607" s="22">
        <v>1</v>
      </c>
      <c r="H607" s="22">
        <f>H602*4</f>
        <v>40</v>
      </c>
      <c r="I607" s="22">
        <f>VLOOKUP(C607,Resources!B:G,6,FALSE)</f>
        <v>5</v>
      </c>
      <c r="J607" s="139">
        <f t="shared" si="663"/>
        <v>200</v>
      </c>
      <c r="K607" s="139">
        <f t="shared" si="664"/>
        <v>40</v>
      </c>
      <c r="L607" s="139" t="str">
        <f t="shared" si="665"/>
        <v xml:space="preserve"> </v>
      </c>
      <c r="M607" s="139">
        <f t="shared" si="666"/>
        <v>0</v>
      </c>
      <c r="N607" s="139">
        <f t="shared" si="667"/>
        <v>200</v>
      </c>
      <c r="O607" s="139">
        <f t="shared" si="668"/>
        <v>0</v>
      </c>
      <c r="P607" s="139">
        <f t="shared" si="669"/>
        <v>0</v>
      </c>
      <c r="Q607" s="139">
        <f t="shared" si="670"/>
        <v>200</v>
      </c>
      <c r="R607" s="156">
        <v>181</v>
      </c>
    </row>
    <row r="608" spans="1:22" x14ac:dyDescent="0.35">
      <c r="A608" s="27">
        <v>84.4</v>
      </c>
      <c r="B608" s="92">
        <v>50</v>
      </c>
      <c r="C608" s="19" t="s">
        <v>47</v>
      </c>
      <c r="D608" s="3" t="s">
        <v>26</v>
      </c>
      <c r="E608" s="27" t="str">
        <f>VLOOKUP(C608,Resources!B:D,3,FALSE)</f>
        <v>P</v>
      </c>
      <c r="F608" s="8">
        <v>1</v>
      </c>
      <c r="G608" s="97">
        <f>VLOOKUP($A608,'Model Inputs'!$A:$D,4,FALSE)</f>
        <v>3</v>
      </c>
      <c r="H608" s="22">
        <f>H603</f>
        <v>18</v>
      </c>
      <c r="I608" s="22">
        <f>VLOOKUP(C608,Resources!B:G,6,FALSE)</f>
        <v>95</v>
      </c>
      <c r="J608" s="139">
        <f t="shared" si="663"/>
        <v>570</v>
      </c>
      <c r="K608" s="139">
        <f t="shared" si="664"/>
        <v>6</v>
      </c>
      <c r="L608" s="139">
        <f t="shared" si="665"/>
        <v>0.66666666666666663</v>
      </c>
      <c r="M608" s="139">
        <f t="shared" si="666"/>
        <v>0</v>
      </c>
      <c r="N608" s="139">
        <f t="shared" si="667"/>
        <v>0</v>
      </c>
      <c r="O608" s="139">
        <f t="shared" si="668"/>
        <v>570</v>
      </c>
      <c r="P608" s="139">
        <f t="shared" si="669"/>
        <v>0</v>
      </c>
      <c r="Q608" s="139">
        <f t="shared" si="670"/>
        <v>570</v>
      </c>
      <c r="R608" s="156">
        <v>181</v>
      </c>
    </row>
    <row r="609" spans="1:22" x14ac:dyDescent="0.35">
      <c r="A609" s="27"/>
      <c r="B609" s="92">
        <v>51</v>
      </c>
      <c r="C609" s="19" t="s">
        <v>8</v>
      </c>
      <c r="D609" s="3" t="s">
        <v>26</v>
      </c>
      <c r="E609" s="27" t="str">
        <f>VLOOKUP(C609,Resources!B:D,3,FALSE)</f>
        <v>L</v>
      </c>
      <c r="F609" s="8">
        <v>3</v>
      </c>
      <c r="G609" s="22">
        <f>G608</f>
        <v>3</v>
      </c>
      <c r="H609" s="22">
        <f>H603</f>
        <v>18</v>
      </c>
      <c r="I609" s="22">
        <f>VLOOKUP(C609,Resources!B:G,6,FALSE)</f>
        <v>42</v>
      </c>
      <c r="J609" s="139">
        <f t="shared" si="663"/>
        <v>756</v>
      </c>
      <c r="K609" s="139">
        <f t="shared" si="664"/>
        <v>18</v>
      </c>
      <c r="L609" s="139">
        <f t="shared" si="665"/>
        <v>0.66666666666666663</v>
      </c>
      <c r="M609" s="139">
        <f t="shared" si="666"/>
        <v>756</v>
      </c>
      <c r="N609" s="139">
        <f t="shared" si="667"/>
        <v>0</v>
      </c>
      <c r="O609" s="139">
        <f t="shared" si="668"/>
        <v>0</v>
      </c>
      <c r="P609" s="139">
        <f t="shared" si="669"/>
        <v>0</v>
      </c>
      <c r="Q609" s="139">
        <f t="shared" si="670"/>
        <v>756</v>
      </c>
      <c r="R609" s="156">
        <v>181</v>
      </c>
    </row>
    <row r="610" spans="1:22" x14ac:dyDescent="0.35">
      <c r="A610" s="27"/>
      <c r="B610" s="92">
        <v>52</v>
      </c>
      <c r="C610" s="19" t="s">
        <v>83</v>
      </c>
      <c r="D610" s="3" t="s">
        <v>26</v>
      </c>
      <c r="E610" s="27" t="str">
        <f>VLOOKUP(C610,Resources!B:D,3,FALSE)</f>
        <v>P</v>
      </c>
      <c r="F610" s="8">
        <v>1</v>
      </c>
      <c r="G610" s="22">
        <f>G608</f>
        <v>3</v>
      </c>
      <c r="H610" s="22">
        <f>H603</f>
        <v>18</v>
      </c>
      <c r="I610" s="22">
        <f>VLOOKUP(C610,Resources!B:G,6,FALSE)</f>
        <v>3.5</v>
      </c>
      <c r="J610" s="139">
        <f t="shared" si="663"/>
        <v>21</v>
      </c>
      <c r="K610" s="139">
        <f t="shared" si="664"/>
        <v>6</v>
      </c>
      <c r="L610" s="139">
        <f t="shared" si="665"/>
        <v>0.66666666666666663</v>
      </c>
      <c r="M610" s="139">
        <f t="shared" si="666"/>
        <v>0</v>
      </c>
      <c r="N610" s="139">
        <f t="shared" si="667"/>
        <v>0</v>
      </c>
      <c r="O610" s="139">
        <f t="shared" si="668"/>
        <v>21</v>
      </c>
      <c r="P610" s="139">
        <f t="shared" si="669"/>
        <v>0</v>
      </c>
      <c r="Q610" s="139">
        <f t="shared" si="670"/>
        <v>21</v>
      </c>
      <c r="R610" s="156">
        <v>181</v>
      </c>
    </row>
    <row r="611" spans="1:22" x14ac:dyDescent="0.35">
      <c r="A611" s="27"/>
      <c r="B611" s="92">
        <v>53</v>
      </c>
      <c r="C611" s="19" t="s">
        <v>52</v>
      </c>
      <c r="D611" s="3" t="s">
        <v>26</v>
      </c>
      <c r="E611" s="27" t="str">
        <f>VLOOKUP(C611,Resources!B:D,3,FALSE)</f>
        <v>P</v>
      </c>
      <c r="F611" s="8">
        <v>1</v>
      </c>
      <c r="G611" s="22">
        <f>G608</f>
        <v>3</v>
      </c>
      <c r="H611" s="22">
        <f>H603</f>
        <v>18</v>
      </c>
      <c r="I611" s="22">
        <f>VLOOKUP(C611,Resources!B:G,6,FALSE)</f>
        <v>100</v>
      </c>
      <c r="J611" s="139">
        <f t="shared" si="663"/>
        <v>600</v>
      </c>
      <c r="K611" s="139">
        <f t="shared" si="664"/>
        <v>6</v>
      </c>
      <c r="L611" s="139">
        <f t="shared" si="665"/>
        <v>0.66666666666666663</v>
      </c>
      <c r="M611" s="139">
        <f t="shared" si="666"/>
        <v>0</v>
      </c>
      <c r="N611" s="139">
        <f t="shared" si="667"/>
        <v>0</v>
      </c>
      <c r="O611" s="139">
        <f t="shared" si="668"/>
        <v>600</v>
      </c>
      <c r="P611" s="139">
        <f t="shared" si="669"/>
        <v>0</v>
      </c>
      <c r="Q611" s="139">
        <f t="shared" si="670"/>
        <v>600</v>
      </c>
      <c r="R611" s="156">
        <v>181</v>
      </c>
    </row>
    <row r="612" spans="1:22" x14ac:dyDescent="0.35">
      <c r="B612" s="95">
        <v>56</v>
      </c>
      <c r="C612" s="6" t="s">
        <v>402</v>
      </c>
      <c r="F612" s="9"/>
      <c r="G612" s="9"/>
      <c r="H612" s="9"/>
      <c r="I612" s="9"/>
    </row>
    <row r="613" spans="1:22" s="90" customFormat="1" x14ac:dyDescent="0.35">
      <c r="A613" s="26">
        <v>85</v>
      </c>
      <c r="B613" s="94">
        <v>57</v>
      </c>
      <c r="C613" s="14" t="s">
        <v>189</v>
      </c>
      <c r="D613" s="15"/>
      <c r="E613" s="24"/>
      <c r="F613" s="21"/>
      <c r="G613" s="21"/>
      <c r="H613" s="21"/>
      <c r="I613" s="21"/>
      <c r="J613" s="138">
        <f>SUBTOTAL(9,J616:J623)</f>
        <v>25943</v>
      </c>
      <c r="K613" s="138"/>
      <c r="L613" s="138">
        <f>ROUNDUP(MAX(L617:L623),0)</f>
        <v>2</v>
      </c>
      <c r="M613" s="138">
        <f t="shared" ref="M613:Q613" si="671">SUBTOTAL(9,M616:M623)</f>
        <v>3528</v>
      </c>
      <c r="N613" s="138">
        <f t="shared" si="671"/>
        <v>18000</v>
      </c>
      <c r="O613" s="138">
        <f t="shared" si="671"/>
        <v>4415</v>
      </c>
      <c r="P613" s="138">
        <f t="shared" si="671"/>
        <v>0</v>
      </c>
      <c r="Q613" s="138">
        <f t="shared" si="671"/>
        <v>25943</v>
      </c>
      <c r="R613" s="155"/>
      <c r="T613" s="247"/>
      <c r="U613"/>
      <c r="V613" s="277"/>
    </row>
    <row r="614" spans="1:22" x14ac:dyDescent="0.35">
      <c r="A614" s="27">
        <v>85.1</v>
      </c>
      <c r="B614" s="92">
        <v>58</v>
      </c>
      <c r="C614" s="5" t="s">
        <v>703</v>
      </c>
      <c r="D614" s="3" t="s">
        <v>707</v>
      </c>
      <c r="E614" s="27"/>
      <c r="F614" s="8"/>
      <c r="G614" s="8"/>
      <c r="H614" s="97">
        <f>VLOOKUP($A614,'Model Inputs'!$A:$D,4,FALSE)</f>
        <v>36</v>
      </c>
      <c r="I614" s="8"/>
      <c r="J614" s="139"/>
      <c r="K614" s="139"/>
      <c r="L614" s="139"/>
      <c r="M614" s="139"/>
      <c r="N614" s="139"/>
      <c r="O614" s="139"/>
      <c r="P614" s="139"/>
      <c r="Q614" s="139"/>
      <c r="R614" s="156"/>
    </row>
    <row r="615" spans="1:22" x14ac:dyDescent="0.35">
      <c r="A615" s="27">
        <v>85.2</v>
      </c>
      <c r="B615" s="92">
        <v>59</v>
      </c>
      <c r="C615" s="5" t="s">
        <v>702</v>
      </c>
      <c r="D615" s="3" t="s">
        <v>690</v>
      </c>
      <c r="E615" s="27"/>
      <c r="F615" s="8"/>
      <c r="G615" s="8"/>
      <c r="H615" s="97">
        <f>VLOOKUP($A615,'Model Inputs'!$A:$D,4,FALSE)</f>
        <v>30</v>
      </c>
      <c r="I615" s="8"/>
      <c r="J615" s="139"/>
      <c r="K615" s="139"/>
      <c r="L615" s="139"/>
      <c r="M615" s="139"/>
      <c r="N615" s="139"/>
      <c r="O615" s="139"/>
      <c r="P615" s="139"/>
      <c r="Q615" s="139"/>
      <c r="R615" s="156"/>
    </row>
    <row r="616" spans="1:22" x14ac:dyDescent="0.35">
      <c r="A616" s="27"/>
      <c r="B616" s="92">
        <v>60</v>
      </c>
      <c r="C616" s="19" t="s">
        <v>196</v>
      </c>
      <c r="D616" s="3" t="s">
        <v>45</v>
      </c>
      <c r="E616" s="27" t="str">
        <f>VLOOKUP(C616,Resources!B:D,3,FALSE)</f>
        <v>M</v>
      </c>
      <c r="F616" s="8">
        <v>1</v>
      </c>
      <c r="G616" s="22">
        <v>1</v>
      </c>
      <c r="H616" s="22">
        <f>H614*1.2</f>
        <v>43.199999999999996</v>
      </c>
      <c r="I616" s="22">
        <f>VLOOKUP(C616,Resources!B:G,6,FALSE)</f>
        <v>400</v>
      </c>
      <c r="J616" s="139">
        <f t="shared" ref="J616:J623" si="672">(H616/(G616/F616))*I616</f>
        <v>17280</v>
      </c>
      <c r="K616" s="139">
        <f t="shared" ref="K616:K623" si="673">IF(E616="M",H616,(H616/(G616)*F616))</f>
        <v>43.199999999999996</v>
      </c>
      <c r="L616" s="139" t="str">
        <f t="shared" ref="L616:L623" si="674">IF(E616="M"," ",K616/F616/Workhrs)</f>
        <v xml:space="preserve"> </v>
      </c>
      <c r="M616" s="139">
        <f t="shared" ref="M616:M623" si="675">IF($E616="L",$J616,0)</f>
        <v>0</v>
      </c>
      <c r="N616" s="139">
        <f t="shared" ref="N616:N623" si="676">IF($E616="M",$J616,0)</f>
        <v>17280</v>
      </c>
      <c r="O616" s="139">
        <f t="shared" ref="O616:O623" si="677">IF($E616="P",$J616,0)</f>
        <v>0</v>
      </c>
      <c r="P616" s="139">
        <f t="shared" ref="P616:P623" si="678">IF($E616="S",$J616,0)</f>
        <v>0</v>
      </c>
      <c r="Q616" s="139">
        <f t="shared" ref="Q616:Q623" si="679">SUM(M616:P616)</f>
        <v>17280</v>
      </c>
      <c r="R616" s="156" t="s">
        <v>698</v>
      </c>
    </row>
    <row r="617" spans="1:22" x14ac:dyDescent="0.35">
      <c r="A617" s="27">
        <v>85.3</v>
      </c>
      <c r="B617" s="92">
        <v>61</v>
      </c>
      <c r="C617" s="19" t="s">
        <v>50</v>
      </c>
      <c r="D617" s="3" t="s">
        <v>26</v>
      </c>
      <c r="E617" s="27" t="str">
        <f>VLOOKUP(C617,Resources!B:D,3,FALSE)</f>
        <v>P</v>
      </c>
      <c r="F617" s="8">
        <v>1</v>
      </c>
      <c r="G617" s="97">
        <f>VLOOKUP($A617,'Model Inputs'!$A:$D,4,FALSE)</f>
        <v>2</v>
      </c>
      <c r="H617" s="22">
        <f>H614</f>
        <v>36</v>
      </c>
      <c r="I617" s="22">
        <f>VLOOKUP(C617,Resources!B:G,6,FALSE)</f>
        <v>135</v>
      </c>
      <c r="J617" s="139">
        <f t="shared" si="672"/>
        <v>2430</v>
      </c>
      <c r="K617" s="139">
        <f t="shared" si="673"/>
        <v>18</v>
      </c>
      <c r="L617" s="139">
        <f t="shared" si="674"/>
        <v>2</v>
      </c>
      <c r="M617" s="139">
        <f t="shared" si="675"/>
        <v>0</v>
      </c>
      <c r="N617" s="139">
        <f t="shared" si="676"/>
        <v>0</v>
      </c>
      <c r="O617" s="139">
        <f t="shared" si="677"/>
        <v>2430</v>
      </c>
      <c r="P617" s="139">
        <f t="shared" si="678"/>
        <v>0</v>
      </c>
      <c r="Q617" s="139">
        <f t="shared" si="679"/>
        <v>2430</v>
      </c>
      <c r="R617" s="156">
        <v>181</v>
      </c>
    </row>
    <row r="618" spans="1:22" x14ac:dyDescent="0.35">
      <c r="A618" s="27"/>
      <c r="B618" s="92">
        <v>62</v>
      </c>
      <c r="C618" s="19" t="s">
        <v>8</v>
      </c>
      <c r="D618" s="3" t="s">
        <v>26</v>
      </c>
      <c r="E618" s="27" t="str">
        <f>VLOOKUP(C618,Resources!B:D,3,FALSE)</f>
        <v>L</v>
      </c>
      <c r="F618" s="8">
        <v>3</v>
      </c>
      <c r="G618" s="22">
        <f>G617</f>
        <v>2</v>
      </c>
      <c r="H618" s="22">
        <f>H614</f>
        <v>36</v>
      </c>
      <c r="I618" s="22">
        <f>VLOOKUP(C618,Resources!B:G,6,FALSE)</f>
        <v>42</v>
      </c>
      <c r="J618" s="139">
        <f t="shared" si="672"/>
        <v>2268</v>
      </c>
      <c r="K618" s="139">
        <f t="shared" si="673"/>
        <v>54</v>
      </c>
      <c r="L618" s="139">
        <f t="shared" si="674"/>
        <v>2</v>
      </c>
      <c r="M618" s="139">
        <f t="shared" si="675"/>
        <v>2268</v>
      </c>
      <c r="N618" s="139">
        <f t="shared" si="676"/>
        <v>0</v>
      </c>
      <c r="O618" s="139">
        <f t="shared" si="677"/>
        <v>0</v>
      </c>
      <c r="P618" s="139">
        <f t="shared" si="678"/>
        <v>0</v>
      </c>
      <c r="Q618" s="139">
        <f t="shared" si="679"/>
        <v>2268</v>
      </c>
      <c r="R618" s="156">
        <v>181</v>
      </c>
    </row>
    <row r="619" spans="1:22" x14ac:dyDescent="0.35">
      <c r="A619" s="27"/>
      <c r="B619" s="92">
        <v>63</v>
      </c>
      <c r="C619" s="19" t="s">
        <v>194</v>
      </c>
      <c r="D619" s="3" t="s">
        <v>45</v>
      </c>
      <c r="E619" s="27" t="str">
        <f>VLOOKUP(C619,Resources!B:D,3,FALSE)</f>
        <v>M</v>
      </c>
      <c r="F619" s="8">
        <v>1</v>
      </c>
      <c r="G619" s="22">
        <v>1</v>
      </c>
      <c r="H619" s="22">
        <f>H614*4</f>
        <v>144</v>
      </c>
      <c r="I619" s="22">
        <f>VLOOKUP(C619,Resources!B:G,6,FALSE)</f>
        <v>5</v>
      </c>
      <c r="J619" s="139">
        <f t="shared" si="672"/>
        <v>720</v>
      </c>
      <c r="K619" s="139">
        <f t="shared" si="673"/>
        <v>144</v>
      </c>
      <c r="L619" s="139" t="str">
        <f t="shared" si="674"/>
        <v xml:space="preserve"> </v>
      </c>
      <c r="M619" s="139">
        <f t="shared" si="675"/>
        <v>0</v>
      </c>
      <c r="N619" s="139">
        <f t="shared" si="676"/>
        <v>720</v>
      </c>
      <c r="O619" s="139">
        <f t="shared" si="677"/>
        <v>0</v>
      </c>
      <c r="P619" s="139">
        <f t="shared" si="678"/>
        <v>0</v>
      </c>
      <c r="Q619" s="139">
        <f t="shared" si="679"/>
        <v>720</v>
      </c>
      <c r="R619" s="156">
        <v>181</v>
      </c>
    </row>
    <row r="620" spans="1:22" x14ac:dyDescent="0.35">
      <c r="A620" s="27">
        <v>85.4</v>
      </c>
      <c r="B620" s="92">
        <v>64</v>
      </c>
      <c r="C620" s="19" t="s">
        <v>47</v>
      </c>
      <c r="D620" s="3" t="s">
        <v>26</v>
      </c>
      <c r="E620" s="27" t="str">
        <f>VLOOKUP(C620,Resources!B:D,3,FALSE)</f>
        <v>P</v>
      </c>
      <c r="F620" s="8">
        <v>1</v>
      </c>
      <c r="G620" s="97">
        <f>VLOOKUP($A620,'Model Inputs'!$A:$D,4,FALSE)</f>
        <v>3</v>
      </c>
      <c r="H620" s="22">
        <f>H615</f>
        <v>30</v>
      </c>
      <c r="I620" s="22">
        <f>VLOOKUP(C620,Resources!B:G,6,FALSE)</f>
        <v>95</v>
      </c>
      <c r="J620" s="139">
        <f t="shared" si="672"/>
        <v>950</v>
      </c>
      <c r="K620" s="139">
        <f t="shared" si="673"/>
        <v>10</v>
      </c>
      <c r="L620" s="139">
        <f t="shared" si="674"/>
        <v>1.1111111111111112</v>
      </c>
      <c r="M620" s="139">
        <f t="shared" si="675"/>
        <v>0</v>
      </c>
      <c r="N620" s="139">
        <f t="shared" si="676"/>
        <v>0</v>
      </c>
      <c r="O620" s="139">
        <f t="shared" si="677"/>
        <v>950</v>
      </c>
      <c r="P620" s="139">
        <f t="shared" si="678"/>
        <v>0</v>
      </c>
      <c r="Q620" s="139">
        <f t="shared" si="679"/>
        <v>950</v>
      </c>
      <c r="R620" s="156">
        <v>181</v>
      </c>
    </row>
    <row r="621" spans="1:22" x14ac:dyDescent="0.35">
      <c r="A621" s="27"/>
      <c r="B621" s="92">
        <v>65</v>
      </c>
      <c r="C621" s="19" t="s">
        <v>8</v>
      </c>
      <c r="D621" s="3" t="s">
        <v>26</v>
      </c>
      <c r="E621" s="27" t="str">
        <f>VLOOKUP(C621,Resources!B:D,3,FALSE)</f>
        <v>L</v>
      </c>
      <c r="F621" s="8">
        <v>3</v>
      </c>
      <c r="G621" s="22">
        <f>G620</f>
        <v>3</v>
      </c>
      <c r="H621" s="22">
        <f>H615</f>
        <v>30</v>
      </c>
      <c r="I621" s="22">
        <f>VLOOKUP(C621,Resources!B:G,6,FALSE)</f>
        <v>42</v>
      </c>
      <c r="J621" s="139">
        <f t="shared" si="672"/>
        <v>1260</v>
      </c>
      <c r="K621" s="139">
        <f t="shared" si="673"/>
        <v>30</v>
      </c>
      <c r="L621" s="139">
        <f t="shared" si="674"/>
        <v>1.1111111111111112</v>
      </c>
      <c r="M621" s="139">
        <f t="shared" si="675"/>
        <v>1260</v>
      </c>
      <c r="N621" s="139">
        <f t="shared" si="676"/>
        <v>0</v>
      </c>
      <c r="O621" s="139">
        <f t="shared" si="677"/>
        <v>0</v>
      </c>
      <c r="P621" s="139">
        <f t="shared" si="678"/>
        <v>0</v>
      </c>
      <c r="Q621" s="139">
        <f t="shared" si="679"/>
        <v>1260</v>
      </c>
      <c r="R621" s="156">
        <v>181</v>
      </c>
    </row>
    <row r="622" spans="1:22" x14ac:dyDescent="0.35">
      <c r="A622" s="27"/>
      <c r="B622" s="92">
        <v>66</v>
      </c>
      <c r="C622" s="19" t="s">
        <v>83</v>
      </c>
      <c r="D622" s="3" t="s">
        <v>26</v>
      </c>
      <c r="E622" s="27" t="str">
        <f>VLOOKUP(C622,Resources!B:D,3,FALSE)</f>
        <v>P</v>
      </c>
      <c r="F622" s="8">
        <v>1</v>
      </c>
      <c r="G622" s="22">
        <f>G620</f>
        <v>3</v>
      </c>
      <c r="H622" s="22">
        <f>H615</f>
        <v>30</v>
      </c>
      <c r="I622" s="22">
        <f>VLOOKUP(C622,Resources!B:G,6,FALSE)</f>
        <v>3.5</v>
      </c>
      <c r="J622" s="139">
        <f t="shared" si="672"/>
        <v>35</v>
      </c>
      <c r="K622" s="139">
        <f t="shared" si="673"/>
        <v>10</v>
      </c>
      <c r="L622" s="139">
        <f t="shared" si="674"/>
        <v>1.1111111111111112</v>
      </c>
      <c r="M622" s="139">
        <f t="shared" si="675"/>
        <v>0</v>
      </c>
      <c r="N622" s="139">
        <f t="shared" si="676"/>
        <v>0</v>
      </c>
      <c r="O622" s="139">
        <f t="shared" si="677"/>
        <v>35</v>
      </c>
      <c r="P622" s="139">
        <f t="shared" si="678"/>
        <v>0</v>
      </c>
      <c r="Q622" s="139">
        <f t="shared" si="679"/>
        <v>35</v>
      </c>
      <c r="R622" s="156">
        <v>181</v>
      </c>
    </row>
    <row r="623" spans="1:22" x14ac:dyDescent="0.35">
      <c r="A623" s="27"/>
      <c r="B623" s="92">
        <v>67</v>
      </c>
      <c r="C623" s="19" t="s">
        <v>52</v>
      </c>
      <c r="D623" s="3" t="s">
        <v>26</v>
      </c>
      <c r="E623" s="27" t="str">
        <f>VLOOKUP(C623,Resources!B:D,3,FALSE)</f>
        <v>P</v>
      </c>
      <c r="F623" s="8">
        <v>1</v>
      </c>
      <c r="G623" s="22">
        <f>G620</f>
        <v>3</v>
      </c>
      <c r="H623" s="22">
        <f>H615</f>
        <v>30</v>
      </c>
      <c r="I623" s="22">
        <f>VLOOKUP(C623,Resources!B:G,6,FALSE)</f>
        <v>100</v>
      </c>
      <c r="J623" s="139">
        <f t="shared" si="672"/>
        <v>1000</v>
      </c>
      <c r="K623" s="139">
        <f t="shared" si="673"/>
        <v>10</v>
      </c>
      <c r="L623" s="139">
        <f t="shared" si="674"/>
        <v>1.1111111111111112</v>
      </c>
      <c r="M623" s="139">
        <f t="shared" si="675"/>
        <v>0</v>
      </c>
      <c r="N623" s="139">
        <f t="shared" si="676"/>
        <v>0</v>
      </c>
      <c r="O623" s="139">
        <f t="shared" si="677"/>
        <v>1000</v>
      </c>
      <c r="P623" s="139">
        <f t="shared" si="678"/>
        <v>0</v>
      </c>
      <c r="Q623" s="139">
        <f t="shared" si="679"/>
        <v>1000</v>
      </c>
      <c r="R623" s="156">
        <v>181</v>
      </c>
    </row>
    <row r="624" spans="1:22" x14ac:dyDescent="0.35">
      <c r="C624" s="6" t="s">
        <v>402</v>
      </c>
      <c r="F624" s="9"/>
      <c r="G624" s="9"/>
      <c r="H624" s="9"/>
      <c r="I624" s="9"/>
    </row>
    <row r="625" spans="1:18" ht="30" x14ac:dyDescent="0.35">
      <c r="A625" s="26">
        <v>86</v>
      </c>
      <c r="B625" s="94" t="s">
        <v>197</v>
      </c>
      <c r="C625" s="1" t="s">
        <v>198</v>
      </c>
      <c r="D625" s="2" t="s">
        <v>57</v>
      </c>
      <c r="E625" s="24"/>
      <c r="F625" s="7"/>
      <c r="G625" s="7"/>
      <c r="H625" s="97">
        <f>VLOOKUP($A625,'Model Inputs'!$A:$D,4,FALSE)</f>
        <v>35</v>
      </c>
      <c r="I625" s="7"/>
      <c r="J625" s="138">
        <f>SUBTOTAL(9,J626)</f>
        <v>21000</v>
      </c>
      <c r="K625" s="138"/>
      <c r="L625" s="138">
        <f>ROUNDUP(L626,0)</f>
        <v>4</v>
      </c>
      <c r="M625" s="138">
        <f>SUBTOTAL(9,M626)</f>
        <v>0</v>
      </c>
      <c r="N625" s="138">
        <f t="shared" ref="N625" si="680">SUBTOTAL(9,N626)</f>
        <v>0</v>
      </c>
      <c r="O625" s="138">
        <f t="shared" ref="O625" si="681">SUBTOTAL(9,O626)</f>
        <v>0</v>
      </c>
      <c r="P625" s="138">
        <f t="shared" ref="P625" si="682">SUBTOTAL(9,P626)</f>
        <v>21000</v>
      </c>
      <c r="Q625" s="138">
        <f t="shared" ref="Q625" si="683">SUBTOTAL(9,Q626)</f>
        <v>21000</v>
      </c>
      <c r="R625" s="155"/>
    </row>
    <row r="626" spans="1:18" x14ac:dyDescent="0.35">
      <c r="A626" s="27"/>
      <c r="B626" s="92">
        <v>1</v>
      </c>
      <c r="C626" s="19" t="s">
        <v>199</v>
      </c>
      <c r="D626" s="3" t="s">
        <v>110</v>
      </c>
      <c r="E626" s="27" t="str">
        <f>VLOOKUP(C626,Resources!B:D,3,FALSE)</f>
        <v>S</v>
      </c>
      <c r="F626" s="8">
        <v>1</v>
      </c>
      <c r="G626" s="8">
        <v>1</v>
      </c>
      <c r="H626" s="8">
        <f>H625</f>
        <v>35</v>
      </c>
      <c r="I626" s="22">
        <f>VLOOKUP(C626,Resources!B:G,6,FALSE)</f>
        <v>600</v>
      </c>
      <c r="J626" s="139">
        <f t="shared" ref="J626" si="684">(H626/(G626/F626))*I626</f>
        <v>21000</v>
      </c>
      <c r="K626" s="139">
        <f t="shared" ref="K626" si="685">IF(E626="M",H626,(H626/(G626)*F626))</f>
        <v>35</v>
      </c>
      <c r="L626" s="139">
        <f>IF(E626="M"," ",K626/F626/Workhrs)</f>
        <v>3.8888888888888888</v>
      </c>
      <c r="M626" s="139">
        <f t="shared" ref="M626" si="686">IF($E626="L",$J626,0)</f>
        <v>0</v>
      </c>
      <c r="N626" s="139">
        <f t="shared" ref="N626" si="687">IF($E626="M",$J626,0)</f>
        <v>0</v>
      </c>
      <c r="O626" s="139">
        <f>IF($E626="P",$J626,0)</f>
        <v>0</v>
      </c>
      <c r="P626" s="139">
        <f>IF($E626="S",$J626,0)</f>
        <v>21000</v>
      </c>
      <c r="Q626" s="139">
        <f>SUM(M626:P626)</f>
        <v>21000</v>
      </c>
      <c r="R626" s="156">
        <v>72</v>
      </c>
    </row>
    <row r="627" spans="1:18" x14ac:dyDescent="0.35">
      <c r="C627" s="6" t="s">
        <v>402</v>
      </c>
      <c r="F627" s="9"/>
      <c r="G627" s="9"/>
      <c r="H627" s="9"/>
      <c r="I627" s="9"/>
    </row>
    <row r="628" spans="1:18" ht="30" x14ac:dyDescent="0.35">
      <c r="A628" s="26">
        <v>87</v>
      </c>
      <c r="B628" s="94" t="s">
        <v>200</v>
      </c>
      <c r="C628" s="1" t="s">
        <v>201</v>
      </c>
      <c r="D628" s="2" t="s">
        <v>86</v>
      </c>
      <c r="E628" s="24"/>
      <c r="F628" s="7"/>
      <c r="G628" s="7"/>
      <c r="H628" s="97">
        <f>VLOOKUP($A628,'Model Inputs'!$A:$D,4,FALSE)</f>
        <v>1</v>
      </c>
      <c r="I628" s="7"/>
      <c r="J628" s="138">
        <f>SUBTOTAL(9,J629:J631)</f>
        <v>621</v>
      </c>
      <c r="K628" s="138"/>
      <c r="L628" s="138">
        <f>ROUNDUP(MAX(L630:L631),0)</f>
        <v>1</v>
      </c>
      <c r="M628" s="138">
        <f t="shared" ref="M628:Q628" si="688">SUBTOTAL(9,M629:M631)</f>
        <v>126</v>
      </c>
      <c r="N628" s="138">
        <f t="shared" si="688"/>
        <v>360</v>
      </c>
      <c r="O628" s="138">
        <f t="shared" si="688"/>
        <v>135</v>
      </c>
      <c r="P628" s="138">
        <f t="shared" si="688"/>
        <v>0</v>
      </c>
      <c r="Q628" s="138">
        <f t="shared" si="688"/>
        <v>621</v>
      </c>
      <c r="R628" s="155"/>
    </row>
    <row r="629" spans="1:18" x14ac:dyDescent="0.35">
      <c r="A629" s="27"/>
      <c r="B629" s="92">
        <v>1</v>
      </c>
      <c r="C629" s="19" t="s">
        <v>202</v>
      </c>
      <c r="D629" s="3" t="s">
        <v>23</v>
      </c>
      <c r="E629" s="27" t="str">
        <f>VLOOKUP(C629,Resources!B:D,3,FALSE)</f>
        <v>M</v>
      </c>
      <c r="F629" s="8">
        <v>1</v>
      </c>
      <c r="G629" s="8">
        <v>1</v>
      </c>
      <c r="H629" s="8">
        <f>H628</f>
        <v>1</v>
      </c>
      <c r="I629" s="22">
        <f>VLOOKUP(C629,Resources!B:G,6,FALSE)</f>
        <v>360</v>
      </c>
      <c r="J629" s="139">
        <f t="shared" ref="J629:J631" si="689">(H629/(G629/F629))*I629</f>
        <v>360</v>
      </c>
      <c r="K629" s="139">
        <f t="shared" ref="K629:K631" si="690">IF(E629="M",H629,(H629/(G629)*F629))</f>
        <v>1</v>
      </c>
      <c r="L629" s="139" t="str">
        <f>IF(E629="M"," ",K629/F629/Workhrs)</f>
        <v xml:space="preserve"> </v>
      </c>
      <c r="M629" s="139">
        <f t="shared" ref="M629:M631" si="691">IF($E629="L",$J629,0)</f>
        <v>0</v>
      </c>
      <c r="N629" s="139">
        <f t="shared" ref="N629:N631" si="692">IF($E629="M",$J629,0)</f>
        <v>360</v>
      </c>
      <c r="O629" s="139">
        <f t="shared" ref="O629:O631" si="693">IF($E629="P",$J629,0)</f>
        <v>0</v>
      </c>
      <c r="P629" s="139">
        <f>IF($E629="S",$J629,0)</f>
        <v>0</v>
      </c>
      <c r="Q629" s="139">
        <f t="shared" ref="Q629:Q631" si="694">SUM(M629:P629)</f>
        <v>360</v>
      </c>
      <c r="R629" s="156" t="s">
        <v>699</v>
      </c>
    </row>
    <row r="630" spans="1:18" x14ac:dyDescent="0.35">
      <c r="A630" s="27">
        <v>87.1</v>
      </c>
      <c r="B630" s="92">
        <v>2</v>
      </c>
      <c r="C630" s="19" t="s">
        <v>50</v>
      </c>
      <c r="D630" s="3" t="s">
        <v>26</v>
      </c>
      <c r="E630" s="27" t="str">
        <f>VLOOKUP(C630,Resources!B:D,3,FALSE)</f>
        <v>P</v>
      </c>
      <c r="F630" s="8">
        <v>1</v>
      </c>
      <c r="G630" s="97">
        <f>VLOOKUP($A630,'Model Inputs'!$A:$D,4,FALSE)</f>
        <v>1</v>
      </c>
      <c r="H630" s="8">
        <f>H628</f>
        <v>1</v>
      </c>
      <c r="I630" s="22">
        <f>VLOOKUP(C630,Resources!B:G,6,FALSE)</f>
        <v>135</v>
      </c>
      <c r="J630" s="139">
        <f t="shared" si="689"/>
        <v>135</v>
      </c>
      <c r="K630" s="139">
        <f t="shared" si="690"/>
        <v>1</v>
      </c>
      <c r="L630" s="139">
        <f>IF(E630="M"," ",K630/F630/Workhrs)</f>
        <v>0.1111111111111111</v>
      </c>
      <c r="M630" s="139">
        <f t="shared" si="691"/>
        <v>0</v>
      </c>
      <c r="N630" s="139">
        <f t="shared" si="692"/>
        <v>0</v>
      </c>
      <c r="O630" s="139">
        <f t="shared" si="693"/>
        <v>135</v>
      </c>
      <c r="P630" s="139">
        <f>IF($E630="S",$J630,0)</f>
        <v>0</v>
      </c>
      <c r="Q630" s="139">
        <f t="shared" si="694"/>
        <v>135</v>
      </c>
      <c r="R630" s="156">
        <v>81</v>
      </c>
    </row>
    <row r="631" spans="1:18" x14ac:dyDescent="0.35">
      <c r="A631" s="27"/>
      <c r="B631" s="92">
        <v>3</v>
      </c>
      <c r="C631" s="19" t="s">
        <v>8</v>
      </c>
      <c r="D631" s="3" t="s">
        <v>26</v>
      </c>
      <c r="E631" s="27" t="str">
        <f>VLOOKUP(C631,Resources!B:D,3,FALSE)</f>
        <v>L</v>
      </c>
      <c r="F631" s="8">
        <v>3</v>
      </c>
      <c r="G631" s="8">
        <f>G630</f>
        <v>1</v>
      </c>
      <c r="H631" s="8">
        <f>H628</f>
        <v>1</v>
      </c>
      <c r="I631" s="22">
        <f>VLOOKUP(C631,Resources!B:G,6,FALSE)</f>
        <v>42</v>
      </c>
      <c r="J631" s="139">
        <f t="shared" si="689"/>
        <v>126</v>
      </c>
      <c r="K631" s="139">
        <f t="shared" si="690"/>
        <v>3</v>
      </c>
      <c r="L631" s="139">
        <f>IF(E631="M"," ",K631/F631/Workhrs)</f>
        <v>0.1111111111111111</v>
      </c>
      <c r="M631" s="139">
        <f t="shared" si="691"/>
        <v>126</v>
      </c>
      <c r="N631" s="139">
        <f t="shared" si="692"/>
        <v>0</v>
      </c>
      <c r="O631" s="139">
        <f t="shared" si="693"/>
        <v>0</v>
      </c>
      <c r="P631" s="139">
        <f>IF($E631="S",$J631,0)</f>
        <v>0</v>
      </c>
      <c r="Q631" s="139">
        <f t="shared" si="694"/>
        <v>126</v>
      </c>
      <c r="R631" s="156">
        <v>81</v>
      </c>
    </row>
    <row r="632" spans="1:18" x14ac:dyDescent="0.35">
      <c r="C632" s="6" t="s">
        <v>402</v>
      </c>
      <c r="F632" s="9"/>
      <c r="G632" s="9"/>
      <c r="H632" s="9"/>
      <c r="I632" s="9"/>
    </row>
    <row r="633" spans="1:18" ht="30" x14ac:dyDescent="0.35">
      <c r="A633" s="26">
        <v>88</v>
      </c>
      <c r="B633" s="94" t="s">
        <v>203</v>
      </c>
      <c r="C633" s="1" t="s">
        <v>204</v>
      </c>
      <c r="D633" s="2" t="s">
        <v>86</v>
      </c>
      <c r="E633" s="24"/>
      <c r="F633" s="7"/>
      <c r="G633" s="7"/>
      <c r="H633" s="97">
        <f>VLOOKUP($A633,'Model Inputs'!$A:$D,4,FALSE)</f>
        <v>18</v>
      </c>
      <c r="I633" s="7"/>
      <c r="J633" s="138">
        <f>SUBTOTAL(9,J634:J636)</f>
        <v>15948</v>
      </c>
      <c r="K633" s="138"/>
      <c r="L633" s="138">
        <f>ROUNDUP(MAX(L635:L636),0)</f>
        <v>2</v>
      </c>
      <c r="M633" s="138">
        <f t="shared" ref="M633" si="695">SUBTOTAL(9,M634:M636)</f>
        <v>2268</v>
      </c>
      <c r="N633" s="138">
        <f t="shared" ref="N633" si="696">SUBTOTAL(9,N634:N636)</f>
        <v>11250</v>
      </c>
      <c r="O633" s="138">
        <f t="shared" ref="O633" si="697">SUBTOTAL(9,O634:O636)</f>
        <v>2430</v>
      </c>
      <c r="P633" s="138">
        <f t="shared" ref="P633" si="698">SUBTOTAL(9,P634:P636)</f>
        <v>0</v>
      </c>
      <c r="Q633" s="138">
        <f t="shared" ref="Q633" si="699">SUBTOTAL(9,Q634:Q636)</f>
        <v>15948</v>
      </c>
      <c r="R633" s="155"/>
    </row>
    <row r="634" spans="1:18" x14ac:dyDescent="0.35">
      <c r="A634" s="27"/>
      <c r="B634" s="92">
        <v>1</v>
      </c>
      <c r="C634" s="19" t="s">
        <v>407</v>
      </c>
      <c r="D634" s="3" t="s">
        <v>23</v>
      </c>
      <c r="E634" s="27" t="str">
        <f>VLOOKUP(C634,Resources!B:D,3,FALSE)</f>
        <v>M</v>
      </c>
      <c r="F634" s="8">
        <v>1</v>
      </c>
      <c r="G634" s="8">
        <v>1</v>
      </c>
      <c r="H634" s="8">
        <f>H633</f>
        <v>18</v>
      </c>
      <c r="I634" s="22">
        <f>VLOOKUP(C634,Resources!B:G,6,FALSE)</f>
        <v>625</v>
      </c>
      <c r="J634" s="139">
        <f t="shared" ref="J634:J636" si="700">(H634/(G634/F634))*I634</f>
        <v>11250</v>
      </c>
      <c r="K634" s="139">
        <f t="shared" ref="K634:K636" si="701">IF(E634="M",H634,(H634/(G634)*F634))</f>
        <v>18</v>
      </c>
      <c r="L634" s="139" t="str">
        <f>IF(E634="M"," ",K634/F634/Workhrs)</f>
        <v xml:space="preserve"> </v>
      </c>
      <c r="M634" s="139">
        <f t="shared" ref="M634:M636" si="702">IF($E634="L",$J634,0)</f>
        <v>0</v>
      </c>
      <c r="N634" s="139">
        <f t="shared" ref="N634:N636" si="703">IF($E634="M",$J634,0)</f>
        <v>11250</v>
      </c>
      <c r="O634" s="139">
        <f t="shared" ref="O634:O636" si="704">IF($E634="P",$J634,0)</f>
        <v>0</v>
      </c>
      <c r="P634" s="139">
        <f>IF($E634="S",$J634,0)</f>
        <v>0</v>
      </c>
      <c r="Q634" s="139">
        <f t="shared" ref="Q634:Q636" si="705">SUM(M634:P634)</f>
        <v>11250</v>
      </c>
      <c r="R634" s="156" t="s">
        <v>699</v>
      </c>
    </row>
    <row r="635" spans="1:18" x14ac:dyDescent="0.35">
      <c r="A635" s="27">
        <v>88.1</v>
      </c>
      <c r="B635" s="92">
        <v>2</v>
      </c>
      <c r="C635" s="19" t="s">
        <v>50</v>
      </c>
      <c r="D635" s="3" t="s">
        <v>26</v>
      </c>
      <c r="E635" s="27" t="str">
        <f>VLOOKUP(C635,Resources!B:D,3,FALSE)</f>
        <v>P</v>
      </c>
      <c r="F635" s="8">
        <v>1</v>
      </c>
      <c r="G635" s="97">
        <f>VLOOKUP($A635,'Model Inputs'!$A:$D,4,FALSE)</f>
        <v>1</v>
      </c>
      <c r="H635" s="8">
        <f>H633</f>
        <v>18</v>
      </c>
      <c r="I635" s="22">
        <f>VLOOKUP(C635,Resources!B:G,6,FALSE)</f>
        <v>135</v>
      </c>
      <c r="J635" s="139">
        <f t="shared" si="700"/>
        <v>2430</v>
      </c>
      <c r="K635" s="139">
        <f t="shared" si="701"/>
        <v>18</v>
      </c>
      <c r="L635" s="139">
        <f>IF(E635="M"," ",K635/F635/Workhrs)</f>
        <v>2</v>
      </c>
      <c r="M635" s="139">
        <f t="shared" si="702"/>
        <v>0</v>
      </c>
      <c r="N635" s="139">
        <f t="shared" si="703"/>
        <v>0</v>
      </c>
      <c r="O635" s="139">
        <f t="shared" si="704"/>
        <v>2430</v>
      </c>
      <c r="P635" s="139">
        <f>IF($E635="S",$J635,0)</f>
        <v>0</v>
      </c>
      <c r="Q635" s="139">
        <f t="shared" si="705"/>
        <v>2430</v>
      </c>
      <c r="R635" s="156">
        <v>81</v>
      </c>
    </row>
    <row r="636" spans="1:18" x14ac:dyDescent="0.35">
      <c r="A636" s="27"/>
      <c r="B636" s="92">
        <v>3</v>
      </c>
      <c r="C636" s="19" t="s">
        <v>8</v>
      </c>
      <c r="D636" s="3" t="s">
        <v>26</v>
      </c>
      <c r="E636" s="27" t="str">
        <f>VLOOKUP(C636,Resources!B:D,3,FALSE)</f>
        <v>L</v>
      </c>
      <c r="F636" s="8">
        <v>3</v>
      </c>
      <c r="G636" s="8">
        <f>G635</f>
        <v>1</v>
      </c>
      <c r="H636" s="8">
        <f>H633</f>
        <v>18</v>
      </c>
      <c r="I636" s="22">
        <f>VLOOKUP(C636,Resources!B:G,6,FALSE)</f>
        <v>42</v>
      </c>
      <c r="J636" s="139">
        <f t="shared" si="700"/>
        <v>2268</v>
      </c>
      <c r="K636" s="139">
        <f t="shared" si="701"/>
        <v>54</v>
      </c>
      <c r="L636" s="139">
        <f>IF(E636="M"," ",K636/F636/Workhrs)</f>
        <v>2</v>
      </c>
      <c r="M636" s="139">
        <f t="shared" si="702"/>
        <v>2268</v>
      </c>
      <c r="N636" s="139">
        <f t="shared" si="703"/>
        <v>0</v>
      </c>
      <c r="O636" s="139">
        <f t="shared" si="704"/>
        <v>0</v>
      </c>
      <c r="P636" s="139">
        <f>IF($E636="S",$J636,0)</f>
        <v>0</v>
      </c>
      <c r="Q636" s="139">
        <f t="shared" si="705"/>
        <v>2268</v>
      </c>
      <c r="R636" s="156">
        <v>81</v>
      </c>
    </row>
    <row r="637" spans="1:18" x14ac:dyDescent="0.35">
      <c r="C637" s="6" t="s">
        <v>402</v>
      </c>
      <c r="F637" s="9"/>
      <c r="G637" s="9"/>
      <c r="H637" s="9"/>
      <c r="I637" s="9"/>
    </row>
    <row r="638" spans="1:18" ht="30" x14ac:dyDescent="0.35">
      <c r="A638" s="26">
        <v>89</v>
      </c>
      <c r="B638" s="94" t="s">
        <v>205</v>
      </c>
      <c r="C638" s="1" t="s">
        <v>206</v>
      </c>
      <c r="D638" s="2" t="s">
        <v>86</v>
      </c>
      <c r="E638" s="24"/>
      <c r="F638" s="7"/>
      <c r="G638" s="7"/>
      <c r="H638" s="97">
        <f>VLOOKUP($A638,'Model Inputs'!$A:$D,4,FALSE)</f>
        <v>20</v>
      </c>
      <c r="I638" s="7"/>
      <c r="J638" s="138">
        <f>SUBTOTAL(9,J639:J641)</f>
        <v>18120</v>
      </c>
      <c r="K638" s="138"/>
      <c r="L638" s="138">
        <f>ROUNDUP(MAX(L640:L641),0)</f>
        <v>3</v>
      </c>
      <c r="M638" s="138">
        <f t="shared" ref="M638" si="706">SUBTOTAL(9,M639:M641)</f>
        <v>2520</v>
      </c>
      <c r="N638" s="138">
        <f t="shared" ref="N638" si="707">SUBTOTAL(9,N639:N641)</f>
        <v>12900</v>
      </c>
      <c r="O638" s="138">
        <f t="shared" ref="O638" si="708">SUBTOTAL(9,O639:O641)</f>
        <v>2700</v>
      </c>
      <c r="P638" s="138">
        <f t="shared" ref="P638" si="709">SUBTOTAL(9,P639:P641)</f>
        <v>0</v>
      </c>
      <c r="Q638" s="138">
        <f t="shared" ref="Q638" si="710">SUBTOTAL(9,Q639:Q641)</f>
        <v>18120</v>
      </c>
      <c r="R638" s="155"/>
    </row>
    <row r="639" spans="1:18" x14ac:dyDescent="0.35">
      <c r="A639" s="27"/>
      <c r="B639" s="92">
        <v>1</v>
      </c>
      <c r="C639" s="19" t="s">
        <v>408</v>
      </c>
      <c r="D639" s="3" t="s">
        <v>23</v>
      </c>
      <c r="E639" s="27" t="str">
        <f>VLOOKUP(C639,Resources!B:D,3,FALSE)</f>
        <v>M</v>
      </c>
      <c r="F639" s="8">
        <v>1</v>
      </c>
      <c r="G639" s="8">
        <v>1</v>
      </c>
      <c r="H639" s="8">
        <f>H638</f>
        <v>20</v>
      </c>
      <c r="I639" s="22">
        <f>VLOOKUP(C639,Resources!B:G,6,FALSE)</f>
        <v>645</v>
      </c>
      <c r="J639" s="139">
        <f t="shared" ref="J639:J641" si="711">(H639/(G639/F639))*I639</f>
        <v>12900</v>
      </c>
      <c r="K639" s="139">
        <f t="shared" ref="K639:K641" si="712">IF(E639="M",H639,(H639/(G639)*F639))</f>
        <v>20</v>
      </c>
      <c r="L639" s="139" t="str">
        <f>IF(E639="M"," ",K639/F639/Workhrs)</f>
        <v xml:space="preserve"> </v>
      </c>
      <c r="M639" s="139">
        <f t="shared" ref="M639:M641" si="713">IF($E639="L",$J639,0)</f>
        <v>0</v>
      </c>
      <c r="N639" s="139">
        <f t="shared" ref="N639:N641" si="714">IF($E639="M",$J639,0)</f>
        <v>12900</v>
      </c>
      <c r="O639" s="139">
        <f t="shared" ref="O639:O641" si="715">IF($E639="P",$J639,0)</f>
        <v>0</v>
      </c>
      <c r="P639" s="139">
        <f>IF($E639="S",$J639,0)</f>
        <v>0</v>
      </c>
      <c r="Q639" s="139">
        <f t="shared" ref="Q639:Q641" si="716">SUM(M639:P639)</f>
        <v>12900</v>
      </c>
      <c r="R639" s="156" t="s">
        <v>699</v>
      </c>
    </row>
    <row r="640" spans="1:18" x14ac:dyDescent="0.35">
      <c r="A640" s="27">
        <v>89.1</v>
      </c>
      <c r="B640" s="92">
        <v>2</v>
      </c>
      <c r="C640" s="19" t="s">
        <v>50</v>
      </c>
      <c r="D640" s="3" t="s">
        <v>26</v>
      </c>
      <c r="E640" s="27" t="str">
        <f>VLOOKUP(C640,Resources!B:D,3,FALSE)</f>
        <v>P</v>
      </c>
      <c r="F640" s="8">
        <v>1</v>
      </c>
      <c r="G640" s="97">
        <f>VLOOKUP($A640,'Model Inputs'!$A:$D,4,FALSE)</f>
        <v>1</v>
      </c>
      <c r="H640" s="8">
        <f>H638</f>
        <v>20</v>
      </c>
      <c r="I640" s="22">
        <f>VLOOKUP(C640,Resources!B:G,6,FALSE)</f>
        <v>135</v>
      </c>
      <c r="J640" s="139">
        <f t="shared" si="711"/>
        <v>2700</v>
      </c>
      <c r="K640" s="139">
        <f t="shared" si="712"/>
        <v>20</v>
      </c>
      <c r="L640" s="139">
        <f>IF(E640="M"," ",K640/F640/Workhrs)</f>
        <v>2.2222222222222223</v>
      </c>
      <c r="M640" s="139">
        <f t="shared" si="713"/>
        <v>0</v>
      </c>
      <c r="N640" s="139">
        <f t="shared" si="714"/>
        <v>0</v>
      </c>
      <c r="O640" s="139">
        <f t="shared" si="715"/>
        <v>2700</v>
      </c>
      <c r="P640" s="139">
        <f>IF($E640="S",$J640,0)</f>
        <v>0</v>
      </c>
      <c r="Q640" s="139">
        <f t="shared" si="716"/>
        <v>2700</v>
      </c>
      <c r="R640" s="156">
        <v>81</v>
      </c>
    </row>
    <row r="641" spans="1:18" x14ac:dyDescent="0.35">
      <c r="A641" s="27"/>
      <c r="B641" s="92">
        <v>3</v>
      </c>
      <c r="C641" s="19" t="s">
        <v>8</v>
      </c>
      <c r="D641" s="3" t="s">
        <v>26</v>
      </c>
      <c r="E641" s="27" t="str">
        <f>VLOOKUP(C641,Resources!B:D,3,FALSE)</f>
        <v>L</v>
      </c>
      <c r="F641" s="8">
        <v>3</v>
      </c>
      <c r="G641" s="8">
        <f>G640</f>
        <v>1</v>
      </c>
      <c r="H641" s="8">
        <f>H638</f>
        <v>20</v>
      </c>
      <c r="I641" s="22">
        <f>VLOOKUP(C641,Resources!B:G,6,FALSE)</f>
        <v>42</v>
      </c>
      <c r="J641" s="139">
        <f t="shared" si="711"/>
        <v>2520</v>
      </c>
      <c r="K641" s="139">
        <f t="shared" si="712"/>
        <v>60</v>
      </c>
      <c r="L641" s="139">
        <f>IF(E641="M"," ",K641/F641/Workhrs)</f>
        <v>2.2222222222222223</v>
      </c>
      <c r="M641" s="139">
        <f t="shared" si="713"/>
        <v>2520</v>
      </c>
      <c r="N641" s="139">
        <f t="shared" si="714"/>
        <v>0</v>
      </c>
      <c r="O641" s="139">
        <f t="shared" si="715"/>
        <v>0</v>
      </c>
      <c r="P641" s="139">
        <f>IF($E641="S",$J641,0)</f>
        <v>0</v>
      </c>
      <c r="Q641" s="139">
        <f t="shared" si="716"/>
        <v>2520</v>
      </c>
      <c r="R641" s="156">
        <v>81</v>
      </c>
    </row>
    <row r="642" spans="1:18" x14ac:dyDescent="0.35">
      <c r="C642" s="6" t="s">
        <v>402</v>
      </c>
      <c r="F642" s="9"/>
      <c r="G642" s="9"/>
      <c r="H642" s="9"/>
      <c r="I642" s="9"/>
    </row>
    <row r="643" spans="1:18" ht="30" x14ac:dyDescent="0.35">
      <c r="A643" s="26">
        <v>90</v>
      </c>
      <c r="B643" s="94" t="s">
        <v>207</v>
      </c>
      <c r="C643" s="1" t="s">
        <v>208</v>
      </c>
      <c r="D643" s="2" t="s">
        <v>45</v>
      </c>
      <c r="E643" s="24"/>
      <c r="F643" s="7"/>
      <c r="G643" s="7"/>
      <c r="H643" s="97">
        <f>VLOOKUP($A643,'Model Inputs'!$A:$D,4,FALSE)</f>
        <v>48</v>
      </c>
      <c r="I643" s="7"/>
      <c r="J643" s="138">
        <f>SUBTOTAL(9,J645:J649)</f>
        <v>3994.1525581395349</v>
      </c>
      <c r="K643" s="138"/>
      <c r="L643" s="138">
        <f>ROUNDUP(L648,0)</f>
        <v>1</v>
      </c>
      <c r="M643" s="138">
        <f t="shared" ref="M643:Q643" si="717">SUBTOTAL(9,M645:M649)</f>
        <v>0</v>
      </c>
      <c r="N643" s="138">
        <f t="shared" si="717"/>
        <v>1054.1525581395349</v>
      </c>
      <c r="O643" s="138">
        <f t="shared" si="717"/>
        <v>1500</v>
      </c>
      <c r="P643" s="138">
        <f t="shared" si="717"/>
        <v>1440</v>
      </c>
      <c r="Q643" s="138">
        <f t="shared" si="717"/>
        <v>3994.1525581395349</v>
      </c>
      <c r="R643" s="155"/>
    </row>
    <row r="644" spans="1:18" x14ac:dyDescent="0.35">
      <c r="B644" s="95">
        <v>1</v>
      </c>
      <c r="C644" s="6" t="s">
        <v>72</v>
      </c>
      <c r="F644" s="9"/>
      <c r="G644" s="9"/>
      <c r="H644" s="9"/>
      <c r="I644" s="9"/>
    </row>
    <row r="645" spans="1:18" x14ac:dyDescent="0.35">
      <c r="A645" s="27"/>
      <c r="B645" s="92">
        <v>2</v>
      </c>
      <c r="C645" s="19" t="s">
        <v>73</v>
      </c>
      <c r="D645" s="3" t="s">
        <v>74</v>
      </c>
      <c r="E645" s="27" t="str">
        <f>VLOOKUP(C645,Resources!B:D,3,FALSE)</f>
        <v>M</v>
      </c>
      <c r="F645" s="8">
        <v>1</v>
      </c>
      <c r="G645" s="8">
        <v>1</v>
      </c>
      <c r="H645" s="8">
        <f>H643/8.6</f>
        <v>5.5813953488372094</v>
      </c>
      <c r="I645" s="22">
        <f>VLOOKUP(C645,Resources!B:G,6,FALSE)</f>
        <v>181</v>
      </c>
      <c r="J645" s="139">
        <f t="shared" ref="J645:J649" si="718">(H645/(G645/F645))*I645</f>
        <v>1010.2325581395349</v>
      </c>
      <c r="K645" s="139">
        <f t="shared" ref="K645:K649" si="719">IF(E645="M",H645,(H645/(G645)*F645))</f>
        <v>5.5813953488372094</v>
      </c>
      <c r="L645" s="139" t="str">
        <f>IF(E645="M"," ",K645/F645/Workhrs)</f>
        <v xml:space="preserve"> </v>
      </c>
      <c r="M645" s="139">
        <f t="shared" ref="M645:M649" si="720">IF($E645="L",$J645,0)</f>
        <v>0</v>
      </c>
      <c r="N645" s="139">
        <f t="shared" ref="N645:N649" si="721">IF($E645="M",$J645,0)</f>
        <v>1010.2325581395349</v>
      </c>
      <c r="O645" s="139">
        <f t="shared" ref="O645:O649" si="722">IF($E645="P",$J645,0)</f>
        <v>0</v>
      </c>
      <c r="P645" s="139">
        <f>IF($E645="S",$J645,0)</f>
        <v>0</v>
      </c>
      <c r="Q645" s="139">
        <f t="shared" ref="Q645:Q649" si="723">SUM(M645:P645)</f>
        <v>1010.2325581395349</v>
      </c>
      <c r="R645" s="156" t="s">
        <v>691</v>
      </c>
    </row>
    <row r="646" spans="1:18" x14ac:dyDescent="0.35">
      <c r="A646" s="27"/>
      <c r="B646" s="92">
        <v>3</v>
      </c>
      <c r="C646" s="19" t="s">
        <v>75</v>
      </c>
      <c r="D646" s="3" t="s">
        <v>54</v>
      </c>
      <c r="E646" s="27" t="str">
        <f>VLOOKUP(C646,Resources!B:D,3,FALSE)</f>
        <v>M</v>
      </c>
      <c r="F646" s="8">
        <v>1</v>
      </c>
      <c r="G646" s="8">
        <v>1</v>
      </c>
      <c r="H646" s="8">
        <f>H643/75</f>
        <v>0.64</v>
      </c>
      <c r="I646" s="22">
        <f>VLOOKUP(C646,Resources!B:G,6,FALSE)</f>
        <v>24</v>
      </c>
      <c r="J646" s="139">
        <f t="shared" si="718"/>
        <v>15.36</v>
      </c>
      <c r="K646" s="139">
        <f t="shared" si="719"/>
        <v>0.64</v>
      </c>
      <c r="L646" s="139" t="str">
        <f>IF(E646="M"," ",K646/F646/Workhrs)</f>
        <v xml:space="preserve"> </v>
      </c>
      <c r="M646" s="139">
        <f t="shared" si="720"/>
        <v>0</v>
      </c>
      <c r="N646" s="139">
        <f t="shared" si="721"/>
        <v>15.36</v>
      </c>
      <c r="O646" s="139">
        <f t="shared" si="722"/>
        <v>0</v>
      </c>
      <c r="P646" s="139">
        <f>IF($E646="S",$J646,0)</f>
        <v>0</v>
      </c>
      <c r="Q646" s="139">
        <f t="shared" si="723"/>
        <v>15.36</v>
      </c>
      <c r="R646" s="156" t="s">
        <v>692</v>
      </c>
    </row>
    <row r="647" spans="1:18" x14ac:dyDescent="0.35">
      <c r="A647" s="27"/>
      <c r="B647" s="92">
        <v>4</v>
      </c>
      <c r="C647" s="19" t="s">
        <v>76</v>
      </c>
      <c r="D647" s="3" t="s">
        <v>54</v>
      </c>
      <c r="E647" s="27" t="str">
        <f>VLOOKUP(C647,Resources!B:D,3,FALSE)</f>
        <v>M</v>
      </c>
      <c r="F647" s="8">
        <v>1</v>
      </c>
      <c r="G647" s="8">
        <v>1</v>
      </c>
      <c r="H647" s="8">
        <f>H646/8</f>
        <v>0.08</v>
      </c>
      <c r="I647" s="22">
        <f>VLOOKUP(C647,Resources!B:G,6,FALSE)</f>
        <v>357</v>
      </c>
      <c r="J647" s="139">
        <f t="shared" si="718"/>
        <v>28.560000000000002</v>
      </c>
      <c r="K647" s="139">
        <f t="shared" si="719"/>
        <v>0.08</v>
      </c>
      <c r="L647" s="139" t="str">
        <f>IF(E647="M"," ",K647/F647/Workhrs)</f>
        <v xml:space="preserve"> </v>
      </c>
      <c r="M647" s="139">
        <f t="shared" si="720"/>
        <v>0</v>
      </c>
      <c r="N647" s="139">
        <f t="shared" si="721"/>
        <v>28.560000000000002</v>
      </c>
      <c r="O647" s="139">
        <f t="shared" si="722"/>
        <v>0</v>
      </c>
      <c r="P647" s="139">
        <f>IF($E647="S",$J647,0)</f>
        <v>0</v>
      </c>
      <c r="Q647" s="139">
        <f t="shared" si="723"/>
        <v>28.560000000000002</v>
      </c>
      <c r="R647" s="156">
        <v>71</v>
      </c>
    </row>
    <row r="648" spans="1:18" x14ac:dyDescent="0.35">
      <c r="A648" s="27"/>
      <c r="B648" s="92">
        <v>5</v>
      </c>
      <c r="C648" s="19" t="s">
        <v>409</v>
      </c>
      <c r="D648" s="3" t="s">
        <v>45</v>
      </c>
      <c r="E648" s="27" t="str">
        <f>VLOOKUP(C648,Resources!B:D,3,FALSE)</f>
        <v>S</v>
      </c>
      <c r="F648" s="8">
        <v>1</v>
      </c>
      <c r="G648" s="8">
        <v>1</v>
      </c>
      <c r="H648" s="8">
        <f>H643</f>
        <v>48</v>
      </c>
      <c r="I648" s="22">
        <f>VLOOKUP(C648,Resources!B:G,6,FALSE)</f>
        <v>30</v>
      </c>
      <c r="J648" s="139">
        <f t="shared" si="718"/>
        <v>1440</v>
      </c>
      <c r="K648" s="139">
        <f t="shared" si="719"/>
        <v>48</v>
      </c>
      <c r="L648" s="139">
        <f>IF(E648="M"," ",K648/(F648*(200/9))/Workhrs)</f>
        <v>0.24000000000000002</v>
      </c>
      <c r="M648" s="139">
        <f t="shared" si="720"/>
        <v>0</v>
      </c>
      <c r="N648" s="139">
        <f t="shared" si="721"/>
        <v>0</v>
      </c>
      <c r="O648" s="139">
        <f t="shared" si="722"/>
        <v>0</v>
      </c>
      <c r="P648" s="139">
        <f>IF($E648="S",$J648,0)</f>
        <v>1440</v>
      </c>
      <c r="Q648" s="139">
        <f t="shared" si="723"/>
        <v>1440</v>
      </c>
      <c r="R648" s="156">
        <v>71</v>
      </c>
    </row>
    <row r="649" spans="1:18" x14ac:dyDescent="0.35">
      <c r="A649" s="27"/>
      <c r="B649" s="92">
        <v>6</v>
      </c>
      <c r="C649" s="19" t="s">
        <v>78</v>
      </c>
      <c r="D649" s="3" t="s">
        <v>17</v>
      </c>
      <c r="E649" s="27" t="str">
        <f>VLOOKUP(C649,Resources!B:D,3,FALSE)</f>
        <v>P</v>
      </c>
      <c r="F649" s="8">
        <v>1</v>
      </c>
      <c r="G649" s="8">
        <v>1</v>
      </c>
      <c r="H649" s="8">
        <v>1500</v>
      </c>
      <c r="I649" s="22">
        <f>VLOOKUP(C649,Resources!B:G,6,FALSE)</f>
        <v>1</v>
      </c>
      <c r="J649" s="139">
        <f t="shared" si="718"/>
        <v>1500</v>
      </c>
      <c r="K649" s="139">
        <f t="shared" si="719"/>
        <v>1500</v>
      </c>
      <c r="L649" s="139">
        <f>IF(E649="M"," ",K649/F649/Workhrs)</f>
        <v>166.66666666666666</v>
      </c>
      <c r="M649" s="139">
        <f t="shared" si="720"/>
        <v>0</v>
      </c>
      <c r="N649" s="139">
        <f t="shared" si="721"/>
        <v>0</v>
      </c>
      <c r="O649" s="139">
        <f t="shared" si="722"/>
        <v>1500</v>
      </c>
      <c r="P649" s="139">
        <f>IF($E649="S",$J649,0)</f>
        <v>0</v>
      </c>
      <c r="Q649" s="139">
        <f t="shared" si="723"/>
        <v>1500</v>
      </c>
      <c r="R649" s="156">
        <v>71</v>
      </c>
    </row>
    <row r="650" spans="1:18" x14ac:dyDescent="0.35">
      <c r="C650" s="6" t="s">
        <v>402</v>
      </c>
      <c r="F650" s="9"/>
      <c r="G650" s="9"/>
      <c r="H650" s="9"/>
      <c r="I650" s="9"/>
    </row>
    <row r="651" spans="1:18" ht="30" x14ac:dyDescent="0.35">
      <c r="A651" s="26">
        <v>91</v>
      </c>
      <c r="B651" s="94" t="s">
        <v>209</v>
      </c>
      <c r="C651" s="1" t="s">
        <v>210</v>
      </c>
      <c r="D651" s="2" t="s">
        <v>45</v>
      </c>
      <c r="E651" s="24"/>
      <c r="F651" s="7"/>
      <c r="G651" s="7"/>
      <c r="H651" s="97">
        <f>VLOOKUP($A651,'Model Inputs'!$A:$D,4,FALSE)</f>
        <v>62</v>
      </c>
      <c r="I651" s="7"/>
      <c r="J651" s="138">
        <f>SUBTOTAL(9,J653:J657)</f>
        <v>4351.8966666666665</v>
      </c>
      <c r="K651" s="138"/>
      <c r="L651" s="138">
        <f>ROUNDUP(L656,0)</f>
        <v>1</v>
      </c>
      <c r="M651" s="138">
        <f t="shared" ref="M651:Q651" si="724">SUBTOTAL(9,M653:M657)</f>
        <v>0</v>
      </c>
      <c r="N651" s="138">
        <f t="shared" si="724"/>
        <v>991.89666666666676</v>
      </c>
      <c r="O651" s="138">
        <f t="shared" si="724"/>
        <v>1500</v>
      </c>
      <c r="P651" s="138">
        <f t="shared" si="724"/>
        <v>1860</v>
      </c>
      <c r="Q651" s="138">
        <f t="shared" si="724"/>
        <v>4351.8966666666665</v>
      </c>
      <c r="R651" s="155"/>
    </row>
    <row r="652" spans="1:18" x14ac:dyDescent="0.35">
      <c r="B652" s="95">
        <v>1</v>
      </c>
      <c r="C652" s="6" t="s">
        <v>72</v>
      </c>
      <c r="F652" s="9"/>
      <c r="G652" s="9"/>
      <c r="H652" s="9"/>
      <c r="I652" s="9"/>
    </row>
    <row r="653" spans="1:18" x14ac:dyDescent="0.35">
      <c r="A653" s="27"/>
      <c r="B653" s="92">
        <v>2</v>
      </c>
      <c r="C653" s="19" t="s">
        <v>73</v>
      </c>
      <c r="D653" s="3" t="s">
        <v>74</v>
      </c>
      <c r="E653" s="27" t="str">
        <f>VLOOKUP(C653,Resources!B:D,3,FALSE)</f>
        <v>M</v>
      </c>
      <c r="F653" s="8">
        <v>1</v>
      </c>
      <c r="G653" s="8">
        <v>1</v>
      </c>
      <c r="H653" s="8">
        <f>H651/12</f>
        <v>5.166666666666667</v>
      </c>
      <c r="I653" s="22">
        <f>VLOOKUP(C653,Resources!B:G,6,FALSE)</f>
        <v>181</v>
      </c>
      <c r="J653" s="139">
        <f t="shared" ref="J653:J657" si="725">(H653/(G653/F653))*I653</f>
        <v>935.16666666666674</v>
      </c>
      <c r="K653" s="139">
        <f t="shared" ref="K653:K657" si="726">IF(E653="M",H653,(H653/(G653)*F653))</f>
        <v>5.166666666666667</v>
      </c>
      <c r="L653" s="139" t="str">
        <f>IF(E653="M"," ",K653/F653/Workhrs)</f>
        <v xml:space="preserve"> </v>
      </c>
      <c r="M653" s="139">
        <f t="shared" ref="M653:M657" si="727">IF($E653="L",$J653,0)</f>
        <v>0</v>
      </c>
      <c r="N653" s="139">
        <f t="shared" ref="N653:N657" si="728">IF($E653="M",$J653,0)</f>
        <v>935.16666666666674</v>
      </c>
      <c r="O653" s="139">
        <f t="shared" ref="O653:O657" si="729">IF($E653="P",$J653,0)</f>
        <v>0</v>
      </c>
      <c r="P653" s="139">
        <f>IF($E653="S",$J653,0)</f>
        <v>0</v>
      </c>
      <c r="Q653" s="139">
        <f t="shared" ref="Q653:Q657" si="730">SUM(M653:P653)</f>
        <v>935.16666666666674</v>
      </c>
      <c r="R653" s="156" t="s">
        <v>691</v>
      </c>
    </row>
    <row r="654" spans="1:18" x14ac:dyDescent="0.35">
      <c r="A654" s="27"/>
      <c r="B654" s="92">
        <v>3</v>
      </c>
      <c r="C654" s="19" t="s">
        <v>75</v>
      </c>
      <c r="D654" s="3" t="s">
        <v>54</v>
      </c>
      <c r="E654" s="27" t="str">
        <f>VLOOKUP(C654,Resources!B:D,3,FALSE)</f>
        <v>M</v>
      </c>
      <c r="F654" s="8">
        <v>1</v>
      </c>
      <c r="G654" s="8">
        <v>1</v>
      </c>
      <c r="H654" s="8">
        <f>H651/75</f>
        <v>0.82666666666666666</v>
      </c>
      <c r="I654" s="22">
        <f>VLOOKUP(C654,Resources!B:G,6,FALSE)</f>
        <v>24</v>
      </c>
      <c r="J654" s="139">
        <f t="shared" si="725"/>
        <v>19.84</v>
      </c>
      <c r="K654" s="139">
        <f t="shared" si="726"/>
        <v>0.82666666666666666</v>
      </c>
      <c r="L654" s="139" t="str">
        <f>IF(E654="M"," ",K654/F654/Workhrs)</f>
        <v xml:space="preserve"> </v>
      </c>
      <c r="M654" s="139">
        <f t="shared" si="727"/>
        <v>0</v>
      </c>
      <c r="N654" s="139">
        <f t="shared" si="728"/>
        <v>19.84</v>
      </c>
      <c r="O654" s="139">
        <f t="shared" si="729"/>
        <v>0</v>
      </c>
      <c r="P654" s="139">
        <f>IF($E654="S",$J654,0)</f>
        <v>0</v>
      </c>
      <c r="Q654" s="139">
        <f t="shared" si="730"/>
        <v>19.84</v>
      </c>
      <c r="R654" s="156" t="s">
        <v>692</v>
      </c>
    </row>
    <row r="655" spans="1:18" x14ac:dyDescent="0.35">
      <c r="A655" s="27"/>
      <c r="B655" s="92">
        <v>4</v>
      </c>
      <c r="C655" s="19" t="s">
        <v>76</v>
      </c>
      <c r="D655" s="3" t="s">
        <v>54</v>
      </c>
      <c r="E655" s="27" t="str">
        <f>VLOOKUP(C655,Resources!B:D,3,FALSE)</f>
        <v>M</v>
      </c>
      <c r="F655" s="8">
        <v>1</v>
      </c>
      <c r="G655" s="8">
        <v>1</v>
      </c>
      <c r="H655" s="8">
        <f>H654/8</f>
        <v>0.10333333333333333</v>
      </c>
      <c r="I655" s="22">
        <f>VLOOKUP(C655,Resources!B:G,6,FALSE)</f>
        <v>357</v>
      </c>
      <c r="J655" s="139">
        <f t="shared" si="725"/>
        <v>36.89</v>
      </c>
      <c r="K655" s="139">
        <f t="shared" si="726"/>
        <v>0.10333333333333333</v>
      </c>
      <c r="L655" s="139" t="str">
        <f>IF(E655="M"," ",K655/F655/Workhrs)</f>
        <v xml:space="preserve"> </v>
      </c>
      <c r="M655" s="139">
        <f t="shared" si="727"/>
        <v>0</v>
      </c>
      <c r="N655" s="139">
        <f t="shared" si="728"/>
        <v>36.89</v>
      </c>
      <c r="O655" s="139">
        <f t="shared" si="729"/>
        <v>0</v>
      </c>
      <c r="P655" s="139">
        <f>IF($E655="S",$J655,0)</f>
        <v>0</v>
      </c>
      <c r="Q655" s="139">
        <f t="shared" si="730"/>
        <v>36.89</v>
      </c>
      <c r="R655" s="156">
        <v>71</v>
      </c>
    </row>
    <row r="656" spans="1:18" x14ac:dyDescent="0.35">
      <c r="A656" s="27"/>
      <c r="B656" s="92">
        <v>5</v>
      </c>
      <c r="C656" s="19" t="s">
        <v>409</v>
      </c>
      <c r="D656" s="3" t="s">
        <v>45</v>
      </c>
      <c r="E656" s="27" t="str">
        <f>VLOOKUP(C656,Resources!B:D,3,FALSE)</f>
        <v>S</v>
      </c>
      <c r="F656" s="8">
        <v>1</v>
      </c>
      <c r="G656" s="8">
        <v>1</v>
      </c>
      <c r="H656" s="8">
        <f>H651</f>
        <v>62</v>
      </c>
      <c r="I656" s="22">
        <f>VLOOKUP(C656,Resources!B:G,6,FALSE)</f>
        <v>30</v>
      </c>
      <c r="J656" s="139">
        <f t="shared" si="725"/>
        <v>1860</v>
      </c>
      <c r="K656" s="139">
        <f t="shared" si="726"/>
        <v>62</v>
      </c>
      <c r="L656" s="139">
        <f>IF(E656="M"," ",K656/(F656*(200/9))/Workhrs)</f>
        <v>0.31</v>
      </c>
      <c r="M656" s="139">
        <f t="shared" si="727"/>
        <v>0</v>
      </c>
      <c r="N656" s="139">
        <f t="shared" si="728"/>
        <v>0</v>
      </c>
      <c r="O656" s="139">
        <f t="shared" si="729"/>
        <v>0</v>
      </c>
      <c r="P656" s="139">
        <f>IF($E656="S",$J656,0)</f>
        <v>1860</v>
      </c>
      <c r="Q656" s="139">
        <f t="shared" si="730"/>
        <v>1860</v>
      </c>
      <c r="R656" s="156">
        <v>71</v>
      </c>
    </row>
    <row r="657" spans="1:18" x14ac:dyDescent="0.35">
      <c r="A657" s="27"/>
      <c r="B657" s="92">
        <v>6</v>
      </c>
      <c r="C657" s="19" t="s">
        <v>78</v>
      </c>
      <c r="D657" s="3" t="s">
        <v>17</v>
      </c>
      <c r="E657" s="27" t="str">
        <f>VLOOKUP(C657,Resources!B:D,3,FALSE)</f>
        <v>P</v>
      </c>
      <c r="F657" s="8">
        <v>1</v>
      </c>
      <c r="G657" s="8">
        <v>1</v>
      </c>
      <c r="H657" s="8">
        <v>1500</v>
      </c>
      <c r="I657" s="22">
        <f>VLOOKUP(C657,Resources!B:G,6,FALSE)</f>
        <v>1</v>
      </c>
      <c r="J657" s="139">
        <f t="shared" si="725"/>
        <v>1500</v>
      </c>
      <c r="K657" s="139">
        <f t="shared" si="726"/>
        <v>1500</v>
      </c>
      <c r="L657" s="139">
        <f>IF(E657="M"," ",K657/F657/Workhrs)</f>
        <v>166.66666666666666</v>
      </c>
      <c r="M657" s="139">
        <f t="shared" si="727"/>
        <v>0</v>
      </c>
      <c r="N657" s="139">
        <f t="shared" si="728"/>
        <v>0</v>
      </c>
      <c r="O657" s="139">
        <f t="shared" si="729"/>
        <v>1500</v>
      </c>
      <c r="P657" s="139">
        <f>IF($E657="S",$J657,0)</f>
        <v>0</v>
      </c>
      <c r="Q657" s="139">
        <f t="shared" si="730"/>
        <v>1500</v>
      </c>
      <c r="R657" s="156">
        <v>71</v>
      </c>
    </row>
    <row r="658" spans="1:18" x14ac:dyDescent="0.35">
      <c r="C658" s="6" t="s">
        <v>402</v>
      </c>
      <c r="F658" s="9"/>
      <c r="G658" s="9"/>
      <c r="H658" s="9"/>
      <c r="I658" s="9"/>
    </row>
    <row r="659" spans="1:18" ht="30" x14ac:dyDescent="0.35">
      <c r="A659" s="26">
        <v>92</v>
      </c>
      <c r="B659" s="94" t="s">
        <v>211</v>
      </c>
      <c r="C659" s="1" t="s">
        <v>212</v>
      </c>
      <c r="D659" s="2" t="s">
        <v>45</v>
      </c>
      <c r="E659" s="24"/>
      <c r="F659" s="7"/>
      <c r="G659" s="7"/>
      <c r="H659" s="97">
        <f>VLOOKUP($A659,'Model Inputs'!$A:$D,4,FALSE)</f>
        <v>1520</v>
      </c>
      <c r="I659" s="7"/>
      <c r="J659" s="138">
        <f>SUBTOTAL(9,J661:J667)</f>
        <v>59161.798451845185</v>
      </c>
      <c r="K659" s="138"/>
      <c r="L659" s="138">
        <f>ROUNDUP(MAX(L664:L667),0)</f>
        <v>16</v>
      </c>
      <c r="M659" s="138">
        <f t="shared" ref="M659:Q659" si="731">SUBTOTAL(9,M661:M667)</f>
        <v>17238.523852385239</v>
      </c>
      <c r="N659" s="138">
        <f t="shared" si="731"/>
        <v>9977.2799999999988</v>
      </c>
      <c r="O659" s="138">
        <f t="shared" si="731"/>
        <v>31945.994599459947</v>
      </c>
      <c r="P659" s="138">
        <f t="shared" si="731"/>
        <v>0</v>
      </c>
      <c r="Q659" s="138">
        <f t="shared" si="731"/>
        <v>59161.798451845185</v>
      </c>
      <c r="R659" s="155"/>
    </row>
    <row r="660" spans="1:18" ht="30" x14ac:dyDescent="0.35">
      <c r="B660" s="95">
        <v>1</v>
      </c>
      <c r="C660" s="6" t="s">
        <v>81</v>
      </c>
      <c r="F660" s="9"/>
      <c r="G660" s="9"/>
      <c r="H660" s="9"/>
      <c r="I660" s="9"/>
    </row>
    <row r="661" spans="1:18" x14ac:dyDescent="0.35">
      <c r="A661" s="27"/>
      <c r="B661" s="92">
        <v>2</v>
      </c>
      <c r="C661" s="19" t="s">
        <v>82</v>
      </c>
      <c r="D661" s="3" t="s">
        <v>45</v>
      </c>
      <c r="E661" s="27" t="str">
        <f>VLOOKUP(C661,Resources!B:D,3,FALSE)</f>
        <v>M</v>
      </c>
      <c r="F661" s="8">
        <v>1</v>
      </c>
      <c r="G661" s="8">
        <v>1</v>
      </c>
      <c r="H661" s="8">
        <f>H659</f>
        <v>1520</v>
      </c>
      <c r="I661" s="22">
        <f>VLOOKUP(C661,Resources!B:G,6,FALSE)</f>
        <v>2.5</v>
      </c>
      <c r="J661" s="139">
        <f t="shared" ref="J661:J667" si="732">(H661/(G661/F661))*I661</f>
        <v>3800</v>
      </c>
      <c r="K661" s="139">
        <f t="shared" ref="K661:K667" si="733">IF(E661="M",H661,(H661/(G661)*F661))</f>
        <v>1520</v>
      </c>
      <c r="L661" s="139" t="str">
        <f t="shared" ref="L661:L667" si="734">IF(E661="M"," ",K661/F661/Workhrs)</f>
        <v xml:space="preserve"> </v>
      </c>
      <c r="M661" s="139">
        <f t="shared" ref="M661:M667" si="735">IF($E661="L",$J661,0)</f>
        <v>0</v>
      </c>
      <c r="N661" s="139">
        <f t="shared" ref="N661:N667" si="736">IF($E661="M",$J661,0)</f>
        <v>3800</v>
      </c>
      <c r="O661" s="139">
        <f t="shared" ref="O661:O667" si="737">IF($E661="P",$J661,0)</f>
        <v>0</v>
      </c>
      <c r="P661" s="139">
        <f t="shared" ref="P661:P667" si="738">IF($E661="S",$J661,0)</f>
        <v>0</v>
      </c>
      <c r="Q661" s="139">
        <f t="shared" ref="Q661:Q667" si="739">SUM(M661:P661)</f>
        <v>3800</v>
      </c>
      <c r="R661" s="156">
        <v>87</v>
      </c>
    </row>
    <row r="662" spans="1:18" x14ac:dyDescent="0.35">
      <c r="A662" s="27"/>
      <c r="B662" s="92">
        <v>3</v>
      </c>
      <c r="C662" s="19" t="s">
        <v>404</v>
      </c>
      <c r="D662" s="3" t="s">
        <v>23</v>
      </c>
      <c r="E662" s="27" t="str">
        <f>VLOOKUP(C662,Resources!B:D,3,FALSE)</f>
        <v>M</v>
      </c>
      <c r="F662" s="8">
        <v>1</v>
      </c>
      <c r="G662" s="8">
        <v>1</v>
      </c>
      <c r="H662" s="8">
        <f>H659/50</f>
        <v>30.4</v>
      </c>
      <c r="I662" s="22">
        <f>VLOOKUP(C662,Resources!B:G,6,FALSE)</f>
        <v>25</v>
      </c>
      <c r="J662" s="139">
        <f t="shared" si="732"/>
        <v>760</v>
      </c>
      <c r="K662" s="139">
        <f t="shared" si="733"/>
        <v>30.4</v>
      </c>
      <c r="L662" s="139" t="str">
        <f t="shared" si="734"/>
        <v xml:space="preserve"> </v>
      </c>
      <c r="M662" s="139">
        <f t="shared" si="735"/>
        <v>0</v>
      </c>
      <c r="N662" s="139">
        <f t="shared" si="736"/>
        <v>760</v>
      </c>
      <c r="O662" s="139">
        <f t="shared" si="737"/>
        <v>0</v>
      </c>
      <c r="P662" s="139">
        <f t="shared" si="738"/>
        <v>0</v>
      </c>
      <c r="Q662" s="139">
        <f t="shared" si="739"/>
        <v>760</v>
      </c>
      <c r="R662" s="156">
        <v>87</v>
      </c>
    </row>
    <row r="663" spans="1:18" x14ac:dyDescent="0.35">
      <c r="A663" s="27"/>
      <c r="B663" s="92">
        <v>4</v>
      </c>
      <c r="C663" s="19" t="s">
        <v>75</v>
      </c>
      <c r="D663" s="3" t="s">
        <v>54</v>
      </c>
      <c r="E663" s="27" t="str">
        <f>VLOOKUP(C663,Resources!B:D,3,FALSE)</f>
        <v>M</v>
      </c>
      <c r="F663" s="8">
        <v>1</v>
      </c>
      <c r="G663" s="8">
        <v>1</v>
      </c>
      <c r="H663" s="8">
        <f>H659*0.3*0.3*1.5*1.1</f>
        <v>225.72</v>
      </c>
      <c r="I663" s="22">
        <f>VLOOKUP(C663,Resources!B:G,6,FALSE)</f>
        <v>24</v>
      </c>
      <c r="J663" s="139">
        <f t="shared" si="732"/>
        <v>5417.28</v>
      </c>
      <c r="K663" s="139">
        <f t="shared" si="733"/>
        <v>225.72</v>
      </c>
      <c r="L663" s="139" t="str">
        <f t="shared" si="734"/>
        <v xml:space="preserve"> </v>
      </c>
      <c r="M663" s="139">
        <f t="shared" si="735"/>
        <v>0</v>
      </c>
      <c r="N663" s="139">
        <f t="shared" si="736"/>
        <v>5417.28</v>
      </c>
      <c r="O663" s="139">
        <f t="shared" si="737"/>
        <v>0</v>
      </c>
      <c r="P663" s="139">
        <f t="shared" si="738"/>
        <v>0</v>
      </c>
      <c r="Q663" s="139">
        <f t="shared" si="739"/>
        <v>5417.28</v>
      </c>
      <c r="R663" s="156" t="s">
        <v>692</v>
      </c>
    </row>
    <row r="664" spans="1:18" x14ac:dyDescent="0.35">
      <c r="A664" s="27">
        <v>92.1</v>
      </c>
      <c r="B664" s="92">
        <v>5</v>
      </c>
      <c r="C664" s="19" t="s">
        <v>50</v>
      </c>
      <c r="D664" s="3" t="s">
        <v>26</v>
      </c>
      <c r="E664" s="27" t="str">
        <f>VLOOKUP(C664,Resources!B:D,3,FALSE)</f>
        <v>P</v>
      </c>
      <c r="F664" s="8">
        <v>1</v>
      </c>
      <c r="G664" s="97">
        <f>VLOOKUP($A664,'Model Inputs'!$A:$D,4,FALSE)</f>
        <v>11.11</v>
      </c>
      <c r="H664" s="8">
        <f>H659</f>
        <v>1520</v>
      </c>
      <c r="I664" s="22">
        <f>VLOOKUP(C664,Resources!B:G,6,FALSE)</f>
        <v>135</v>
      </c>
      <c r="J664" s="139">
        <f t="shared" si="732"/>
        <v>18469.84698469847</v>
      </c>
      <c r="K664" s="139">
        <f t="shared" si="733"/>
        <v>136.81368136813683</v>
      </c>
      <c r="L664" s="139">
        <f t="shared" si="734"/>
        <v>15.201520152015203</v>
      </c>
      <c r="M664" s="139">
        <f t="shared" si="735"/>
        <v>0</v>
      </c>
      <c r="N664" s="139">
        <f t="shared" si="736"/>
        <v>0</v>
      </c>
      <c r="O664" s="139">
        <f t="shared" si="737"/>
        <v>18469.84698469847</v>
      </c>
      <c r="P664" s="139">
        <f t="shared" si="738"/>
        <v>0</v>
      </c>
      <c r="Q664" s="139">
        <f t="shared" si="739"/>
        <v>18469.84698469847</v>
      </c>
      <c r="R664" s="156">
        <v>87</v>
      </c>
    </row>
    <row r="665" spans="1:18" x14ac:dyDescent="0.35">
      <c r="A665" s="27"/>
      <c r="B665" s="92">
        <v>6</v>
      </c>
      <c r="C665" s="19" t="s">
        <v>8</v>
      </c>
      <c r="D665" s="3" t="s">
        <v>26</v>
      </c>
      <c r="E665" s="27" t="str">
        <f>VLOOKUP(C665,Resources!B:D,3,FALSE)</f>
        <v>L</v>
      </c>
      <c r="F665" s="8">
        <v>3</v>
      </c>
      <c r="G665" s="8">
        <f>G664</f>
        <v>11.11</v>
      </c>
      <c r="H665" s="8">
        <f>H659</f>
        <v>1520</v>
      </c>
      <c r="I665" s="22">
        <f>VLOOKUP(C665,Resources!B:G,6,FALSE)</f>
        <v>42</v>
      </c>
      <c r="J665" s="139">
        <f t="shared" si="732"/>
        <v>17238.523852385239</v>
      </c>
      <c r="K665" s="139">
        <f t="shared" si="733"/>
        <v>410.44104410441048</v>
      </c>
      <c r="L665" s="139">
        <f t="shared" si="734"/>
        <v>15.201520152015203</v>
      </c>
      <c r="M665" s="139">
        <f t="shared" si="735"/>
        <v>17238.523852385239</v>
      </c>
      <c r="N665" s="139">
        <f t="shared" si="736"/>
        <v>0</v>
      </c>
      <c r="O665" s="139">
        <f t="shared" si="737"/>
        <v>0</v>
      </c>
      <c r="P665" s="139">
        <f t="shared" si="738"/>
        <v>0</v>
      </c>
      <c r="Q665" s="139">
        <f t="shared" si="739"/>
        <v>17238.523852385239</v>
      </c>
      <c r="R665" s="156">
        <v>87</v>
      </c>
    </row>
    <row r="666" spans="1:18" x14ac:dyDescent="0.35">
      <c r="A666" s="27"/>
      <c r="B666" s="92">
        <v>7</v>
      </c>
      <c r="C666" s="19" t="s">
        <v>47</v>
      </c>
      <c r="D666" s="3" t="s">
        <v>26</v>
      </c>
      <c r="E666" s="27" t="str">
        <f>VLOOKUP(C666,Resources!B:D,3,FALSE)</f>
        <v>P</v>
      </c>
      <c r="F666" s="8">
        <v>1</v>
      </c>
      <c r="G666" s="8">
        <f>G664</f>
        <v>11.11</v>
      </c>
      <c r="H666" s="8">
        <f>H659</f>
        <v>1520</v>
      </c>
      <c r="I666" s="22">
        <f>VLOOKUP(C666,Resources!B:G,6,FALSE)</f>
        <v>95</v>
      </c>
      <c r="J666" s="139">
        <f t="shared" si="732"/>
        <v>12997.299729972998</v>
      </c>
      <c r="K666" s="139">
        <f t="shared" si="733"/>
        <v>136.81368136813683</v>
      </c>
      <c r="L666" s="139">
        <f t="shared" si="734"/>
        <v>15.201520152015203</v>
      </c>
      <c r="M666" s="139">
        <f t="shared" si="735"/>
        <v>0</v>
      </c>
      <c r="N666" s="139">
        <f t="shared" si="736"/>
        <v>0</v>
      </c>
      <c r="O666" s="139">
        <f t="shared" si="737"/>
        <v>12997.299729972998</v>
      </c>
      <c r="P666" s="139">
        <f t="shared" si="738"/>
        <v>0</v>
      </c>
      <c r="Q666" s="139">
        <f t="shared" si="739"/>
        <v>12997.299729972998</v>
      </c>
      <c r="R666" s="156">
        <v>87</v>
      </c>
    </row>
    <row r="667" spans="1:18" x14ac:dyDescent="0.35">
      <c r="A667" s="27"/>
      <c r="B667" s="92">
        <v>8</v>
      </c>
      <c r="C667" s="19" t="s">
        <v>83</v>
      </c>
      <c r="D667" s="3" t="s">
        <v>26</v>
      </c>
      <c r="E667" s="27" t="str">
        <f>VLOOKUP(C667,Resources!B:D,3,FALSE)</f>
        <v>P</v>
      </c>
      <c r="F667" s="8">
        <v>1</v>
      </c>
      <c r="G667" s="8">
        <f>G664</f>
        <v>11.11</v>
      </c>
      <c r="H667" s="8">
        <f>H659</f>
        <v>1520</v>
      </c>
      <c r="I667" s="22">
        <f>VLOOKUP(C667,Resources!B:G,6,FALSE)</f>
        <v>3.5</v>
      </c>
      <c r="J667" s="139">
        <f t="shared" si="732"/>
        <v>478.84788478847889</v>
      </c>
      <c r="K667" s="139">
        <f t="shared" si="733"/>
        <v>136.81368136813683</v>
      </c>
      <c r="L667" s="139">
        <f t="shared" si="734"/>
        <v>15.201520152015203</v>
      </c>
      <c r="M667" s="139">
        <f t="shared" si="735"/>
        <v>0</v>
      </c>
      <c r="N667" s="139">
        <f t="shared" si="736"/>
        <v>0</v>
      </c>
      <c r="O667" s="139">
        <f t="shared" si="737"/>
        <v>478.84788478847889</v>
      </c>
      <c r="P667" s="139">
        <f t="shared" si="738"/>
        <v>0</v>
      </c>
      <c r="Q667" s="139">
        <f t="shared" si="739"/>
        <v>478.84788478847889</v>
      </c>
      <c r="R667" s="156">
        <v>87</v>
      </c>
    </row>
    <row r="668" spans="1:18" x14ac:dyDescent="0.35">
      <c r="C668" s="6" t="s">
        <v>402</v>
      </c>
      <c r="F668" s="9"/>
      <c r="G668" s="9"/>
      <c r="H668" s="9"/>
      <c r="I668" s="9"/>
    </row>
    <row r="669" spans="1:18" ht="30" x14ac:dyDescent="0.35">
      <c r="A669" s="26">
        <v>93</v>
      </c>
      <c r="B669" s="94" t="s">
        <v>213</v>
      </c>
      <c r="C669" s="1" t="s">
        <v>89</v>
      </c>
      <c r="D669" s="2"/>
      <c r="E669" s="24"/>
      <c r="F669" s="7"/>
      <c r="G669" s="7"/>
      <c r="H669" s="7"/>
      <c r="I669" s="7"/>
      <c r="J669" s="138"/>
      <c r="K669" s="138"/>
      <c r="L669" s="138"/>
      <c r="M669" s="138"/>
      <c r="N669" s="138"/>
      <c r="O669" s="138"/>
      <c r="P669" s="138"/>
      <c r="Q669" s="138"/>
      <c r="R669" s="155"/>
    </row>
    <row r="670" spans="1:18" ht="30" x14ac:dyDescent="0.35">
      <c r="A670" s="26">
        <v>94</v>
      </c>
      <c r="B670" s="94" t="s">
        <v>214</v>
      </c>
      <c r="C670" s="1" t="s">
        <v>97</v>
      </c>
      <c r="D670" s="2" t="s">
        <v>683</v>
      </c>
      <c r="E670" s="24"/>
      <c r="F670" s="7"/>
      <c r="G670" s="7"/>
      <c r="H670" s="97">
        <f>VLOOKUP($A670,'Model Inputs'!$A:$D,4,FALSE)</f>
        <v>1135</v>
      </c>
      <c r="I670" s="7"/>
      <c r="J670" s="138">
        <f>SUBTOTAL(9,J673:J677)</f>
        <v>52163.00630063007</v>
      </c>
      <c r="K670" s="138"/>
      <c r="L670" s="138">
        <f>ROUNDUP(MAX(L673:L677),0)</f>
        <v>7</v>
      </c>
      <c r="M670" s="138">
        <f t="shared" ref="M670:Q670" si="740">SUBTOTAL(9,M673:M677)</f>
        <v>7723.3123312331254</v>
      </c>
      <c r="N670" s="138">
        <f t="shared" si="740"/>
        <v>0</v>
      </c>
      <c r="O670" s="138">
        <f t="shared" si="740"/>
        <v>44439.693969396947</v>
      </c>
      <c r="P670" s="138">
        <f t="shared" si="740"/>
        <v>0</v>
      </c>
      <c r="Q670" s="138">
        <f t="shared" si="740"/>
        <v>52163.00630063007</v>
      </c>
      <c r="R670" s="155"/>
    </row>
    <row r="671" spans="1:18" ht="30" x14ac:dyDescent="0.35">
      <c r="B671" s="95">
        <v>1</v>
      </c>
      <c r="C671" s="6" t="s">
        <v>62</v>
      </c>
      <c r="F671" s="9"/>
      <c r="G671" s="9"/>
      <c r="H671" s="9"/>
      <c r="I671" s="9"/>
    </row>
    <row r="672" spans="1:18" ht="30" x14ac:dyDescent="0.35">
      <c r="A672" s="27"/>
      <c r="B672" s="92">
        <v>2</v>
      </c>
      <c r="C672" s="5" t="s">
        <v>671</v>
      </c>
      <c r="D672" s="3" t="s">
        <v>54</v>
      </c>
      <c r="E672" s="27"/>
      <c r="F672" s="8"/>
      <c r="G672" s="8"/>
      <c r="H672" s="8">
        <f>H670*GCF</f>
        <v>2724.0000000000005</v>
      </c>
      <c r="I672" s="8"/>
      <c r="J672" s="139"/>
      <c r="K672" s="139"/>
      <c r="L672" s="139"/>
      <c r="M672" s="139"/>
      <c r="N672" s="139"/>
      <c r="O672" s="139"/>
      <c r="P672" s="139"/>
      <c r="Q672" s="139"/>
      <c r="R672" s="156"/>
    </row>
    <row r="673" spans="1:18" x14ac:dyDescent="0.35">
      <c r="A673" s="27">
        <v>95</v>
      </c>
      <c r="B673" s="92">
        <v>3</v>
      </c>
      <c r="C673" s="19" t="s">
        <v>63</v>
      </c>
      <c r="D673" s="3" t="s">
        <v>26</v>
      </c>
      <c r="E673" s="27" t="str">
        <f>VLOOKUP(C673,Resources!B:D,3,FALSE)</f>
        <v>P</v>
      </c>
      <c r="F673" s="8">
        <v>1</v>
      </c>
      <c r="G673" s="97">
        <f>VLOOKUP($A673,'Model Inputs'!$A:$D,4,FALSE)</f>
        <v>44.44</v>
      </c>
      <c r="H673" s="8">
        <f>H672</f>
        <v>2724.0000000000005</v>
      </c>
      <c r="I673" s="22">
        <f>VLOOKUP(C673,Resources!B:G,6,FALSE)</f>
        <v>135</v>
      </c>
      <c r="J673" s="139">
        <f t="shared" ref="J673:J677" si="741">(H673/(G673/F673))*I673</f>
        <v>8274.9774977497764</v>
      </c>
      <c r="K673" s="139">
        <f t="shared" ref="K673:K677" si="742">IF(E673="M",H673,(H673/(G673)*F673))</f>
        <v>61.296129612961309</v>
      </c>
      <c r="L673" s="139">
        <f>IF(E673="M"," ",K673/F673/Workhrs)</f>
        <v>6.8106810681068124</v>
      </c>
      <c r="M673" s="139">
        <f t="shared" ref="M673:M677" si="743">IF($E673="L",$J673,0)</f>
        <v>0</v>
      </c>
      <c r="N673" s="139">
        <f t="shared" ref="N673:N677" si="744">IF($E673="M",$J673,0)</f>
        <v>0</v>
      </c>
      <c r="O673" s="139">
        <f t="shared" ref="O673:O677" si="745">IF($E673="P",$J673,0)</f>
        <v>8274.9774977497764</v>
      </c>
      <c r="P673" s="139">
        <f>IF($E673="S",$J673,0)</f>
        <v>0</v>
      </c>
      <c r="Q673" s="139">
        <f t="shared" ref="Q673:Q677" si="746">SUM(M673:P673)</f>
        <v>8274.9774977497764</v>
      </c>
      <c r="R673" s="156">
        <v>62</v>
      </c>
    </row>
    <row r="674" spans="1:18" x14ac:dyDescent="0.35">
      <c r="A674" s="27"/>
      <c r="B674" s="92">
        <v>4</v>
      </c>
      <c r="C674" s="19" t="s">
        <v>64</v>
      </c>
      <c r="D674" s="3" t="s">
        <v>26</v>
      </c>
      <c r="E674" s="27" t="str">
        <f>VLOOKUP(C674,Resources!B:D,3,FALSE)</f>
        <v>P</v>
      </c>
      <c r="F674" s="8">
        <v>3</v>
      </c>
      <c r="G674" s="8">
        <f>G673</f>
        <v>44.44</v>
      </c>
      <c r="H674" s="8">
        <f>H672</f>
        <v>2724.0000000000005</v>
      </c>
      <c r="I674" s="22">
        <f>VLOOKUP(C674,Resources!B:G,6,FALSE)</f>
        <v>145</v>
      </c>
      <c r="J674" s="139">
        <f t="shared" si="741"/>
        <v>26663.816381638171</v>
      </c>
      <c r="K674" s="139">
        <f t="shared" si="742"/>
        <v>183.88838883888394</v>
      </c>
      <c r="L674" s="139">
        <f>IF(E674="M"," ",K674/F674/Workhrs)</f>
        <v>6.8106810681068133</v>
      </c>
      <c r="M674" s="139">
        <f t="shared" si="743"/>
        <v>0</v>
      </c>
      <c r="N674" s="139">
        <f t="shared" si="744"/>
        <v>0</v>
      </c>
      <c r="O674" s="139">
        <f t="shared" si="745"/>
        <v>26663.816381638171</v>
      </c>
      <c r="P674" s="139">
        <f>IF($E674="S",$J674,0)</f>
        <v>0</v>
      </c>
      <c r="Q674" s="139">
        <f t="shared" si="746"/>
        <v>26663.816381638171</v>
      </c>
      <c r="R674" s="156">
        <v>62</v>
      </c>
    </row>
    <row r="675" spans="1:18" x14ac:dyDescent="0.35">
      <c r="A675" s="27"/>
      <c r="B675" s="92">
        <v>5</v>
      </c>
      <c r="C675" s="19" t="s">
        <v>52</v>
      </c>
      <c r="D675" s="3" t="s">
        <v>26</v>
      </c>
      <c r="E675" s="27" t="str">
        <f>VLOOKUP(C675,Resources!B:D,3,FALSE)</f>
        <v>P</v>
      </c>
      <c r="F675" s="8">
        <v>1</v>
      </c>
      <c r="G675" s="8">
        <f>G673</f>
        <v>44.44</v>
      </c>
      <c r="H675" s="8">
        <f>H672</f>
        <v>2724.0000000000005</v>
      </c>
      <c r="I675" s="22">
        <f>VLOOKUP(C675,Resources!B:G,6,FALSE)</f>
        <v>100</v>
      </c>
      <c r="J675" s="139">
        <f t="shared" si="741"/>
        <v>6129.6129612961313</v>
      </c>
      <c r="K675" s="139">
        <f t="shared" si="742"/>
        <v>61.296129612961309</v>
      </c>
      <c r="L675" s="139">
        <f>IF(E675="M"," ",K675/F675/Workhrs)</f>
        <v>6.8106810681068124</v>
      </c>
      <c r="M675" s="139">
        <f t="shared" si="743"/>
        <v>0</v>
      </c>
      <c r="N675" s="139">
        <f t="shared" si="744"/>
        <v>0</v>
      </c>
      <c r="O675" s="139">
        <f t="shared" si="745"/>
        <v>6129.6129612961313</v>
      </c>
      <c r="P675" s="139">
        <f>IF($E675="S",$J675,0)</f>
        <v>0</v>
      </c>
      <c r="Q675" s="139">
        <f t="shared" si="746"/>
        <v>6129.6129612961313</v>
      </c>
      <c r="R675" s="156">
        <v>62</v>
      </c>
    </row>
    <row r="676" spans="1:18" x14ac:dyDescent="0.35">
      <c r="A676" s="27"/>
      <c r="B676" s="92">
        <v>6</v>
      </c>
      <c r="C676" s="19" t="s">
        <v>106</v>
      </c>
      <c r="D676" s="3" t="s">
        <v>26</v>
      </c>
      <c r="E676" s="27" t="str">
        <f>VLOOKUP(C676,Resources!B:D,3,FALSE)</f>
        <v>P</v>
      </c>
      <c r="F676" s="8">
        <v>1</v>
      </c>
      <c r="G676" s="8">
        <f>G673</f>
        <v>44.44</v>
      </c>
      <c r="H676" s="8">
        <f>H672</f>
        <v>2724.0000000000005</v>
      </c>
      <c r="I676" s="22">
        <f>VLOOKUP(C676,Resources!B:G,6,FALSE)</f>
        <v>55</v>
      </c>
      <c r="J676" s="139">
        <f t="shared" si="741"/>
        <v>3371.2871287128719</v>
      </c>
      <c r="K676" s="139">
        <f t="shared" si="742"/>
        <v>61.296129612961309</v>
      </c>
      <c r="L676" s="139">
        <f>IF(E676="M"," ",K676/F676/Workhrs)</f>
        <v>6.8106810681068124</v>
      </c>
      <c r="M676" s="139">
        <f t="shared" si="743"/>
        <v>0</v>
      </c>
      <c r="N676" s="139">
        <f t="shared" si="744"/>
        <v>0</v>
      </c>
      <c r="O676" s="139">
        <f t="shared" si="745"/>
        <v>3371.2871287128719</v>
      </c>
      <c r="P676" s="139">
        <f>IF($E676="S",$J676,0)</f>
        <v>0</v>
      </c>
      <c r="Q676" s="139">
        <f t="shared" si="746"/>
        <v>3371.2871287128719</v>
      </c>
      <c r="R676" s="156">
        <v>62</v>
      </c>
    </row>
    <row r="677" spans="1:18" x14ac:dyDescent="0.35">
      <c r="A677" s="27"/>
      <c r="B677" s="92">
        <v>7</v>
      </c>
      <c r="C677" s="19" t="s">
        <v>8</v>
      </c>
      <c r="D677" s="3" t="s">
        <v>26</v>
      </c>
      <c r="E677" s="27" t="str">
        <f>VLOOKUP(C677,Resources!B:D,3,FALSE)</f>
        <v>L</v>
      </c>
      <c r="F677" s="8">
        <v>3</v>
      </c>
      <c r="G677" s="8">
        <f>G673</f>
        <v>44.44</v>
      </c>
      <c r="H677" s="8">
        <f>H672</f>
        <v>2724.0000000000005</v>
      </c>
      <c r="I677" s="22">
        <f>VLOOKUP(C677,Resources!B:G,6,FALSE)</f>
        <v>42</v>
      </c>
      <c r="J677" s="139">
        <f t="shared" si="741"/>
        <v>7723.3123312331254</v>
      </c>
      <c r="K677" s="139">
        <f t="shared" si="742"/>
        <v>183.88838883888394</v>
      </c>
      <c r="L677" s="139">
        <f>IF(E677="M"," ",K677/F677/Workhrs)</f>
        <v>6.8106810681068133</v>
      </c>
      <c r="M677" s="139">
        <f t="shared" si="743"/>
        <v>7723.3123312331254</v>
      </c>
      <c r="N677" s="139">
        <f t="shared" si="744"/>
        <v>0</v>
      </c>
      <c r="O677" s="139">
        <f t="shared" si="745"/>
        <v>0</v>
      </c>
      <c r="P677" s="139">
        <f>IF($E677="S",$J677,0)</f>
        <v>0</v>
      </c>
      <c r="Q677" s="139">
        <f t="shared" si="746"/>
        <v>7723.3123312331254</v>
      </c>
      <c r="R677" s="156">
        <v>62</v>
      </c>
    </row>
    <row r="678" spans="1:18" x14ac:dyDescent="0.35">
      <c r="C678" s="6" t="s">
        <v>402</v>
      </c>
      <c r="F678" s="9"/>
      <c r="G678" s="9"/>
      <c r="H678" s="9"/>
      <c r="I678" s="9"/>
    </row>
    <row r="679" spans="1:18" ht="30" x14ac:dyDescent="0.35">
      <c r="A679" s="26">
        <v>96</v>
      </c>
      <c r="B679" s="94" t="s">
        <v>215</v>
      </c>
      <c r="C679" s="1" t="s">
        <v>216</v>
      </c>
      <c r="D679" s="15" t="s">
        <v>683</v>
      </c>
      <c r="E679" s="24"/>
      <c r="F679" s="7"/>
      <c r="G679" s="7"/>
      <c r="H679" s="97">
        <f>VLOOKUP($A679,'Model Inputs'!$A:$D,4,FALSE)</f>
        <v>1490</v>
      </c>
      <c r="I679" s="7"/>
      <c r="J679" s="138">
        <f>SUBTOTAL(9,J682:J691)</f>
        <v>63885.87997266803</v>
      </c>
      <c r="K679" s="138"/>
      <c r="L679" s="138">
        <f>ROUNDUP((MAX(L682:L686)+MAX(L689:L691)),0)</f>
        <v>10</v>
      </c>
      <c r="M679" s="138">
        <f t="shared" ref="M679:Q679" si="747">SUBTOTAL(9,M682:M691)</f>
        <v>10930.302084895757</v>
      </c>
      <c r="N679" s="138">
        <f t="shared" si="747"/>
        <v>0</v>
      </c>
      <c r="O679" s="138">
        <f t="shared" si="747"/>
        <v>52955.577887772277</v>
      </c>
      <c r="P679" s="138">
        <f t="shared" si="747"/>
        <v>0</v>
      </c>
      <c r="Q679" s="138">
        <f t="shared" si="747"/>
        <v>63885.87997266803</v>
      </c>
      <c r="R679" s="155"/>
    </row>
    <row r="680" spans="1:18" ht="30" x14ac:dyDescent="0.35">
      <c r="B680" s="95">
        <v>1</v>
      </c>
      <c r="C680" s="6" t="s">
        <v>679</v>
      </c>
      <c r="F680" s="9"/>
      <c r="G680" s="9"/>
      <c r="H680" s="9"/>
      <c r="I680" s="9"/>
    </row>
    <row r="681" spans="1:18" ht="32.25" x14ac:dyDescent="0.35">
      <c r="A681" s="27"/>
      <c r="B681" s="92">
        <v>2</v>
      </c>
      <c r="C681" s="5" t="s">
        <v>672</v>
      </c>
      <c r="D681" s="3"/>
      <c r="E681" s="27"/>
      <c r="F681" s="8"/>
      <c r="G681" s="8"/>
      <c r="H681" s="8">
        <f>H679*GCF</f>
        <v>3576.0000000000005</v>
      </c>
      <c r="I681" s="22"/>
      <c r="J681" s="139"/>
      <c r="K681" s="139"/>
      <c r="L681" s="139"/>
      <c r="M681" s="139"/>
      <c r="N681" s="139"/>
      <c r="O681" s="139"/>
      <c r="P681" s="139"/>
      <c r="Q681" s="139"/>
      <c r="R681" s="156"/>
    </row>
    <row r="682" spans="1:18" x14ac:dyDescent="0.35">
      <c r="A682" s="27">
        <v>96.1</v>
      </c>
      <c r="B682" s="92">
        <v>3</v>
      </c>
      <c r="C682" s="19" t="s">
        <v>63</v>
      </c>
      <c r="D682" s="3" t="s">
        <v>26</v>
      </c>
      <c r="E682" s="27" t="str">
        <f>VLOOKUP(C682,Resources!B:D,3,FALSE)</f>
        <v>P</v>
      </c>
      <c r="F682" s="8">
        <v>1</v>
      </c>
      <c r="G682" s="97">
        <f>VLOOKUP($A682,'Model Inputs'!$A:$D,4,FALSE)</f>
        <v>66.67</v>
      </c>
      <c r="H682" s="8">
        <f>H681</f>
        <v>3576.0000000000005</v>
      </c>
      <c r="I682" s="22">
        <f>VLOOKUP(C682,Resources!B:G,6,FALSE)</f>
        <v>135</v>
      </c>
      <c r="J682" s="139">
        <f t="shared" ref="J682:J686" si="748">(H682/(G682/F682))*I682</f>
        <v>7241.0379481025957</v>
      </c>
      <c r="K682" s="139">
        <f t="shared" ref="K682:K686" si="749">IF(E682="M",H682,(H682/(G682)*F682))</f>
        <v>53.637318134093299</v>
      </c>
      <c r="L682" s="139">
        <f>IF(E682="M"," ",K682/F682/Workhrs)</f>
        <v>5.9597020148992552</v>
      </c>
      <c r="M682" s="139">
        <f t="shared" ref="M682:M686" si="750">IF($E682="L",$J682,0)</f>
        <v>0</v>
      </c>
      <c r="N682" s="139">
        <f t="shared" ref="N682:N686" si="751">IF($E682="M",$J682,0)</f>
        <v>0</v>
      </c>
      <c r="O682" s="139">
        <f t="shared" ref="O682:O686" si="752">IF($E682="P",$J682,0)</f>
        <v>7241.0379481025957</v>
      </c>
      <c r="P682" s="139">
        <f>IF($E682="S",$J682,0)</f>
        <v>0</v>
      </c>
      <c r="Q682" s="139">
        <f t="shared" ref="Q682:Q686" si="753">SUM(M682:P682)</f>
        <v>7241.0379481025957</v>
      </c>
      <c r="R682" s="156">
        <v>62</v>
      </c>
    </row>
    <row r="683" spans="1:18" x14ac:dyDescent="0.35">
      <c r="A683" s="27"/>
      <c r="B683" s="92">
        <v>4</v>
      </c>
      <c r="C683" s="19" t="s">
        <v>64</v>
      </c>
      <c r="D683" s="3" t="s">
        <v>26</v>
      </c>
      <c r="E683" s="27" t="str">
        <f>VLOOKUP(C683,Resources!B:D,3,FALSE)</f>
        <v>P</v>
      </c>
      <c r="F683" s="8">
        <v>4</v>
      </c>
      <c r="G683" s="8">
        <f>G682</f>
        <v>66.67</v>
      </c>
      <c r="H683" s="8">
        <f>H681</f>
        <v>3576.0000000000005</v>
      </c>
      <c r="I683" s="22">
        <f>VLOOKUP(C683,Resources!B:G,6,FALSE)</f>
        <v>145</v>
      </c>
      <c r="J683" s="139">
        <f t="shared" si="748"/>
        <v>31109.644517774112</v>
      </c>
      <c r="K683" s="139">
        <f t="shared" si="749"/>
        <v>214.54927253637319</v>
      </c>
      <c r="L683" s="139">
        <f>IF(E683="M"," ",K683/F683/Workhrs)</f>
        <v>5.9597020148992552</v>
      </c>
      <c r="M683" s="139">
        <f t="shared" si="750"/>
        <v>0</v>
      </c>
      <c r="N683" s="139">
        <f t="shared" si="751"/>
        <v>0</v>
      </c>
      <c r="O683" s="139">
        <f t="shared" si="752"/>
        <v>31109.644517774112</v>
      </c>
      <c r="P683" s="139">
        <f>IF($E683="S",$J683,0)</f>
        <v>0</v>
      </c>
      <c r="Q683" s="139">
        <f t="shared" si="753"/>
        <v>31109.644517774112</v>
      </c>
      <c r="R683" s="156">
        <v>62</v>
      </c>
    </row>
    <row r="684" spans="1:18" x14ac:dyDescent="0.35">
      <c r="A684" s="27"/>
      <c r="B684" s="92">
        <v>5</v>
      </c>
      <c r="C684" s="19" t="s">
        <v>52</v>
      </c>
      <c r="D684" s="3" t="s">
        <v>26</v>
      </c>
      <c r="E684" s="27" t="str">
        <f>VLOOKUP(C684,Resources!B:D,3,FALSE)</f>
        <v>P</v>
      </c>
      <c r="F684" s="8">
        <v>1</v>
      </c>
      <c r="G684" s="8">
        <f>G682</f>
        <v>66.67</v>
      </c>
      <c r="H684" s="8">
        <f>H681</f>
        <v>3576.0000000000005</v>
      </c>
      <c r="I684" s="22">
        <f>VLOOKUP(C684,Resources!B:G,6,FALSE)</f>
        <v>100</v>
      </c>
      <c r="J684" s="139">
        <f t="shared" si="748"/>
        <v>5363.7318134093302</v>
      </c>
      <c r="K684" s="139">
        <f t="shared" si="749"/>
        <v>53.637318134093299</v>
      </c>
      <c r="L684" s="139">
        <f>IF(E684="M"," ",K684/F684/Workhrs)</f>
        <v>5.9597020148992552</v>
      </c>
      <c r="M684" s="139">
        <f t="shared" si="750"/>
        <v>0</v>
      </c>
      <c r="N684" s="139">
        <f t="shared" si="751"/>
        <v>0</v>
      </c>
      <c r="O684" s="139">
        <f t="shared" si="752"/>
        <v>5363.7318134093302</v>
      </c>
      <c r="P684" s="139">
        <f>IF($E684="S",$J684,0)</f>
        <v>0</v>
      </c>
      <c r="Q684" s="139">
        <f t="shared" si="753"/>
        <v>5363.7318134093302</v>
      </c>
      <c r="R684" s="156">
        <v>62</v>
      </c>
    </row>
    <row r="685" spans="1:18" x14ac:dyDescent="0.35">
      <c r="A685" s="27"/>
      <c r="B685" s="92">
        <v>6</v>
      </c>
      <c r="C685" s="19" t="s">
        <v>106</v>
      </c>
      <c r="D685" s="3" t="s">
        <v>26</v>
      </c>
      <c r="E685" s="27" t="str">
        <f>VLOOKUP(C685,Resources!B:D,3,FALSE)</f>
        <v>P</v>
      </c>
      <c r="F685" s="8">
        <v>1</v>
      </c>
      <c r="G685" s="8">
        <f>G682</f>
        <v>66.67</v>
      </c>
      <c r="H685" s="8">
        <f>H681</f>
        <v>3576.0000000000005</v>
      </c>
      <c r="I685" s="22">
        <f>VLOOKUP(C685,Resources!B:G,6,FALSE)</f>
        <v>55</v>
      </c>
      <c r="J685" s="139">
        <f t="shared" si="748"/>
        <v>2950.0524973751312</v>
      </c>
      <c r="K685" s="139">
        <f t="shared" si="749"/>
        <v>53.637318134093299</v>
      </c>
      <c r="L685" s="139">
        <f>IF(E685="M"," ",K685/F685/Workhrs)</f>
        <v>5.9597020148992552</v>
      </c>
      <c r="M685" s="139">
        <f t="shared" si="750"/>
        <v>0</v>
      </c>
      <c r="N685" s="139">
        <f t="shared" si="751"/>
        <v>0</v>
      </c>
      <c r="O685" s="139">
        <f t="shared" si="752"/>
        <v>2950.0524973751312</v>
      </c>
      <c r="P685" s="139">
        <f>IF($E685="S",$J685,0)</f>
        <v>0</v>
      </c>
      <c r="Q685" s="139">
        <f t="shared" si="753"/>
        <v>2950.0524973751312</v>
      </c>
      <c r="R685" s="156">
        <v>62</v>
      </c>
    </row>
    <row r="686" spans="1:18" x14ac:dyDescent="0.35">
      <c r="A686" s="27"/>
      <c r="B686" s="92">
        <v>7</v>
      </c>
      <c r="C686" s="19" t="s">
        <v>8</v>
      </c>
      <c r="D686" s="3" t="s">
        <v>26</v>
      </c>
      <c r="E686" s="27" t="str">
        <f>VLOOKUP(C686,Resources!B:D,3,FALSE)</f>
        <v>L</v>
      </c>
      <c r="F686" s="8">
        <v>3</v>
      </c>
      <c r="G686" s="8">
        <f>G682</f>
        <v>66.67</v>
      </c>
      <c r="H686" s="8">
        <f>H681</f>
        <v>3576.0000000000005</v>
      </c>
      <c r="I686" s="22">
        <f>VLOOKUP(C686,Resources!B:G,6,FALSE)</f>
        <v>42</v>
      </c>
      <c r="J686" s="139">
        <f t="shared" si="748"/>
        <v>6758.3020848957567</v>
      </c>
      <c r="K686" s="139">
        <f t="shared" si="749"/>
        <v>160.91195440227989</v>
      </c>
      <c r="L686" s="139">
        <f>IF(E686="M"," ",K686/F686/Workhrs)</f>
        <v>5.9597020148992552</v>
      </c>
      <c r="M686" s="139">
        <f t="shared" si="750"/>
        <v>6758.3020848957567</v>
      </c>
      <c r="N686" s="139">
        <f t="shared" si="751"/>
        <v>0</v>
      </c>
      <c r="O686" s="139">
        <f t="shared" si="752"/>
        <v>0</v>
      </c>
      <c r="P686" s="139">
        <f>IF($E686="S",$J686,0)</f>
        <v>0</v>
      </c>
      <c r="Q686" s="139">
        <f t="shared" si="753"/>
        <v>6758.3020848957567</v>
      </c>
      <c r="R686" s="156">
        <v>62</v>
      </c>
    </row>
    <row r="687" spans="1:18" x14ac:dyDescent="0.35">
      <c r="B687" s="95">
        <v>8</v>
      </c>
      <c r="C687" s="6" t="s">
        <v>402</v>
      </c>
      <c r="F687" s="9"/>
      <c r="G687" s="9"/>
      <c r="H687" s="9"/>
      <c r="I687" s="9"/>
    </row>
    <row r="688" spans="1:18" x14ac:dyDescent="0.35">
      <c r="B688" s="95">
        <v>9</v>
      </c>
      <c r="C688" s="6" t="s">
        <v>100</v>
      </c>
      <c r="F688" s="9"/>
      <c r="G688" s="9"/>
      <c r="H688" s="9"/>
      <c r="I688" s="9"/>
    </row>
    <row r="689" spans="1:18" x14ac:dyDescent="0.35">
      <c r="A689" s="27">
        <v>96.2</v>
      </c>
      <c r="B689" s="92">
        <v>10</v>
      </c>
      <c r="C689" s="19" t="s">
        <v>63</v>
      </c>
      <c r="D689" s="3" t="s">
        <v>26</v>
      </c>
      <c r="E689" s="27" t="str">
        <f>VLOOKUP(C689,Resources!B:D,3,FALSE)</f>
        <v>P</v>
      </c>
      <c r="F689" s="8">
        <v>1</v>
      </c>
      <c r="G689" s="97">
        <f>VLOOKUP($A689,'Model Inputs'!$A:$D,4,FALSE)</f>
        <v>300</v>
      </c>
      <c r="H689" s="8">
        <f>H679/0.15</f>
        <v>9933.3333333333339</v>
      </c>
      <c r="I689" s="22">
        <f>VLOOKUP(C689,Resources!B:G,6,FALSE)</f>
        <v>135</v>
      </c>
      <c r="J689" s="139">
        <f t="shared" ref="J689:J691" si="754">(H689/(G689/F689))*I689</f>
        <v>4470</v>
      </c>
      <c r="K689" s="139">
        <f t="shared" ref="K689:K691" si="755">IF(E689="M",H689,(H689/(G689)*F689))</f>
        <v>33.111111111111114</v>
      </c>
      <c r="L689" s="139">
        <f>IF(E689="M"," ",K689/F689/Workhrs)</f>
        <v>3.6790123456790127</v>
      </c>
      <c r="M689" s="139">
        <f t="shared" ref="M689:M691" si="756">IF($E689="L",$J689,0)</f>
        <v>0</v>
      </c>
      <c r="N689" s="139">
        <f t="shared" ref="N689:N691" si="757">IF($E689="M",$J689,0)</f>
        <v>0</v>
      </c>
      <c r="O689" s="139">
        <f t="shared" ref="O689:O691" si="758">IF($E689="P",$J689,0)</f>
        <v>4470</v>
      </c>
      <c r="P689" s="139">
        <f>IF($E689="S",$J689,0)</f>
        <v>0</v>
      </c>
      <c r="Q689" s="139">
        <f t="shared" ref="Q689:Q691" si="759">SUM(M689:P689)</f>
        <v>4470</v>
      </c>
      <c r="R689" s="156">
        <v>63</v>
      </c>
    </row>
    <row r="690" spans="1:18" x14ac:dyDescent="0.35">
      <c r="A690" s="27"/>
      <c r="B690" s="92">
        <v>11</v>
      </c>
      <c r="C690" s="19" t="s">
        <v>405</v>
      </c>
      <c r="D690" s="3" t="s">
        <v>26</v>
      </c>
      <c r="E690" s="27" t="str">
        <f>VLOOKUP(C690,Resources!B:D,3,FALSE)</f>
        <v>P</v>
      </c>
      <c r="F690" s="8">
        <v>1</v>
      </c>
      <c r="G690" s="8">
        <f>G689</f>
        <v>300</v>
      </c>
      <c r="H690" s="8">
        <f>H689</f>
        <v>9933.3333333333339</v>
      </c>
      <c r="I690" s="22">
        <f>VLOOKUP(C690,Resources!B:G,6,FALSE)</f>
        <v>55</v>
      </c>
      <c r="J690" s="139">
        <f t="shared" si="754"/>
        <v>1821.1111111111113</v>
      </c>
      <c r="K690" s="139">
        <f t="shared" si="755"/>
        <v>33.111111111111114</v>
      </c>
      <c r="L690" s="139">
        <f>IF(E690="M"," ",K690/F690/Workhrs)</f>
        <v>3.6790123456790127</v>
      </c>
      <c r="M690" s="139">
        <f t="shared" si="756"/>
        <v>0</v>
      </c>
      <c r="N690" s="139">
        <f t="shared" si="757"/>
        <v>0</v>
      </c>
      <c r="O690" s="139">
        <f t="shared" si="758"/>
        <v>1821.1111111111113</v>
      </c>
      <c r="P690" s="139">
        <f>IF($E690="S",$J690,0)</f>
        <v>0</v>
      </c>
      <c r="Q690" s="139">
        <f t="shared" si="759"/>
        <v>1821.1111111111113</v>
      </c>
      <c r="R690" s="156">
        <v>63</v>
      </c>
    </row>
    <row r="691" spans="1:18" x14ac:dyDescent="0.35">
      <c r="A691" s="27"/>
      <c r="B691" s="92">
        <v>12</v>
      </c>
      <c r="C691" s="19" t="s">
        <v>8</v>
      </c>
      <c r="D691" s="3" t="s">
        <v>26</v>
      </c>
      <c r="E691" s="27" t="str">
        <f>VLOOKUP(C691,Resources!B:D,3,FALSE)</f>
        <v>L</v>
      </c>
      <c r="F691" s="8">
        <v>3</v>
      </c>
      <c r="G691" s="8">
        <f>G689</f>
        <v>300</v>
      </c>
      <c r="H691" s="8">
        <f>H689</f>
        <v>9933.3333333333339</v>
      </c>
      <c r="I691" s="22">
        <f>VLOOKUP(C691,Resources!B:G,6,FALSE)</f>
        <v>42</v>
      </c>
      <c r="J691" s="139">
        <f t="shared" si="754"/>
        <v>4172</v>
      </c>
      <c r="K691" s="139">
        <f t="shared" si="755"/>
        <v>99.333333333333343</v>
      </c>
      <c r="L691" s="139">
        <f>IF(E691="M"," ",K691/F691/Workhrs)</f>
        <v>3.6790123456790127</v>
      </c>
      <c r="M691" s="139">
        <f t="shared" si="756"/>
        <v>4172</v>
      </c>
      <c r="N691" s="139">
        <f t="shared" si="757"/>
        <v>0</v>
      </c>
      <c r="O691" s="139">
        <f t="shared" si="758"/>
        <v>0</v>
      </c>
      <c r="P691" s="139">
        <f>IF($E691="S",$J691,0)</f>
        <v>0</v>
      </c>
      <c r="Q691" s="139">
        <f t="shared" si="759"/>
        <v>4172</v>
      </c>
      <c r="R691" s="156">
        <v>63</v>
      </c>
    </row>
    <row r="692" spans="1:18" x14ac:dyDescent="0.35">
      <c r="C692" s="6" t="s">
        <v>402</v>
      </c>
      <c r="F692" s="9"/>
      <c r="G692" s="9"/>
      <c r="H692" s="9"/>
      <c r="I692" s="9"/>
    </row>
    <row r="693" spans="1:18" ht="30" x14ac:dyDescent="0.35">
      <c r="A693" s="26">
        <v>97</v>
      </c>
      <c r="B693" s="94" t="s">
        <v>217</v>
      </c>
      <c r="C693" s="1" t="s">
        <v>218</v>
      </c>
      <c r="D693" s="2" t="s">
        <v>94</v>
      </c>
      <c r="E693" s="24"/>
      <c r="F693" s="7"/>
      <c r="G693" s="7"/>
      <c r="H693" s="97">
        <f>VLOOKUP($A693,'Model Inputs'!$A:$D,4,FALSE)</f>
        <v>9380</v>
      </c>
      <c r="I693" s="7"/>
      <c r="J693" s="138">
        <f>SUBTOTAL(9,J694)</f>
        <v>39396</v>
      </c>
      <c r="K693" s="138"/>
      <c r="L693" s="138">
        <f>ROUNDUP(L694/2000,0)</f>
        <v>1</v>
      </c>
      <c r="M693" s="138">
        <f>SUBTOTAL(9,M694)</f>
        <v>0</v>
      </c>
      <c r="N693" s="138">
        <f t="shared" ref="N693" si="760">SUBTOTAL(9,N694)</f>
        <v>0</v>
      </c>
      <c r="O693" s="138">
        <f t="shared" ref="O693" si="761">SUBTOTAL(9,O694)</f>
        <v>0</v>
      </c>
      <c r="P693" s="138">
        <f t="shared" ref="P693" si="762">SUBTOTAL(9,P694)</f>
        <v>39396</v>
      </c>
      <c r="Q693" s="138">
        <f t="shared" ref="Q693" si="763">SUBTOTAL(9,Q694)</f>
        <v>39396</v>
      </c>
      <c r="R693" s="155"/>
    </row>
    <row r="694" spans="1:18" x14ac:dyDescent="0.35">
      <c r="A694" s="27"/>
      <c r="B694" s="92">
        <v>1</v>
      </c>
      <c r="C694" s="19" t="s">
        <v>219</v>
      </c>
      <c r="D694" s="3" t="s">
        <v>110</v>
      </c>
      <c r="E694" s="27" t="str">
        <f>VLOOKUP(C694,Resources!B:D,3,FALSE)</f>
        <v>S</v>
      </c>
      <c r="F694" s="8">
        <v>1</v>
      </c>
      <c r="G694" s="8">
        <v>1</v>
      </c>
      <c r="H694" s="22">
        <f>H693*1.05</f>
        <v>9849</v>
      </c>
      <c r="I694" s="22">
        <f>VLOOKUP(C694,Resources!B:G,6,FALSE)</f>
        <v>4</v>
      </c>
      <c r="J694" s="139">
        <f t="shared" ref="J694" si="764">(H694/(G694/F694))*I694</f>
        <v>39396</v>
      </c>
      <c r="K694" s="139">
        <f t="shared" ref="K694" si="765">IF(E694="M",H694,(H694/(G694)*F694))</f>
        <v>9849</v>
      </c>
      <c r="L694" s="139">
        <f>IF(E694="M"," ",K694/F694/Workhrs)</f>
        <v>1094.3333333333333</v>
      </c>
      <c r="M694" s="139">
        <f t="shared" ref="M694" si="766">IF($E694="L",$J694,0)</f>
        <v>0</v>
      </c>
      <c r="N694" s="139">
        <f t="shared" ref="N694" si="767">IF($E694="M",$J694,0)</f>
        <v>0</v>
      </c>
      <c r="O694" s="139">
        <f>IF($E694="P",$J694,0)</f>
        <v>0</v>
      </c>
      <c r="P694" s="139">
        <f>IF($E694="S",$J694,0)</f>
        <v>39396</v>
      </c>
      <c r="Q694" s="139">
        <f>SUM(M694:P694)</f>
        <v>39396</v>
      </c>
      <c r="R694" s="156">
        <v>64</v>
      </c>
    </row>
    <row r="695" spans="1:18" x14ac:dyDescent="0.35">
      <c r="C695" s="6" t="s">
        <v>402</v>
      </c>
      <c r="F695" s="9"/>
      <c r="G695" s="9"/>
      <c r="H695" s="9"/>
      <c r="I695" s="9"/>
    </row>
    <row r="696" spans="1:18" ht="30" x14ac:dyDescent="0.35">
      <c r="A696" s="26">
        <v>98</v>
      </c>
      <c r="B696" s="94" t="s">
        <v>220</v>
      </c>
      <c r="C696" s="1" t="s">
        <v>221</v>
      </c>
      <c r="D696" s="2" t="s">
        <v>94</v>
      </c>
      <c r="E696" s="24"/>
      <c r="F696" s="7"/>
      <c r="G696" s="7"/>
      <c r="H696" s="97">
        <f>VLOOKUP($A696,'Model Inputs'!$A:$D,4,FALSE)</f>
        <v>9380</v>
      </c>
      <c r="I696" s="7"/>
      <c r="J696" s="138">
        <f>SUBTOTAL(9,J697)</f>
        <v>78595.02</v>
      </c>
      <c r="K696" s="138"/>
      <c r="L696" s="138">
        <f>ROUNDUP(L697/2000,0)</f>
        <v>1</v>
      </c>
      <c r="M696" s="138">
        <f>SUBTOTAL(9,M697)</f>
        <v>0</v>
      </c>
      <c r="N696" s="138">
        <f t="shared" ref="N696" si="768">SUBTOTAL(9,N697)</f>
        <v>0</v>
      </c>
      <c r="O696" s="138">
        <f t="shared" ref="O696" si="769">SUBTOTAL(9,O697)</f>
        <v>0</v>
      </c>
      <c r="P696" s="138">
        <f t="shared" ref="P696" si="770">SUBTOTAL(9,P697)</f>
        <v>78595.02</v>
      </c>
      <c r="Q696" s="138">
        <f t="shared" ref="Q696" si="771">SUBTOTAL(9,Q697)</f>
        <v>78595.02</v>
      </c>
      <c r="R696" s="155"/>
    </row>
    <row r="697" spans="1:18" x14ac:dyDescent="0.35">
      <c r="A697" s="27"/>
      <c r="B697" s="92">
        <v>1</v>
      </c>
      <c r="C697" s="19" t="s">
        <v>222</v>
      </c>
      <c r="D697" s="3" t="s">
        <v>110</v>
      </c>
      <c r="E697" s="27" t="str">
        <f>VLOOKUP(C697,Resources!B:D,3,FALSE)</f>
        <v>S</v>
      </c>
      <c r="F697" s="8">
        <v>1</v>
      </c>
      <c r="G697" s="8">
        <v>1</v>
      </c>
      <c r="H697" s="8">
        <f>H696*1.05</f>
        <v>9849</v>
      </c>
      <c r="I697" s="22">
        <f>VLOOKUP(C697,Resources!B:G,6,FALSE)</f>
        <v>7.98</v>
      </c>
      <c r="J697" s="139">
        <f t="shared" ref="J697" si="772">(H697/(G697/F697))*I697</f>
        <v>78595.02</v>
      </c>
      <c r="K697" s="139">
        <f t="shared" ref="K697" si="773">IF(E697="M",H697,(H697/(G697)*F697))</f>
        <v>9849</v>
      </c>
      <c r="L697" s="139">
        <f>IF(E697="M"," ",K697/F697/Workhrs)</f>
        <v>1094.3333333333333</v>
      </c>
      <c r="M697" s="139">
        <f t="shared" ref="M697" si="774">IF($E697="L",$J697,0)</f>
        <v>0</v>
      </c>
      <c r="N697" s="139">
        <f t="shared" ref="N697" si="775">IF($E697="M",$J697,0)</f>
        <v>0</v>
      </c>
      <c r="O697" s="139">
        <f>IF($E697="P",$J697,0)</f>
        <v>0</v>
      </c>
      <c r="P697" s="139">
        <f>IF($E697="S",$J697,0)</f>
        <v>78595.02</v>
      </c>
      <c r="Q697" s="139">
        <f>SUM(M697:P697)</f>
        <v>78595.02</v>
      </c>
      <c r="R697" s="156">
        <v>64</v>
      </c>
    </row>
    <row r="698" spans="1:18" x14ac:dyDescent="0.35">
      <c r="C698" s="6" t="s">
        <v>402</v>
      </c>
      <c r="F698" s="9"/>
      <c r="G698" s="9"/>
      <c r="H698" s="9"/>
      <c r="I698" s="9"/>
    </row>
    <row r="699" spans="1:18" ht="30" x14ac:dyDescent="0.35">
      <c r="A699" s="26">
        <v>99</v>
      </c>
      <c r="B699" s="94" t="s">
        <v>223</v>
      </c>
      <c r="C699" s="1" t="s">
        <v>224</v>
      </c>
      <c r="D699" s="2" t="s">
        <v>45</v>
      </c>
      <c r="E699" s="24"/>
      <c r="F699" s="7"/>
      <c r="G699" s="7"/>
      <c r="H699" s="97">
        <f>VLOOKUP($A699,'Model Inputs'!$A:$D,4,FALSE)</f>
        <v>3404</v>
      </c>
      <c r="I699" s="7"/>
      <c r="J699" s="138">
        <f>SUBTOTAL(9,J700)</f>
        <v>6808</v>
      </c>
      <c r="K699" s="138"/>
      <c r="L699" s="138">
        <f>ROUNDUP(H699/5000,0)</f>
        <v>1</v>
      </c>
      <c r="M699" s="138">
        <f>SUBTOTAL(9,M700)</f>
        <v>0</v>
      </c>
      <c r="N699" s="138">
        <f t="shared" ref="N699" si="776">SUBTOTAL(9,N700)</f>
        <v>0</v>
      </c>
      <c r="O699" s="138">
        <f t="shared" ref="O699" si="777">SUBTOTAL(9,O700)</f>
        <v>0</v>
      </c>
      <c r="P699" s="138">
        <f t="shared" ref="P699" si="778">SUBTOTAL(9,P700)</f>
        <v>6808</v>
      </c>
      <c r="Q699" s="138">
        <f t="shared" ref="Q699" si="779">SUBTOTAL(9,Q700)</f>
        <v>6808</v>
      </c>
      <c r="R699" s="155"/>
    </row>
    <row r="700" spans="1:18" x14ac:dyDescent="0.35">
      <c r="A700" s="27"/>
      <c r="B700" s="92">
        <v>1</v>
      </c>
      <c r="C700" s="19" t="s">
        <v>225</v>
      </c>
      <c r="D700" s="3" t="s">
        <v>110</v>
      </c>
      <c r="E700" s="27" t="str">
        <f>VLOOKUP(C700,Resources!B:D,3,FALSE)</f>
        <v>S</v>
      </c>
      <c r="F700" s="8">
        <v>1</v>
      </c>
      <c r="G700" s="8">
        <v>1</v>
      </c>
      <c r="H700" s="8">
        <f>H699*2</f>
        <v>6808</v>
      </c>
      <c r="I700" s="22">
        <f>VLOOKUP(C700,Resources!B:G,6,FALSE)</f>
        <v>1</v>
      </c>
      <c r="J700" s="139">
        <f t="shared" ref="J700" si="780">(H700/(G700/F700))*I700</f>
        <v>6808</v>
      </c>
      <c r="K700" s="139">
        <f t="shared" ref="K700" si="781">IF(E700="M",H700,(H700/(G700)*F700))</f>
        <v>6808</v>
      </c>
      <c r="L700" s="139"/>
      <c r="M700" s="139">
        <f t="shared" ref="M700" si="782">IF($E700="L",$J700,0)</f>
        <v>0</v>
      </c>
      <c r="N700" s="139">
        <f t="shared" ref="N700" si="783">IF($E700="M",$J700,0)</f>
        <v>0</v>
      </c>
      <c r="O700" s="139">
        <f>IF($E700="P",$J700,0)</f>
        <v>0</v>
      </c>
      <c r="P700" s="139">
        <f>IF($E700="S",$J700,0)</f>
        <v>6808</v>
      </c>
      <c r="Q700" s="139">
        <f>SUM(M700:P700)</f>
        <v>6808</v>
      </c>
      <c r="R700" s="156">
        <v>66</v>
      </c>
    </row>
    <row r="701" spans="1:18" x14ac:dyDescent="0.35">
      <c r="C701" s="6" t="s">
        <v>402</v>
      </c>
      <c r="F701" s="9"/>
      <c r="G701" s="9"/>
      <c r="H701" s="9"/>
      <c r="I701" s="9"/>
    </row>
    <row r="702" spans="1:18" ht="30" x14ac:dyDescent="0.35">
      <c r="A702" s="26">
        <v>100</v>
      </c>
      <c r="B702" s="94" t="s">
        <v>226</v>
      </c>
      <c r="C702" s="1" t="s">
        <v>227</v>
      </c>
      <c r="D702" s="2" t="s">
        <v>17</v>
      </c>
      <c r="E702" s="24"/>
      <c r="F702" s="7"/>
      <c r="G702" s="7"/>
      <c r="H702" s="97">
        <f>VLOOKUP($A702,'Model Inputs'!$A:$D,4,FALSE)</f>
        <v>1</v>
      </c>
      <c r="I702" s="7"/>
      <c r="J702" s="138">
        <f>SUBTOTAL(9,J703)</f>
        <v>2000</v>
      </c>
      <c r="K702" s="138"/>
      <c r="L702" s="138">
        <v>1</v>
      </c>
      <c r="M702" s="138">
        <f>SUBTOTAL(9,M703)</f>
        <v>0</v>
      </c>
      <c r="N702" s="138">
        <f t="shared" ref="N702" si="784">SUBTOTAL(9,N703)</f>
        <v>0</v>
      </c>
      <c r="O702" s="138">
        <f t="shared" ref="O702" si="785">SUBTOTAL(9,O703)</f>
        <v>0</v>
      </c>
      <c r="P702" s="138">
        <f t="shared" ref="P702" si="786">SUBTOTAL(9,P703)</f>
        <v>2000</v>
      </c>
      <c r="Q702" s="138">
        <f t="shared" ref="Q702" si="787">SUBTOTAL(9,Q703)</f>
        <v>2000</v>
      </c>
      <c r="R702" s="155"/>
    </row>
    <row r="703" spans="1:18" x14ac:dyDescent="0.35">
      <c r="A703" s="27"/>
      <c r="B703" s="92">
        <v>1</v>
      </c>
      <c r="C703" s="19" t="s">
        <v>225</v>
      </c>
      <c r="D703" s="3" t="s">
        <v>110</v>
      </c>
      <c r="E703" s="27" t="str">
        <f>VLOOKUP(C703,Resources!B:D,3,FALSE)</f>
        <v>S</v>
      </c>
      <c r="F703" s="8">
        <v>1</v>
      </c>
      <c r="G703" s="8">
        <v>1</v>
      </c>
      <c r="H703" s="8">
        <f>H702*2000</f>
        <v>2000</v>
      </c>
      <c r="I703" s="22">
        <f>VLOOKUP(C703,Resources!B:G,6,FALSE)</f>
        <v>1</v>
      </c>
      <c r="J703" s="139">
        <f t="shared" ref="J703" si="788">(H703/(G703/F703))*I703</f>
        <v>2000</v>
      </c>
      <c r="K703" s="139">
        <f t="shared" ref="K703" si="789">IF(E703="M",H703,(H703/(G703)*F703))</f>
        <v>2000</v>
      </c>
      <c r="L703" s="139"/>
      <c r="M703" s="139">
        <f t="shared" ref="M703" si="790">IF($E703="L",$J703,0)</f>
        <v>0</v>
      </c>
      <c r="N703" s="139">
        <f t="shared" ref="N703" si="791">IF($E703="M",$J703,0)</f>
        <v>0</v>
      </c>
      <c r="O703" s="139">
        <f>IF($E703="P",$J703,0)</f>
        <v>0</v>
      </c>
      <c r="P703" s="139">
        <f>IF($E703="S",$J703,0)</f>
        <v>2000</v>
      </c>
      <c r="Q703" s="139">
        <f>SUM(M703:P703)</f>
        <v>2000</v>
      </c>
      <c r="R703" s="156">
        <v>66</v>
      </c>
    </row>
    <row r="704" spans="1:18" x14ac:dyDescent="0.35">
      <c r="C704" s="6" t="s">
        <v>402</v>
      </c>
      <c r="F704" s="9"/>
      <c r="G704" s="9"/>
      <c r="H704" s="9"/>
      <c r="I704" s="9"/>
    </row>
    <row r="705" spans="1:18" ht="30" x14ac:dyDescent="0.35">
      <c r="A705" s="26">
        <v>101</v>
      </c>
      <c r="B705" s="94" t="s">
        <v>228</v>
      </c>
      <c r="C705" s="1" t="s">
        <v>229</v>
      </c>
      <c r="D705" s="2" t="s">
        <v>17</v>
      </c>
      <c r="E705" s="24"/>
      <c r="F705" s="7"/>
      <c r="G705" s="7"/>
      <c r="H705" s="97">
        <f>VLOOKUP($A705,'Model Inputs'!$A:$D,4,FALSE)</f>
        <v>1</v>
      </c>
      <c r="I705" s="7"/>
      <c r="J705" s="138">
        <f>SUBTOTAL(9,J706)</f>
        <v>840</v>
      </c>
      <c r="K705" s="138"/>
      <c r="L705" s="138">
        <f>ROUNDUP(L706,0)</f>
        <v>2</v>
      </c>
      <c r="M705" s="138">
        <f>SUBTOTAL(9,M706)</f>
        <v>840</v>
      </c>
      <c r="N705" s="138">
        <f t="shared" ref="N705" si="792">SUBTOTAL(9,N706)</f>
        <v>0</v>
      </c>
      <c r="O705" s="138">
        <f t="shared" ref="O705" si="793">SUBTOTAL(9,O706)</f>
        <v>0</v>
      </c>
      <c r="P705" s="138">
        <f t="shared" ref="P705" si="794">SUBTOTAL(9,P706)</f>
        <v>0</v>
      </c>
      <c r="Q705" s="138">
        <f t="shared" ref="Q705" si="795">SUBTOTAL(9,Q706)</f>
        <v>840</v>
      </c>
      <c r="R705" s="155"/>
    </row>
    <row r="706" spans="1:18" x14ac:dyDescent="0.35">
      <c r="A706" s="27"/>
      <c r="B706" s="92">
        <v>1</v>
      </c>
      <c r="C706" s="19" t="s">
        <v>8</v>
      </c>
      <c r="D706" s="3" t="s">
        <v>26</v>
      </c>
      <c r="E706" s="27" t="str">
        <f>VLOOKUP(C706,Resources!B:D,3,FALSE)</f>
        <v>L</v>
      </c>
      <c r="F706" s="8">
        <v>2</v>
      </c>
      <c r="G706" s="8">
        <v>1</v>
      </c>
      <c r="H706" s="8">
        <f>H705*10</f>
        <v>10</v>
      </c>
      <c r="I706" s="22">
        <f>VLOOKUP(C706,Resources!B:G,6,FALSE)</f>
        <v>42</v>
      </c>
      <c r="J706" s="139">
        <f t="shared" ref="J706" si="796">(H706/(G706/F706))*I706</f>
        <v>840</v>
      </c>
      <c r="K706" s="139">
        <f t="shared" ref="K706" si="797">IF(E706="M",H706,(H706/(G706)*F706))</f>
        <v>20</v>
      </c>
      <c r="L706" s="139">
        <f>IF(E706="M"," ",K706/F706/Workhrs)</f>
        <v>1.1111111111111112</v>
      </c>
      <c r="M706" s="139">
        <f t="shared" ref="M706" si="798">IF($E706="L",$J706,0)</f>
        <v>840</v>
      </c>
      <c r="N706" s="139">
        <f t="shared" ref="N706" si="799">IF($E706="M",$J706,0)</f>
        <v>0</v>
      </c>
      <c r="O706" s="139">
        <f>IF($E706="P",$J706,0)</f>
        <v>0</v>
      </c>
      <c r="P706" s="139">
        <f>IF($E706="S",$J706,0)</f>
        <v>0</v>
      </c>
      <c r="Q706" s="139">
        <f>SUM(M706:P706)</f>
        <v>840</v>
      </c>
      <c r="R706" s="156">
        <v>67</v>
      </c>
    </row>
    <row r="707" spans="1:18" x14ac:dyDescent="0.35">
      <c r="C707" s="6" t="s">
        <v>402</v>
      </c>
      <c r="F707" s="9"/>
      <c r="G707" s="9"/>
      <c r="H707" s="9"/>
      <c r="I707" s="9"/>
    </row>
    <row r="708" spans="1:18" ht="30" x14ac:dyDescent="0.35">
      <c r="A708" s="26">
        <v>102</v>
      </c>
      <c r="B708" s="94" t="s">
        <v>230</v>
      </c>
      <c r="C708" s="1" t="s">
        <v>231</v>
      </c>
      <c r="D708" s="2" t="s">
        <v>86</v>
      </c>
      <c r="E708" s="24"/>
      <c r="F708" s="7"/>
      <c r="G708" s="7"/>
      <c r="H708" s="97">
        <f>VLOOKUP($A708,'Model Inputs'!$A:$D,4,FALSE)</f>
        <v>26</v>
      </c>
      <c r="I708" s="7"/>
      <c r="J708" s="138">
        <f>SUBTOTAL(9,J709:J711)</f>
        <v>5804.5</v>
      </c>
      <c r="K708" s="138"/>
      <c r="L708" s="138">
        <f>ROUNDUP(L710,0)</f>
        <v>2</v>
      </c>
      <c r="M708" s="138">
        <f t="shared" ref="M708:Q708" si="800">SUBTOTAL(9,M709:M711)</f>
        <v>1092</v>
      </c>
      <c r="N708" s="138">
        <f t="shared" si="800"/>
        <v>4712.5</v>
      </c>
      <c r="O708" s="138">
        <f t="shared" si="800"/>
        <v>0</v>
      </c>
      <c r="P708" s="138">
        <f t="shared" si="800"/>
        <v>0</v>
      </c>
      <c r="Q708" s="138">
        <f t="shared" si="800"/>
        <v>5804.5</v>
      </c>
      <c r="R708" s="155"/>
    </row>
    <row r="709" spans="1:18" x14ac:dyDescent="0.35">
      <c r="A709" s="27"/>
      <c r="B709" s="92">
        <v>1</v>
      </c>
      <c r="C709" s="19" t="s">
        <v>232</v>
      </c>
      <c r="D709" s="3" t="s">
        <v>23</v>
      </c>
      <c r="E709" s="27" t="str">
        <f>VLOOKUP(C709,Resources!B:D,3,FALSE)</f>
        <v>M</v>
      </c>
      <c r="F709" s="8">
        <v>1</v>
      </c>
      <c r="G709" s="8">
        <v>1</v>
      </c>
      <c r="H709" s="8">
        <f>H708</f>
        <v>26</v>
      </c>
      <c r="I709" s="22">
        <f>VLOOKUP(C709,Resources!B:G,6,FALSE)</f>
        <v>140</v>
      </c>
      <c r="J709" s="139">
        <f t="shared" ref="J709:J711" si="801">(H709/(G709/F709))*I709</f>
        <v>3640</v>
      </c>
      <c r="K709" s="139">
        <f t="shared" ref="K709:K711" si="802">IF(E709="M",H709,(H709/(G709)*F709))</f>
        <v>26</v>
      </c>
      <c r="L709" s="139" t="str">
        <f>IF(E709="M"," ",K709/F709/Workhrs)</f>
        <v xml:space="preserve"> </v>
      </c>
      <c r="M709" s="139">
        <f t="shared" ref="M709:M711" si="803">IF($E709="L",$J709,0)</f>
        <v>0</v>
      </c>
      <c r="N709" s="139">
        <f t="shared" ref="N709:N711" si="804">IF($E709="M",$J709,0)</f>
        <v>3640</v>
      </c>
      <c r="O709" s="139">
        <f t="shared" ref="O709:O711" si="805">IF($E709="P",$J709,0)</f>
        <v>0</v>
      </c>
      <c r="P709" s="139">
        <f>IF($E709="S",$J709,0)</f>
        <v>0</v>
      </c>
      <c r="Q709" s="139">
        <f t="shared" ref="Q709:Q711" si="806">SUM(M709:P709)</f>
        <v>3640</v>
      </c>
      <c r="R709" s="156">
        <v>67</v>
      </c>
    </row>
    <row r="710" spans="1:18" x14ac:dyDescent="0.35">
      <c r="A710" s="27">
        <v>102.1</v>
      </c>
      <c r="B710" s="92">
        <v>2</v>
      </c>
      <c r="C710" s="19" t="s">
        <v>8</v>
      </c>
      <c r="D710" s="3" t="s">
        <v>26</v>
      </c>
      <c r="E710" s="27" t="str">
        <f>VLOOKUP(C710,Resources!B:D,3,FALSE)</f>
        <v>L</v>
      </c>
      <c r="F710" s="8">
        <v>2</v>
      </c>
      <c r="G710" s="97">
        <f>VLOOKUP($A710,'Model Inputs'!$A:$D,4,FALSE)</f>
        <v>2</v>
      </c>
      <c r="H710" s="8">
        <f>H708</f>
        <v>26</v>
      </c>
      <c r="I710" s="22">
        <f>VLOOKUP(C710,Resources!B:G,6,FALSE)</f>
        <v>42</v>
      </c>
      <c r="J710" s="139">
        <f t="shared" si="801"/>
        <v>1092</v>
      </c>
      <c r="K710" s="139">
        <f t="shared" si="802"/>
        <v>26</v>
      </c>
      <c r="L710" s="139">
        <f>IF(E710="M"," ",K710/F710/Workhrs)</f>
        <v>1.4444444444444444</v>
      </c>
      <c r="M710" s="139">
        <f t="shared" si="803"/>
        <v>1092</v>
      </c>
      <c r="N710" s="139">
        <f t="shared" si="804"/>
        <v>0</v>
      </c>
      <c r="O710" s="139">
        <f t="shared" si="805"/>
        <v>0</v>
      </c>
      <c r="P710" s="139">
        <f>IF($E710="S",$J710,0)</f>
        <v>0</v>
      </c>
      <c r="Q710" s="139">
        <f t="shared" si="806"/>
        <v>1092</v>
      </c>
      <c r="R710" s="156">
        <v>67</v>
      </c>
    </row>
    <row r="711" spans="1:18" x14ac:dyDescent="0.35">
      <c r="A711" s="27"/>
      <c r="B711" s="92">
        <v>3</v>
      </c>
      <c r="C711" s="19" t="s">
        <v>119</v>
      </c>
      <c r="D711" s="3" t="s">
        <v>74</v>
      </c>
      <c r="E711" s="27" t="str">
        <f>VLOOKUP(C711,Resources!B:D,3,FALSE)</f>
        <v>M</v>
      </c>
      <c r="F711" s="8">
        <v>1</v>
      </c>
      <c r="G711" s="8">
        <v>4</v>
      </c>
      <c r="H711" s="8">
        <f>H708</f>
        <v>26</v>
      </c>
      <c r="I711" s="22">
        <f>VLOOKUP(C711,Resources!B:G,6,FALSE)</f>
        <v>165</v>
      </c>
      <c r="J711" s="139">
        <f t="shared" si="801"/>
        <v>1072.5</v>
      </c>
      <c r="K711" s="139">
        <f t="shared" si="802"/>
        <v>26</v>
      </c>
      <c r="L711" s="139" t="str">
        <f>IF(E711="M"," ",K711/F711/Workhrs)</f>
        <v xml:space="preserve"> </v>
      </c>
      <c r="M711" s="139">
        <f t="shared" si="803"/>
        <v>0</v>
      </c>
      <c r="N711" s="139">
        <f t="shared" si="804"/>
        <v>1072.5</v>
      </c>
      <c r="O711" s="139">
        <f t="shared" si="805"/>
        <v>0</v>
      </c>
      <c r="P711" s="139">
        <f>IF($E711="S",$J711,0)</f>
        <v>0</v>
      </c>
      <c r="Q711" s="139">
        <f t="shared" si="806"/>
        <v>1072.5</v>
      </c>
      <c r="R711" s="156">
        <v>67</v>
      </c>
    </row>
    <row r="712" spans="1:18" x14ac:dyDescent="0.35">
      <c r="C712" s="6" t="s">
        <v>402</v>
      </c>
      <c r="F712" s="9"/>
      <c r="G712" s="9"/>
      <c r="H712" s="9"/>
      <c r="I712" s="9"/>
    </row>
    <row r="713" spans="1:18" ht="30" x14ac:dyDescent="0.35">
      <c r="A713" s="26">
        <v>103</v>
      </c>
      <c r="B713" s="94" t="s">
        <v>233</v>
      </c>
      <c r="C713" s="1" t="s">
        <v>234</v>
      </c>
      <c r="D713" s="2" t="s">
        <v>86</v>
      </c>
      <c r="E713" s="24"/>
      <c r="F713" s="7"/>
      <c r="G713" s="7"/>
      <c r="H713" s="97">
        <f>VLOOKUP($A713,'Model Inputs'!$A:$D,4,FALSE)</f>
        <v>131</v>
      </c>
      <c r="I713" s="7"/>
      <c r="J713" s="138">
        <f>SUBTOTAL(9,J714)</f>
        <v>4585</v>
      </c>
      <c r="K713" s="138"/>
      <c r="L713" s="138">
        <f>ROUNDUP((H714/6)/Workhrs,0)</f>
        <v>3</v>
      </c>
      <c r="M713" s="138">
        <f>SUBTOTAL(9,M714)</f>
        <v>0</v>
      </c>
      <c r="N713" s="138">
        <f t="shared" ref="N713" si="807">SUBTOTAL(9,N714)</f>
        <v>4585</v>
      </c>
      <c r="O713" s="138">
        <f t="shared" ref="O713" si="808">SUBTOTAL(9,O714)</f>
        <v>0</v>
      </c>
      <c r="P713" s="138">
        <f t="shared" ref="P713" si="809">SUBTOTAL(9,P714)</f>
        <v>0</v>
      </c>
      <c r="Q713" s="138">
        <f t="shared" ref="Q713" si="810">SUBTOTAL(9,Q714)</f>
        <v>4585</v>
      </c>
      <c r="R713" s="155"/>
    </row>
    <row r="714" spans="1:18" x14ac:dyDescent="0.35">
      <c r="A714" s="27"/>
      <c r="B714" s="92">
        <v>1</v>
      </c>
      <c r="C714" s="19" t="s">
        <v>235</v>
      </c>
      <c r="D714" s="3" t="s">
        <v>23</v>
      </c>
      <c r="E714" s="27" t="str">
        <f>VLOOKUP(C714,Resources!B:D,3,FALSE)</f>
        <v>M</v>
      </c>
      <c r="F714" s="8">
        <v>1</v>
      </c>
      <c r="G714" s="8">
        <v>1</v>
      </c>
      <c r="H714" s="8">
        <f>H713</f>
        <v>131</v>
      </c>
      <c r="I714" s="22">
        <f>VLOOKUP(C714,Resources!B:G,6,FALSE)</f>
        <v>35</v>
      </c>
      <c r="J714" s="139">
        <f t="shared" ref="J714" si="811">(H714/(G714/F714))*I714</f>
        <v>4585</v>
      </c>
      <c r="K714" s="139">
        <f t="shared" ref="K714" si="812">IF(E714="M",H714,(H714/(G714)*F714))</f>
        <v>131</v>
      </c>
      <c r="L714" s="139" t="str">
        <f>IF(E714="M"," ",K714/F714/Workhrs)</f>
        <v xml:space="preserve"> </v>
      </c>
      <c r="M714" s="139">
        <f t="shared" ref="M714" si="813">IF($E714="L",$J714,0)</f>
        <v>0</v>
      </c>
      <c r="N714" s="139">
        <f t="shared" ref="N714" si="814">IF($E714="M",$J714,0)</f>
        <v>4585</v>
      </c>
      <c r="O714" s="139">
        <f>IF($E714="P",$J714,0)</f>
        <v>0</v>
      </c>
      <c r="P714" s="139">
        <f>IF($E714="S",$J714,0)</f>
        <v>0</v>
      </c>
      <c r="Q714" s="139">
        <f>SUM(M714:P714)</f>
        <v>4585</v>
      </c>
      <c r="R714" s="156">
        <v>67</v>
      </c>
    </row>
    <row r="715" spans="1:18" x14ac:dyDescent="0.35">
      <c r="C715" s="6" t="s">
        <v>402</v>
      </c>
      <c r="F715" s="9"/>
      <c r="G715" s="9"/>
      <c r="H715" s="9"/>
      <c r="I715" s="9"/>
    </row>
    <row r="716" spans="1:18" ht="30" x14ac:dyDescent="0.35">
      <c r="A716" s="26">
        <v>104</v>
      </c>
      <c r="B716" s="94" t="s">
        <v>236</v>
      </c>
      <c r="C716" s="1" t="s">
        <v>115</v>
      </c>
      <c r="D716" s="2"/>
      <c r="E716" s="24"/>
      <c r="F716" s="7"/>
      <c r="G716" s="7"/>
      <c r="H716" s="7"/>
      <c r="I716" s="7"/>
      <c r="J716" s="138"/>
      <c r="K716" s="138"/>
      <c r="L716" s="138"/>
      <c r="M716" s="138"/>
      <c r="N716" s="138"/>
      <c r="O716" s="138"/>
      <c r="P716" s="138"/>
      <c r="Q716" s="138"/>
      <c r="R716" s="155"/>
    </row>
    <row r="717" spans="1:18" ht="30" x14ac:dyDescent="0.35">
      <c r="A717" s="26">
        <v>105</v>
      </c>
      <c r="B717" s="94" t="s">
        <v>237</v>
      </c>
      <c r="C717" s="1" t="s">
        <v>238</v>
      </c>
      <c r="D717" s="2" t="s">
        <v>94</v>
      </c>
      <c r="E717" s="24"/>
      <c r="F717" s="7"/>
      <c r="G717" s="7"/>
      <c r="H717" s="97">
        <f>VLOOKUP($A717,'Model Inputs'!$A:$D,4,FALSE)</f>
        <v>9200</v>
      </c>
      <c r="I717" s="7"/>
      <c r="J717" s="138">
        <f>SUBTOTAL(9,J718)</f>
        <v>24794</v>
      </c>
      <c r="K717" s="138"/>
      <c r="L717" s="138">
        <f>ROUND(L718,0)</f>
        <v>1</v>
      </c>
      <c r="M717" s="138">
        <f>SUBTOTAL(9,M718)</f>
        <v>0</v>
      </c>
      <c r="N717" s="138">
        <f t="shared" ref="N717" si="815">SUBTOTAL(9,N718)</f>
        <v>0</v>
      </c>
      <c r="O717" s="138">
        <f t="shared" ref="O717" si="816">SUBTOTAL(9,O718)</f>
        <v>0</v>
      </c>
      <c r="P717" s="138">
        <f t="shared" ref="P717" si="817">SUBTOTAL(9,P718)</f>
        <v>24794</v>
      </c>
      <c r="Q717" s="138">
        <f t="shared" ref="Q717" si="818">SUBTOTAL(9,Q718)</f>
        <v>24794</v>
      </c>
      <c r="R717" s="155"/>
    </row>
    <row r="718" spans="1:18" x14ac:dyDescent="0.35">
      <c r="A718" s="27"/>
      <c r="B718" s="92">
        <v>1</v>
      </c>
      <c r="C718" s="19" t="s">
        <v>127</v>
      </c>
      <c r="D718" s="3" t="s">
        <v>110</v>
      </c>
      <c r="E718" s="27" t="str">
        <f>VLOOKUP(C718,Resources!B:D,3,FALSE)</f>
        <v>S</v>
      </c>
      <c r="F718" s="8">
        <v>1</v>
      </c>
      <c r="G718" s="8">
        <v>1</v>
      </c>
      <c r="H718" s="8">
        <f>H717*1.1</f>
        <v>10120</v>
      </c>
      <c r="I718" s="22">
        <f>VLOOKUP(C718,Resources!B:G,6,FALSE)</f>
        <v>2.4500000000000002</v>
      </c>
      <c r="J718" s="139">
        <f t="shared" ref="J718" si="819">(H718/(G718/F718))*I718</f>
        <v>24794</v>
      </c>
      <c r="K718" s="139">
        <f t="shared" ref="K718" si="820">IF(E718="M",H718,(H718/(G718)*F718))</f>
        <v>10120</v>
      </c>
      <c r="L718" s="139">
        <f>H718/10000</f>
        <v>1.012</v>
      </c>
      <c r="M718" s="139">
        <f t="shared" ref="M718" si="821">IF($E718="L",$J718,0)</f>
        <v>0</v>
      </c>
      <c r="N718" s="139">
        <f t="shared" ref="N718" si="822">IF($E718="M",$J718,0)</f>
        <v>0</v>
      </c>
      <c r="O718" s="139">
        <f>IF($E718="P",$J718,0)</f>
        <v>0</v>
      </c>
      <c r="P718" s="139">
        <f>IF($E718="S",$J718,0)</f>
        <v>24794</v>
      </c>
      <c r="Q718" s="139">
        <f>SUM(M718:P718)</f>
        <v>24794</v>
      </c>
      <c r="R718" s="156">
        <v>121</v>
      </c>
    </row>
    <row r="719" spans="1:18" x14ac:dyDescent="0.35">
      <c r="C719" s="6" t="s">
        <v>402</v>
      </c>
      <c r="F719" s="9"/>
      <c r="G719" s="9"/>
      <c r="H719" s="9"/>
      <c r="I719" s="9"/>
    </row>
    <row r="720" spans="1:18" ht="30" x14ac:dyDescent="0.35">
      <c r="A720" s="26">
        <v>106</v>
      </c>
      <c r="B720" s="94" t="s">
        <v>239</v>
      </c>
      <c r="C720" s="1" t="s">
        <v>240</v>
      </c>
      <c r="D720" s="2" t="s">
        <v>45</v>
      </c>
      <c r="E720" s="24"/>
      <c r="F720" s="7"/>
      <c r="G720" s="7"/>
      <c r="H720" s="97">
        <f>VLOOKUP($A720,'Model Inputs'!$A:$D,4,FALSE)</f>
        <v>53</v>
      </c>
      <c r="I720" s="7"/>
      <c r="J720" s="138">
        <f>SUBTOTAL(9,J721)</f>
        <v>1590</v>
      </c>
      <c r="K720" s="138"/>
      <c r="L720" s="138">
        <f>ROUNDUP(L721,0)</f>
        <v>1</v>
      </c>
      <c r="M720" s="138">
        <f>SUBTOTAL(9,M721)</f>
        <v>0</v>
      </c>
      <c r="N720" s="138">
        <f t="shared" ref="N720" si="823">SUBTOTAL(9,N721)</f>
        <v>0</v>
      </c>
      <c r="O720" s="138">
        <f t="shared" ref="O720" si="824">SUBTOTAL(9,O721)</f>
        <v>0</v>
      </c>
      <c r="P720" s="138">
        <f t="shared" ref="P720" si="825">SUBTOTAL(9,P721)</f>
        <v>1590</v>
      </c>
      <c r="Q720" s="138">
        <f t="shared" ref="Q720" si="826">SUBTOTAL(9,Q721)</f>
        <v>1590</v>
      </c>
      <c r="R720" s="155"/>
    </row>
    <row r="721" spans="1:22" x14ac:dyDescent="0.35">
      <c r="A721" s="27"/>
      <c r="B721" s="92">
        <v>1</v>
      </c>
      <c r="C721" s="19" t="s">
        <v>241</v>
      </c>
      <c r="D721" s="3" t="s">
        <v>45</v>
      </c>
      <c r="E721" s="27" t="str">
        <f>VLOOKUP(C721,Resources!B:D,3,FALSE)</f>
        <v>S</v>
      </c>
      <c r="F721" s="8">
        <v>1</v>
      </c>
      <c r="G721" s="8">
        <v>1</v>
      </c>
      <c r="H721" s="8">
        <f>H720</f>
        <v>53</v>
      </c>
      <c r="I721" s="22">
        <f>VLOOKUP(C721,Resources!B:G,6,FALSE)</f>
        <v>30</v>
      </c>
      <c r="J721" s="139">
        <f t="shared" ref="J721" si="827">(H721/(G721/F721))*I721</f>
        <v>1590</v>
      </c>
      <c r="K721" s="139">
        <f t="shared" ref="K721" si="828">IF(E721="M",H721,(H721/(G721)*F721))</f>
        <v>53</v>
      </c>
      <c r="L721" s="139">
        <f>IF(E721="M"," ",K721/(F721*25)/Workhrs)</f>
        <v>0.23555555555555557</v>
      </c>
      <c r="M721" s="139">
        <f t="shared" ref="M721" si="829">IF($E721="L",$J721,0)</f>
        <v>0</v>
      </c>
      <c r="N721" s="139">
        <f t="shared" ref="N721" si="830">IF($E721="M",$J721,0)</f>
        <v>0</v>
      </c>
      <c r="O721" s="139">
        <f>IF($E721="P",$J721,0)</f>
        <v>0</v>
      </c>
      <c r="P721" s="139">
        <f>IF($E721="S",$J721,0)</f>
        <v>1590</v>
      </c>
      <c r="Q721" s="139">
        <f>SUM(M721:P721)</f>
        <v>1590</v>
      </c>
      <c r="R721" s="156">
        <v>75</v>
      </c>
    </row>
    <row r="722" spans="1:22" x14ac:dyDescent="0.35">
      <c r="C722" s="6" t="s">
        <v>402</v>
      </c>
      <c r="F722" s="9"/>
      <c r="G722" s="9"/>
      <c r="H722" s="9"/>
      <c r="I722" s="9"/>
    </row>
    <row r="723" spans="1:22" ht="30" x14ac:dyDescent="0.35">
      <c r="A723" s="26">
        <v>107</v>
      </c>
      <c r="B723" s="94" t="s">
        <v>242</v>
      </c>
      <c r="C723" s="1" t="s">
        <v>243</v>
      </c>
      <c r="D723" s="2" t="s">
        <v>17</v>
      </c>
      <c r="E723" s="24"/>
      <c r="F723" s="7"/>
      <c r="G723" s="7"/>
      <c r="H723" s="21">
        <v>1</v>
      </c>
      <c r="I723" s="7"/>
      <c r="J723" s="138">
        <f>SUBTOTAL(9,J724)</f>
        <v>2430</v>
      </c>
      <c r="K723" s="138"/>
      <c r="L723" s="138">
        <f>ROUNDUP(L724,0)</f>
        <v>2</v>
      </c>
      <c r="M723" s="138">
        <f>SUBTOTAL(9,M724)</f>
        <v>0</v>
      </c>
      <c r="N723" s="138">
        <f t="shared" ref="N723" si="831">SUBTOTAL(9,N724)</f>
        <v>0</v>
      </c>
      <c r="O723" s="138">
        <f t="shared" ref="O723" si="832">SUBTOTAL(9,O724)</f>
        <v>0</v>
      </c>
      <c r="P723" s="138">
        <f t="shared" ref="P723" si="833">SUBTOTAL(9,P724)</f>
        <v>2430</v>
      </c>
      <c r="Q723" s="138">
        <f t="shared" ref="Q723" si="834">SUBTOTAL(9,Q724)</f>
        <v>2430</v>
      </c>
      <c r="R723" s="155"/>
    </row>
    <row r="724" spans="1:22" x14ac:dyDescent="0.35">
      <c r="A724" s="27">
        <v>107.1</v>
      </c>
      <c r="B724" s="92">
        <v>1</v>
      </c>
      <c r="C724" s="19" t="s">
        <v>135</v>
      </c>
      <c r="D724" s="3" t="s">
        <v>26</v>
      </c>
      <c r="E724" s="27" t="str">
        <f>VLOOKUP(C724,Resources!B:D,3,FALSE)</f>
        <v>S</v>
      </c>
      <c r="F724" s="8">
        <v>1</v>
      </c>
      <c r="G724" s="8">
        <v>1</v>
      </c>
      <c r="H724" s="97">
        <f>VLOOKUP($A724,'Model Inputs'!$A:$D,4,FALSE)</f>
        <v>18</v>
      </c>
      <c r="I724" s="22">
        <f>VLOOKUP(C724,Resources!B:G,6,FALSE)</f>
        <v>135</v>
      </c>
      <c r="J724" s="139">
        <f t="shared" ref="J724" si="835">(H724/(G724/F724))*I724</f>
        <v>2430</v>
      </c>
      <c r="K724" s="139">
        <f t="shared" ref="K724" si="836">IF(E724="M",H724,(H724/(G724)*F724))</f>
        <v>18</v>
      </c>
      <c r="L724" s="139">
        <f>IF(E724="M"," ",K724/F724/Workhrs)</f>
        <v>2</v>
      </c>
      <c r="M724" s="139">
        <f t="shared" ref="M724" si="837">IF($E724="L",$J724,0)</f>
        <v>0</v>
      </c>
      <c r="N724" s="139">
        <f t="shared" ref="N724" si="838">IF($E724="M",$J724,0)</f>
        <v>0</v>
      </c>
      <c r="O724" s="139">
        <f>IF($E724="P",$J724,0)</f>
        <v>0</v>
      </c>
      <c r="P724" s="139">
        <f>IF($E724="S",$J724,0)</f>
        <v>2430</v>
      </c>
      <c r="Q724" s="139">
        <f>SUM(M724:P724)</f>
        <v>2430</v>
      </c>
      <c r="R724" s="156">
        <v>15</v>
      </c>
    </row>
    <row r="725" spans="1:22" x14ac:dyDescent="0.35">
      <c r="C725" s="6" t="s">
        <v>402</v>
      </c>
      <c r="F725" s="9"/>
      <c r="G725" s="9"/>
      <c r="H725" s="9"/>
      <c r="I725" s="9"/>
    </row>
    <row r="726" spans="1:22" ht="30" x14ac:dyDescent="0.35">
      <c r="A726" s="26">
        <v>108</v>
      </c>
      <c r="B726" s="94" t="s">
        <v>244</v>
      </c>
      <c r="C726" s="1" t="s">
        <v>137</v>
      </c>
      <c r="D726" s="2" t="s">
        <v>17</v>
      </c>
      <c r="E726" s="24"/>
      <c r="F726" s="7"/>
      <c r="G726" s="7"/>
      <c r="H726" s="7">
        <v>1</v>
      </c>
      <c r="I726" s="7"/>
      <c r="J726" s="138">
        <f>SUBTOTAL(9,J727)</f>
        <v>8325</v>
      </c>
      <c r="K726" s="138"/>
      <c r="L726" s="138">
        <f>ROUNDUP(L727,0)</f>
        <v>5</v>
      </c>
      <c r="M726" s="138">
        <f>SUBTOTAL(9,M727)</f>
        <v>8325</v>
      </c>
      <c r="N726" s="138">
        <f t="shared" ref="N726" si="839">SUBTOTAL(9,N727)</f>
        <v>0</v>
      </c>
      <c r="O726" s="138">
        <f t="shared" ref="O726" si="840">SUBTOTAL(9,O727)</f>
        <v>0</v>
      </c>
      <c r="P726" s="138">
        <f t="shared" ref="P726" si="841">SUBTOTAL(9,P727)</f>
        <v>0</v>
      </c>
      <c r="Q726" s="138">
        <f t="shared" ref="Q726" si="842">SUBTOTAL(9,Q727)</f>
        <v>8325</v>
      </c>
      <c r="R726" s="155"/>
    </row>
    <row r="727" spans="1:22" x14ac:dyDescent="0.35">
      <c r="A727" s="27">
        <v>108.1</v>
      </c>
      <c r="B727" s="92">
        <v>1</v>
      </c>
      <c r="C727" s="19" t="s">
        <v>25</v>
      </c>
      <c r="D727" s="3" t="s">
        <v>26</v>
      </c>
      <c r="E727" s="27" t="str">
        <f>VLOOKUP(C727,Resources!B:D,3,FALSE)</f>
        <v>L</v>
      </c>
      <c r="F727" s="8">
        <v>1</v>
      </c>
      <c r="G727" s="8">
        <v>1</v>
      </c>
      <c r="H727" s="97">
        <f>VLOOKUP($A727,'Model Inputs'!$A:$D,4,FALSE)</f>
        <v>45</v>
      </c>
      <c r="I727" s="22">
        <f>VLOOKUP(C727,Resources!B:G,6,FALSE)</f>
        <v>185</v>
      </c>
      <c r="J727" s="139">
        <f t="shared" ref="J727" si="843">(H727/(G727/F727))*I727</f>
        <v>8325</v>
      </c>
      <c r="K727" s="139">
        <f t="shared" ref="K727" si="844">IF(E727="M",H727,(H727/(G727)*F727))</f>
        <v>45</v>
      </c>
      <c r="L727" s="139">
        <f>IF(E727="M"," ",K727/F727/Workhrs)</f>
        <v>5</v>
      </c>
      <c r="M727" s="139">
        <f t="shared" ref="M727" si="845">IF($E727="L",$J727,0)</f>
        <v>8325</v>
      </c>
      <c r="N727" s="139">
        <f t="shared" ref="N727" si="846">IF($E727="M",$J727,0)</f>
        <v>0</v>
      </c>
      <c r="O727" s="139">
        <f>IF($E727="P",$J727,0)</f>
        <v>0</v>
      </c>
      <c r="P727" s="139">
        <f>IF($E727="S",$J727,0)</f>
        <v>0</v>
      </c>
      <c r="Q727" s="139">
        <f>SUM(M727:P727)</f>
        <v>8325</v>
      </c>
      <c r="R727" s="156">
        <v>11</v>
      </c>
    </row>
    <row r="728" spans="1:22" x14ac:dyDescent="0.35">
      <c r="C728" s="6" t="s">
        <v>402</v>
      </c>
      <c r="F728" s="9"/>
      <c r="G728" s="9"/>
      <c r="H728" s="9"/>
      <c r="I728" s="9"/>
    </row>
    <row r="729" spans="1:22" s="98" customFormat="1" x14ac:dyDescent="0.35">
      <c r="A729" s="26"/>
      <c r="B729" s="94"/>
      <c r="C729" s="14" t="s">
        <v>689</v>
      </c>
      <c r="D729" s="24"/>
      <c r="E729" s="21"/>
      <c r="F729" s="21"/>
      <c r="G729" s="21"/>
      <c r="H729" s="24"/>
      <c r="I729" s="15"/>
      <c r="J729" s="138"/>
      <c r="K729" s="138"/>
      <c r="L729" s="138"/>
      <c r="M729" s="138"/>
      <c r="N729" s="138"/>
      <c r="O729" s="138"/>
      <c r="P729" s="138"/>
      <c r="Q729" s="138"/>
      <c r="R729" s="155"/>
      <c r="T729" s="247"/>
      <c r="U729"/>
      <c r="V729" s="277"/>
    </row>
    <row r="730" spans="1:22" s="11" customFormat="1" x14ac:dyDescent="0.35">
      <c r="A730" s="26">
        <v>109</v>
      </c>
      <c r="B730" s="94" t="s">
        <v>261</v>
      </c>
      <c r="C730" s="14" t="s">
        <v>262</v>
      </c>
      <c r="D730" s="24" t="s">
        <v>23</v>
      </c>
      <c r="E730" s="21"/>
      <c r="F730" s="21"/>
      <c r="G730" s="21"/>
      <c r="H730" s="24">
        <v>1</v>
      </c>
      <c r="I730" s="15"/>
      <c r="J730" s="138">
        <f>SUBTOTAL(9,J731:J737)</f>
        <v>-116891.2</v>
      </c>
      <c r="K730" s="138"/>
      <c r="L730" s="138">
        <v>1</v>
      </c>
      <c r="M730" s="138">
        <f>SUBTOTAL(9,M731:M737)</f>
        <v>0</v>
      </c>
      <c r="N730" s="138">
        <f>SUBTOTAL(9,N731:N737)</f>
        <v>-116891.2</v>
      </c>
      <c r="O730" s="138">
        <f>SUBTOTAL(9,O731:O737)</f>
        <v>0</v>
      </c>
      <c r="P730" s="138">
        <f>SUBTOTAL(9,P731:P737)</f>
        <v>0</v>
      </c>
      <c r="Q730" s="138">
        <f>SUBTOTAL(9,Q731:Q737)</f>
        <v>-116891.2</v>
      </c>
      <c r="R730" s="155"/>
      <c r="T730" s="247"/>
      <c r="U730"/>
      <c r="V730" s="277"/>
    </row>
    <row r="731" spans="1:22" s="98" customFormat="1" x14ac:dyDescent="0.35">
      <c r="A731" s="27">
        <v>109.1</v>
      </c>
      <c r="B731" s="92">
        <v>1</v>
      </c>
      <c r="C731" s="19" t="s">
        <v>169</v>
      </c>
      <c r="D731" s="16" t="s">
        <v>45</v>
      </c>
      <c r="E731" s="27" t="str">
        <f>VLOOKUP(C731,Resources!B:D,3,FALSE)</f>
        <v>M</v>
      </c>
      <c r="F731" s="22">
        <v>1</v>
      </c>
      <c r="G731" s="22">
        <v>1</v>
      </c>
      <c r="H731" s="97">
        <f>VLOOKUP($A731,'Model Inputs'!$A:$D,4,FALSE)</f>
        <v>-58</v>
      </c>
      <c r="I731" s="22">
        <f>VLOOKUP(C731,Resources!B:G,6,FALSE)</f>
        <v>68.599999999999994</v>
      </c>
      <c r="J731" s="139">
        <f t="shared" ref="J731" si="847">(H731/(G731/F731))*I731</f>
        <v>-3978.7999999999997</v>
      </c>
      <c r="K731" s="139">
        <f t="shared" ref="K731" si="848">IF(E731="M",H731,(H731/(G731)*F731))</f>
        <v>-58</v>
      </c>
      <c r="L731" s="139" t="str">
        <f>IF(E731="M"," ",K731/F731/Workhrs)</f>
        <v xml:space="preserve"> </v>
      </c>
      <c r="M731" s="139">
        <f t="shared" ref="M731:M732" si="849">IF($E731="L",$J731,0)</f>
        <v>0</v>
      </c>
      <c r="N731" s="139">
        <f t="shared" ref="N731:N732" si="850">IF($E731="M",$J731,0)</f>
        <v>-3978.7999999999997</v>
      </c>
      <c r="O731" s="139">
        <f t="shared" ref="O731:O732" si="851">IF($E731="P",$J731,0)</f>
        <v>0</v>
      </c>
      <c r="P731" s="139">
        <f t="shared" ref="P731:P737" si="852">IF($E731="S",$J731,0)</f>
        <v>0</v>
      </c>
      <c r="Q731" s="139">
        <f t="shared" ref="Q731" si="853">SUM(M731:P731)</f>
        <v>-3978.7999999999997</v>
      </c>
      <c r="R731" s="156" t="s">
        <v>696</v>
      </c>
      <c r="T731" s="247"/>
      <c r="U731"/>
      <c r="V731" s="277"/>
    </row>
    <row r="732" spans="1:22" s="98" customFormat="1" x14ac:dyDescent="0.35">
      <c r="A732" s="27">
        <v>109.2</v>
      </c>
      <c r="B732" s="92">
        <v>2</v>
      </c>
      <c r="C732" s="19" t="s">
        <v>406</v>
      </c>
      <c r="D732" s="16" t="s">
        <v>45</v>
      </c>
      <c r="E732" s="27" t="str">
        <f>VLOOKUP(C732,Resources!B:D,3,FALSE)</f>
        <v>M</v>
      </c>
      <c r="F732" s="22">
        <v>1</v>
      </c>
      <c r="G732" s="22">
        <v>1</v>
      </c>
      <c r="H732" s="97">
        <f>VLOOKUP($A732,'Model Inputs'!$A:$D,4,FALSE)</f>
        <v>-44</v>
      </c>
      <c r="I732" s="22">
        <f>VLOOKUP(C732,Resources!B:G,6,FALSE)</f>
        <v>92.1</v>
      </c>
      <c r="J732" s="139">
        <f t="shared" ref="J732" si="854">(H732/(G732/F732))*I732</f>
        <v>-4052.3999999999996</v>
      </c>
      <c r="K732" s="139">
        <f t="shared" ref="K732" si="855">IF(E732="M",H732,(H732/(G732)*F732))</f>
        <v>-44</v>
      </c>
      <c r="L732" s="139" t="str">
        <f>IF(E732="M"," ",K732/F732/Workhrs)</f>
        <v xml:space="preserve"> </v>
      </c>
      <c r="M732" s="139">
        <f t="shared" si="849"/>
        <v>0</v>
      </c>
      <c r="N732" s="139">
        <f t="shared" si="850"/>
        <v>-4052.3999999999996</v>
      </c>
      <c r="O732" s="139">
        <f t="shared" si="851"/>
        <v>0</v>
      </c>
      <c r="P732" s="139">
        <f t="shared" si="852"/>
        <v>0</v>
      </c>
      <c r="Q732" s="139">
        <f t="shared" ref="Q732" si="856">SUM(M732:P732)</f>
        <v>-4052.3999999999996</v>
      </c>
      <c r="R732" s="156" t="s">
        <v>696</v>
      </c>
      <c r="T732" s="247"/>
      <c r="U732"/>
      <c r="V732" s="277"/>
    </row>
    <row r="733" spans="1:22" s="98" customFormat="1" x14ac:dyDescent="0.35">
      <c r="A733" s="27">
        <v>109.3</v>
      </c>
      <c r="B733" s="92">
        <v>3</v>
      </c>
      <c r="C733" s="19" t="s">
        <v>193</v>
      </c>
      <c r="D733" s="16" t="s">
        <v>45</v>
      </c>
      <c r="E733" s="27" t="str">
        <f>VLOOKUP(C733,Resources!B:D,3,FALSE)</f>
        <v>M</v>
      </c>
      <c r="F733" s="22">
        <v>1</v>
      </c>
      <c r="G733" s="22">
        <v>1</v>
      </c>
      <c r="H733" s="97">
        <f>VLOOKUP($A733,'Model Inputs'!$A:$D,4,FALSE)</f>
        <v>-100</v>
      </c>
      <c r="I733" s="22">
        <f>VLOOKUP(C733,Resources!B:G,6,FALSE)</f>
        <v>387.5</v>
      </c>
      <c r="J733" s="139">
        <f t="shared" ref="J733" si="857">(H733/(G733/F733))*I733</f>
        <v>-38750</v>
      </c>
      <c r="K733" s="139">
        <f t="shared" ref="K733" si="858">IF(E733="M",H733,(H733/(G733)*F733))</f>
        <v>-100</v>
      </c>
      <c r="L733" s="139" t="str">
        <f t="shared" ref="L733" si="859">IF(E733="M"," ",K733/F733/Workhrs)</f>
        <v xml:space="preserve"> </v>
      </c>
      <c r="M733" s="139">
        <f>IF($E733="L",$J733,0)</f>
        <v>0</v>
      </c>
      <c r="N733" s="139">
        <f>IF($E733="M",$J733,0)</f>
        <v>-38750</v>
      </c>
      <c r="O733" s="139">
        <f>IF($E733="P",$J733,0)</f>
        <v>0</v>
      </c>
      <c r="P733" s="139">
        <f t="shared" si="852"/>
        <v>0</v>
      </c>
      <c r="Q733" s="139">
        <f t="shared" ref="Q733" si="860">SUM(M733:P733)</f>
        <v>-38750</v>
      </c>
      <c r="R733" s="156" t="s">
        <v>698</v>
      </c>
      <c r="T733" s="247"/>
      <c r="U733"/>
      <c r="V733" s="277"/>
    </row>
    <row r="734" spans="1:22" s="98" customFormat="1" x14ac:dyDescent="0.35">
      <c r="A734" s="27">
        <v>109.4</v>
      </c>
      <c r="B734" s="92">
        <v>4</v>
      </c>
      <c r="C734" s="19" t="s">
        <v>196</v>
      </c>
      <c r="D734" s="16" t="s">
        <v>45</v>
      </c>
      <c r="E734" s="27" t="str">
        <f>VLOOKUP(C734,Resources!B:D,3,FALSE)</f>
        <v>M</v>
      </c>
      <c r="F734" s="22">
        <v>1</v>
      </c>
      <c r="G734" s="22">
        <v>1</v>
      </c>
      <c r="H734" s="97">
        <f>VLOOKUP($A734,'Model Inputs'!$A:$D,4,FALSE)</f>
        <v>-114</v>
      </c>
      <c r="I734" s="22">
        <f>VLOOKUP(C734,Resources!B:G,6,FALSE)</f>
        <v>400</v>
      </c>
      <c r="J734" s="139">
        <f t="shared" ref="J734:J737" si="861">(H734/(G734/F734))*I734</f>
        <v>-45600</v>
      </c>
      <c r="K734" s="139">
        <f t="shared" ref="K734:K737" si="862">IF(E734="M",H734,(H734/(G734)*F734))</f>
        <v>-114</v>
      </c>
      <c r="L734" s="139" t="str">
        <f t="shared" ref="L734" si="863">IF(E734="M"," ",K734/F734/Workhrs)</f>
        <v xml:space="preserve"> </v>
      </c>
      <c r="M734" s="139">
        <f>IF($E734="L",$J734,0)</f>
        <v>0</v>
      </c>
      <c r="N734" s="139">
        <f>IF($E734="M",$J734,0)</f>
        <v>-45600</v>
      </c>
      <c r="O734" s="139">
        <f>IF($E734="P",$J734,0)</f>
        <v>0</v>
      </c>
      <c r="P734" s="139">
        <f t="shared" si="852"/>
        <v>0</v>
      </c>
      <c r="Q734" s="139">
        <f t="shared" ref="Q734:Q737" si="864">SUM(M734:P734)</f>
        <v>-45600</v>
      </c>
      <c r="R734" s="156" t="s">
        <v>698</v>
      </c>
      <c r="T734" s="247"/>
      <c r="U734"/>
      <c r="V734" s="277"/>
    </row>
    <row r="735" spans="1:22" s="98" customFormat="1" x14ac:dyDescent="0.35">
      <c r="A735" s="27">
        <v>109.5</v>
      </c>
      <c r="B735" s="92">
        <v>5</v>
      </c>
      <c r="C735" s="19" t="s">
        <v>202</v>
      </c>
      <c r="D735" s="16" t="s">
        <v>23</v>
      </c>
      <c r="E735" s="27" t="str">
        <f>VLOOKUP(C735,Resources!B:D,3,FALSE)</f>
        <v>M</v>
      </c>
      <c r="F735" s="22">
        <v>1</v>
      </c>
      <c r="G735" s="22">
        <v>1</v>
      </c>
      <c r="H735" s="97">
        <f>VLOOKUP($A735,'Model Inputs'!$A:$D,4,FALSE)</f>
        <v>-1</v>
      </c>
      <c r="I735" s="22">
        <f>VLOOKUP(C735,Resources!B:G,6,FALSE)</f>
        <v>360</v>
      </c>
      <c r="J735" s="139">
        <f t="shared" si="861"/>
        <v>-360</v>
      </c>
      <c r="K735" s="139">
        <f t="shared" si="862"/>
        <v>-1</v>
      </c>
      <c r="L735" s="139" t="str">
        <f>IF(E735="M"," ",K735/F735/Workhrs)</f>
        <v xml:space="preserve"> </v>
      </c>
      <c r="M735" s="139">
        <f t="shared" ref="M735:M737" si="865">IF($E735="L",$J735,0)</f>
        <v>0</v>
      </c>
      <c r="N735" s="139">
        <f t="shared" ref="N735:N737" si="866">IF($E735="M",$J735,0)</f>
        <v>-360</v>
      </c>
      <c r="O735" s="139">
        <f t="shared" ref="O735:O737" si="867">IF($E735="P",$J735,0)</f>
        <v>0</v>
      </c>
      <c r="P735" s="139">
        <f t="shared" si="852"/>
        <v>0</v>
      </c>
      <c r="Q735" s="139">
        <f t="shared" si="864"/>
        <v>-360</v>
      </c>
      <c r="R735" s="156" t="s">
        <v>699</v>
      </c>
      <c r="T735" s="247"/>
      <c r="U735"/>
      <c r="V735" s="277"/>
    </row>
    <row r="736" spans="1:22" s="98" customFormat="1" x14ac:dyDescent="0.35">
      <c r="A736" s="27">
        <v>109.6</v>
      </c>
      <c r="B736" s="92">
        <v>6</v>
      </c>
      <c r="C736" s="19" t="s">
        <v>407</v>
      </c>
      <c r="D736" s="16" t="s">
        <v>23</v>
      </c>
      <c r="E736" s="27" t="str">
        <f>VLOOKUP(C736,Resources!B:D,3,FALSE)</f>
        <v>M</v>
      </c>
      <c r="F736" s="22">
        <v>1</v>
      </c>
      <c r="G736" s="22">
        <v>1</v>
      </c>
      <c r="H736" s="97">
        <f>VLOOKUP($A736,'Model Inputs'!$A:$D,4,FALSE)</f>
        <v>-18</v>
      </c>
      <c r="I736" s="22">
        <f>VLOOKUP(C736,Resources!B:G,6,FALSE)</f>
        <v>625</v>
      </c>
      <c r="J736" s="139">
        <f t="shared" si="861"/>
        <v>-11250</v>
      </c>
      <c r="K736" s="139">
        <f t="shared" si="862"/>
        <v>-18</v>
      </c>
      <c r="L736" s="139" t="str">
        <f>IF(E736="M"," ",K736/F736/Workhrs)</f>
        <v xml:space="preserve"> </v>
      </c>
      <c r="M736" s="139">
        <f t="shared" si="865"/>
        <v>0</v>
      </c>
      <c r="N736" s="139">
        <f t="shared" si="866"/>
        <v>-11250</v>
      </c>
      <c r="O736" s="139">
        <f t="shared" si="867"/>
        <v>0</v>
      </c>
      <c r="P736" s="139">
        <f t="shared" si="852"/>
        <v>0</v>
      </c>
      <c r="Q736" s="139">
        <f t="shared" si="864"/>
        <v>-11250</v>
      </c>
      <c r="R736" s="156" t="s">
        <v>699</v>
      </c>
      <c r="T736" s="247"/>
      <c r="U736"/>
      <c r="V736" s="277"/>
    </row>
    <row r="737" spans="1:22" s="98" customFormat="1" x14ac:dyDescent="0.35">
      <c r="A737" s="27">
        <v>109.7</v>
      </c>
      <c r="B737" s="92">
        <v>7</v>
      </c>
      <c r="C737" s="19" t="s">
        <v>408</v>
      </c>
      <c r="D737" s="16" t="s">
        <v>23</v>
      </c>
      <c r="E737" s="27" t="str">
        <f>VLOOKUP(C737,Resources!B:D,3,FALSE)</f>
        <v>M</v>
      </c>
      <c r="F737" s="22">
        <v>1</v>
      </c>
      <c r="G737" s="22">
        <v>1</v>
      </c>
      <c r="H737" s="97">
        <f>VLOOKUP($A737,'Model Inputs'!$A:$D,4,FALSE)</f>
        <v>-20</v>
      </c>
      <c r="I737" s="22">
        <f>VLOOKUP(C737,Resources!B:G,6,FALSE)</f>
        <v>645</v>
      </c>
      <c r="J737" s="139">
        <f t="shared" si="861"/>
        <v>-12900</v>
      </c>
      <c r="K737" s="139">
        <f t="shared" si="862"/>
        <v>-20</v>
      </c>
      <c r="L737" s="139" t="str">
        <f>IF(E737="M"," ",K737/F737/Workhrs)</f>
        <v xml:space="preserve"> </v>
      </c>
      <c r="M737" s="139">
        <f t="shared" si="865"/>
        <v>0</v>
      </c>
      <c r="N737" s="139">
        <f t="shared" si="866"/>
        <v>-12900</v>
      </c>
      <c r="O737" s="139">
        <f t="shared" si="867"/>
        <v>0</v>
      </c>
      <c r="P737" s="139">
        <f t="shared" si="852"/>
        <v>0</v>
      </c>
      <c r="Q737" s="139">
        <f t="shared" si="864"/>
        <v>-12900</v>
      </c>
      <c r="R737" s="156" t="s">
        <v>699</v>
      </c>
      <c r="T737" s="247"/>
      <c r="U737"/>
      <c r="V737" s="277"/>
    </row>
    <row r="739" spans="1:22" s="11" customFormat="1" x14ac:dyDescent="0.35">
      <c r="A739" s="26">
        <v>110</v>
      </c>
      <c r="B739" s="94" t="s">
        <v>263</v>
      </c>
      <c r="C739" s="14" t="s">
        <v>264</v>
      </c>
      <c r="D739" s="24" t="s">
        <v>23</v>
      </c>
      <c r="E739" s="29"/>
      <c r="F739" s="21"/>
      <c r="G739" s="21"/>
      <c r="H739" s="24">
        <v>1</v>
      </c>
      <c r="I739" s="15"/>
      <c r="J739" s="138">
        <f>SUBTOTAL(9,J741:J763)</f>
        <v>991.32065231647027</v>
      </c>
      <c r="K739" s="138"/>
      <c r="L739" s="138">
        <f>ROUNDUP(MAX(L742:L747),0)+ROUNDUP(MAX(L751:L759),0)+ROUNDUP(L761,0)+ROUNDUP(L763,0)</f>
        <v>4</v>
      </c>
      <c r="M739" s="138">
        <f>SUBTOTAL(9,M741:M763)</f>
        <v>277.75751138628635</v>
      </c>
      <c r="N739" s="138">
        <f t="shared" ref="N739:Q739" si="868">SUBTOTAL(9,N741:N763)</f>
        <v>84.326400000000007</v>
      </c>
      <c r="O739" s="138">
        <f t="shared" si="868"/>
        <v>383.69466093018377</v>
      </c>
      <c r="P739" s="138">
        <f t="shared" si="868"/>
        <v>245.54208</v>
      </c>
      <c r="Q739" s="138">
        <f t="shared" si="868"/>
        <v>991.32065231647027</v>
      </c>
      <c r="R739" s="155"/>
      <c r="T739" s="247"/>
      <c r="U739"/>
      <c r="V739" s="277"/>
    </row>
    <row r="740" spans="1:22" s="98" customFormat="1" x14ac:dyDescent="0.35">
      <c r="A740" s="27">
        <v>110.1</v>
      </c>
      <c r="B740" s="92"/>
      <c r="C740" s="141" t="s">
        <v>676</v>
      </c>
      <c r="D740" s="16" t="s">
        <v>687</v>
      </c>
      <c r="E740" s="27"/>
      <c r="F740" s="22"/>
      <c r="G740" s="22"/>
      <c r="H740" s="97">
        <f>VLOOKUP($A740,'Model Inputs'!$A:$D,4,FALSE)</f>
        <v>4.88</v>
      </c>
      <c r="I740" s="22"/>
      <c r="J740" s="139"/>
      <c r="K740" s="139"/>
      <c r="L740" s="139"/>
      <c r="M740" s="139"/>
      <c r="N740" s="139"/>
      <c r="O740" s="139"/>
      <c r="P740" s="139"/>
      <c r="Q740" s="139"/>
      <c r="R740" s="156"/>
      <c r="T740" s="247"/>
      <c r="U740"/>
      <c r="V740" s="277"/>
    </row>
    <row r="741" spans="1:22" s="98" customFormat="1" x14ac:dyDescent="0.35">
      <c r="A741" s="27"/>
      <c r="B741" s="92">
        <v>2</v>
      </c>
      <c r="C741" s="19" t="s">
        <v>75</v>
      </c>
      <c r="D741" s="16" t="s">
        <v>54</v>
      </c>
      <c r="E741" s="27" t="str">
        <f>VLOOKUP(C741,Resources!B:D,3,FALSE)</f>
        <v>M</v>
      </c>
      <c r="F741" s="22">
        <v>1</v>
      </c>
      <c r="G741" s="22">
        <v>1</v>
      </c>
      <c r="H741" s="22">
        <f>H740*0.8*0.6*1.5</f>
        <v>3.5136000000000003</v>
      </c>
      <c r="I741" s="22">
        <f>VLOOKUP(C741,Resources!B:G,6,FALSE)</f>
        <v>24</v>
      </c>
      <c r="J741" s="139">
        <f t="shared" ref="J741" si="869">(H741/(G741/F741))*I741</f>
        <v>84.326400000000007</v>
      </c>
      <c r="K741" s="139">
        <f t="shared" ref="K741" si="870">IF(E741="M",H741,(H741/(G741)*F741))</f>
        <v>3.5136000000000003</v>
      </c>
      <c r="L741" s="139" t="str">
        <f>IF(E741="M"," ",K741/F741/Workhrs)</f>
        <v xml:space="preserve"> </v>
      </c>
      <c r="M741" s="139">
        <f t="shared" ref="M741" si="871">IF($E741="L",$J741,0)</f>
        <v>0</v>
      </c>
      <c r="N741" s="139">
        <f t="shared" ref="N741" si="872">IF($E741="M",$J741,0)</f>
        <v>84.326400000000007</v>
      </c>
      <c r="O741" s="139">
        <f t="shared" ref="O741" si="873">IF($E741="P",$J741,0)</f>
        <v>0</v>
      </c>
      <c r="P741" s="139">
        <f>IF($E741="S",$J741,0)</f>
        <v>0</v>
      </c>
      <c r="Q741" s="139">
        <f t="shared" ref="Q741" si="874">SUM(M741:P741)</f>
        <v>84.326400000000007</v>
      </c>
      <c r="R741" s="156" t="s">
        <v>692</v>
      </c>
      <c r="T741" s="247"/>
      <c r="U741"/>
      <c r="V741" s="277"/>
    </row>
    <row r="742" spans="1:22" s="98" customFormat="1" x14ac:dyDescent="0.35">
      <c r="A742" s="27">
        <v>110.2</v>
      </c>
      <c r="B742" s="92">
        <v>4</v>
      </c>
      <c r="C742" s="19" t="s">
        <v>50</v>
      </c>
      <c r="D742" s="16" t="s">
        <v>26</v>
      </c>
      <c r="E742" s="27" t="str">
        <f>VLOOKUP(C742,Resources!B:D,3,FALSE)</f>
        <v>P</v>
      </c>
      <c r="F742" s="22">
        <v>1</v>
      </c>
      <c r="G742" s="97">
        <f>VLOOKUP($A742,'Model Inputs'!$A:$D,4,FALSE)</f>
        <v>0.97</v>
      </c>
      <c r="H742" s="22">
        <f>H739</f>
        <v>1</v>
      </c>
      <c r="I742" s="22">
        <f>VLOOKUP(C742,Resources!B:G,6,FALSE)</f>
        <v>135</v>
      </c>
      <c r="J742" s="139">
        <f t="shared" ref="J742:J744" si="875">(H742/(G742/F742))*I742</f>
        <v>139.17525773195877</v>
      </c>
      <c r="K742" s="139">
        <f t="shared" ref="K742:K744" si="876">IF(E742="M",H742,(H742/(G742)*F742))</f>
        <v>1.0309278350515465</v>
      </c>
      <c r="L742" s="139">
        <f>IF(E742="M"," ",K742/F742/Workhrs)</f>
        <v>0.11454753722794961</v>
      </c>
      <c r="M742" s="139">
        <f t="shared" ref="M742:M744" si="877">IF($E742="L",$J742,0)</f>
        <v>0</v>
      </c>
      <c r="N742" s="139">
        <f t="shared" ref="N742:N744" si="878">IF($E742="M",$J742,0)</f>
        <v>0</v>
      </c>
      <c r="O742" s="139">
        <f t="shared" ref="O742:O744" si="879">IF($E742="P",$J742,0)</f>
        <v>139.17525773195877</v>
      </c>
      <c r="P742" s="139">
        <f>IF($E742="S",$J742,0)</f>
        <v>0</v>
      </c>
      <c r="Q742" s="139">
        <f t="shared" ref="Q742:Q744" si="880">SUM(M742:P742)</f>
        <v>139.17525773195877</v>
      </c>
      <c r="R742" s="156">
        <v>81</v>
      </c>
      <c r="T742" s="247"/>
      <c r="U742"/>
      <c r="V742" s="277"/>
    </row>
    <row r="743" spans="1:22" s="98" customFormat="1" x14ac:dyDescent="0.35">
      <c r="A743" s="27"/>
      <c r="B743" s="92">
        <v>5</v>
      </c>
      <c r="C743" s="19" t="s">
        <v>8</v>
      </c>
      <c r="D743" s="16" t="s">
        <v>26</v>
      </c>
      <c r="E743" s="27" t="str">
        <f>VLOOKUP(C743,Resources!B:D,3,FALSE)</f>
        <v>L</v>
      </c>
      <c r="F743" s="22">
        <v>3</v>
      </c>
      <c r="G743" s="22">
        <f>G742</f>
        <v>0.97</v>
      </c>
      <c r="H743" s="22">
        <f>H739</f>
        <v>1</v>
      </c>
      <c r="I743" s="22">
        <f>VLOOKUP(C743,Resources!B:G,6,FALSE)</f>
        <v>42</v>
      </c>
      <c r="J743" s="139">
        <f t="shared" si="875"/>
        <v>129.89690721649484</v>
      </c>
      <c r="K743" s="139">
        <f t="shared" si="876"/>
        <v>3.0927835051546397</v>
      </c>
      <c r="L743" s="139">
        <f>IF(E743="M"," ",K743/F743/Workhrs)</f>
        <v>0.11454753722794961</v>
      </c>
      <c r="M743" s="139">
        <f t="shared" si="877"/>
        <v>129.89690721649484</v>
      </c>
      <c r="N743" s="139">
        <f t="shared" si="878"/>
        <v>0</v>
      </c>
      <c r="O743" s="139">
        <f t="shared" si="879"/>
        <v>0</v>
      </c>
      <c r="P743" s="139">
        <f>IF($E743="S",$J743,0)</f>
        <v>0</v>
      </c>
      <c r="Q743" s="139">
        <f t="shared" si="880"/>
        <v>129.89690721649484</v>
      </c>
      <c r="R743" s="156">
        <v>81</v>
      </c>
      <c r="T743" s="247"/>
      <c r="U743"/>
      <c r="V743" s="277"/>
    </row>
    <row r="744" spans="1:22" s="98" customFormat="1" x14ac:dyDescent="0.35">
      <c r="A744" s="27"/>
      <c r="B744" s="92">
        <v>6</v>
      </c>
      <c r="C744" s="19" t="s">
        <v>83</v>
      </c>
      <c r="D744" s="16" t="s">
        <v>26</v>
      </c>
      <c r="E744" s="27" t="str">
        <f>VLOOKUP(C744,Resources!B:D,3,FALSE)</f>
        <v>P</v>
      </c>
      <c r="F744" s="22">
        <v>1</v>
      </c>
      <c r="G744" s="22">
        <f>G742</f>
        <v>0.97</v>
      </c>
      <c r="H744" s="22">
        <f>H739</f>
        <v>1</v>
      </c>
      <c r="I744" s="22">
        <f>VLOOKUP(C744,Resources!B:G,6,FALSE)</f>
        <v>3.5</v>
      </c>
      <c r="J744" s="139">
        <f t="shared" si="875"/>
        <v>3.6082474226804129</v>
      </c>
      <c r="K744" s="139">
        <f t="shared" si="876"/>
        <v>1.0309278350515465</v>
      </c>
      <c r="L744" s="139">
        <f>IF(E744="M"," ",K744/F744/Workhrs)</f>
        <v>0.11454753722794961</v>
      </c>
      <c r="M744" s="139">
        <f t="shared" si="877"/>
        <v>0</v>
      </c>
      <c r="N744" s="139">
        <f t="shared" si="878"/>
        <v>0</v>
      </c>
      <c r="O744" s="139">
        <f t="shared" si="879"/>
        <v>3.6082474226804129</v>
      </c>
      <c r="P744" s="139">
        <f>IF($E744="S",$J744,0)</f>
        <v>0</v>
      </c>
      <c r="Q744" s="139">
        <f t="shared" si="880"/>
        <v>3.6082474226804129</v>
      </c>
      <c r="R744" s="156">
        <v>81</v>
      </c>
      <c r="T744" s="247"/>
      <c r="U744"/>
      <c r="V744" s="277"/>
    </row>
    <row r="745" spans="1:22" s="98" customFormat="1" x14ac:dyDescent="0.35">
      <c r="A745" s="27"/>
      <c r="B745" s="92"/>
      <c r="C745" s="141" t="s">
        <v>677</v>
      </c>
      <c r="D745" s="16"/>
      <c r="E745" s="27"/>
      <c r="F745" s="22"/>
      <c r="G745" s="22"/>
      <c r="H745" s="22"/>
      <c r="I745" s="22"/>
      <c r="J745" s="139"/>
      <c r="K745" s="139"/>
      <c r="L745" s="139"/>
      <c r="M745" s="139"/>
      <c r="N745" s="139"/>
      <c r="O745" s="139"/>
      <c r="P745" s="139"/>
      <c r="Q745" s="139"/>
      <c r="R745" s="156"/>
      <c r="T745" s="247"/>
      <c r="U745"/>
      <c r="V745" s="277"/>
    </row>
    <row r="746" spans="1:22" s="98" customFormat="1" x14ac:dyDescent="0.35">
      <c r="A746" s="27">
        <v>110.3</v>
      </c>
      <c r="B746" s="92">
        <v>2</v>
      </c>
      <c r="C746" s="19" t="s">
        <v>50</v>
      </c>
      <c r="D746" s="16" t="s">
        <v>26</v>
      </c>
      <c r="E746" s="27" t="str">
        <f>VLOOKUP(C746,Resources!B:D,3,FALSE)</f>
        <v>P</v>
      </c>
      <c r="F746" s="22">
        <v>1</v>
      </c>
      <c r="G746" s="97">
        <f>VLOOKUP($A746,'Model Inputs'!$A:$D,4,FALSE)</f>
        <v>1</v>
      </c>
      <c r="H746" s="22">
        <f>H739</f>
        <v>1</v>
      </c>
      <c r="I746" s="22">
        <f>VLOOKUP(C746,Resources!B:G,6,FALSE)</f>
        <v>135</v>
      </c>
      <c r="J746" s="139">
        <f t="shared" ref="J746:J747" si="881">(H746/(G746/F746))*I746</f>
        <v>135</v>
      </c>
      <c r="K746" s="139">
        <f t="shared" ref="K746:K747" si="882">IF(E746="M",H746,(H746/(G746)*F746))</f>
        <v>1</v>
      </c>
      <c r="L746" s="139">
        <f>IF(E746="M"," ",K746/F746/Workhrs)</f>
        <v>0.1111111111111111</v>
      </c>
      <c r="M746" s="139">
        <f t="shared" ref="M746:M747" si="883">IF($E746="L",$J746,0)</f>
        <v>0</v>
      </c>
      <c r="N746" s="139">
        <f t="shared" ref="N746:N747" si="884">IF($E746="M",$J746,0)</f>
        <v>0</v>
      </c>
      <c r="O746" s="139">
        <f t="shared" ref="O746:O747" si="885">IF($E746="P",$J746,0)</f>
        <v>135</v>
      </c>
      <c r="P746" s="139">
        <f>IF($E746="S",$J746,0)</f>
        <v>0</v>
      </c>
      <c r="Q746" s="139">
        <f t="shared" ref="Q746:Q747" si="886">SUM(M746:P746)</f>
        <v>135</v>
      </c>
      <c r="R746" s="156">
        <v>81</v>
      </c>
      <c r="T746" s="247"/>
      <c r="U746"/>
      <c r="V746" s="277"/>
    </row>
    <row r="747" spans="1:22" s="98" customFormat="1" x14ac:dyDescent="0.35">
      <c r="A747" s="27"/>
      <c r="B747" s="92">
        <v>3</v>
      </c>
      <c r="C747" s="19" t="s">
        <v>8</v>
      </c>
      <c r="D747" s="16" t="s">
        <v>26</v>
      </c>
      <c r="E747" s="27" t="str">
        <f>VLOOKUP(C747,Resources!B:D,3,FALSE)</f>
        <v>L</v>
      </c>
      <c r="F747" s="22">
        <v>3</v>
      </c>
      <c r="G747" s="22">
        <f>G746</f>
        <v>1</v>
      </c>
      <c r="H747" s="22">
        <f>H739</f>
        <v>1</v>
      </c>
      <c r="I747" s="22">
        <f>VLOOKUP(C747,Resources!B:G,6,FALSE)</f>
        <v>42</v>
      </c>
      <c r="J747" s="139">
        <f t="shared" si="881"/>
        <v>126</v>
      </c>
      <c r="K747" s="139">
        <f t="shared" si="882"/>
        <v>3</v>
      </c>
      <c r="L747" s="139">
        <f>IF(E747="M"," ",K747/F747/Workhrs)</f>
        <v>0.1111111111111111</v>
      </c>
      <c r="M747" s="139">
        <f t="shared" si="883"/>
        <v>126</v>
      </c>
      <c r="N747" s="139">
        <f t="shared" si="884"/>
        <v>0</v>
      </c>
      <c r="O747" s="139">
        <f t="shared" si="885"/>
        <v>0</v>
      </c>
      <c r="P747" s="139">
        <f>IF($E747="S",$J747,0)</f>
        <v>0</v>
      </c>
      <c r="Q747" s="139">
        <f t="shared" si="886"/>
        <v>126</v>
      </c>
      <c r="R747" s="156">
        <v>81</v>
      </c>
      <c r="T747" s="247"/>
      <c r="U747"/>
      <c r="V747" s="277"/>
    </row>
    <row r="748" spans="1:22" s="98" customFormat="1" x14ac:dyDescent="0.35">
      <c r="A748" s="27"/>
      <c r="B748" s="92"/>
      <c r="C748" s="141" t="s">
        <v>678</v>
      </c>
      <c r="D748" s="16"/>
      <c r="E748" s="27"/>
      <c r="F748" s="22"/>
      <c r="G748" s="22"/>
      <c r="H748" s="22"/>
      <c r="I748" s="22"/>
      <c r="J748" s="139"/>
      <c r="K748" s="139"/>
      <c r="L748" s="139"/>
      <c r="M748" s="139"/>
      <c r="N748" s="139"/>
      <c r="O748" s="139"/>
      <c r="P748" s="139"/>
      <c r="Q748" s="139"/>
      <c r="R748" s="156"/>
      <c r="T748" s="247"/>
      <c r="U748"/>
      <c r="V748" s="277"/>
    </row>
    <row r="749" spans="1:22" s="98" customFormat="1" ht="30" x14ac:dyDescent="0.35">
      <c r="A749" s="27">
        <v>110.4</v>
      </c>
      <c r="B749" s="92">
        <v>1</v>
      </c>
      <c r="C749" s="19" t="s">
        <v>62</v>
      </c>
      <c r="D749" s="16" t="s">
        <v>690</v>
      </c>
      <c r="E749" s="27"/>
      <c r="F749" s="22"/>
      <c r="G749" s="22"/>
      <c r="H749" s="97">
        <f>VLOOKUP($A749,'Model Inputs'!$A:$D,4,FALSE)</f>
        <v>2.98</v>
      </c>
      <c r="I749" s="22"/>
      <c r="J749" s="139"/>
      <c r="K749" s="139"/>
      <c r="L749" s="139"/>
      <c r="M749" s="139"/>
      <c r="N749" s="139"/>
      <c r="O749" s="139"/>
      <c r="P749" s="139"/>
      <c r="Q749" s="139"/>
      <c r="R749" s="156"/>
      <c r="T749" s="247"/>
      <c r="U749"/>
      <c r="V749" s="277"/>
    </row>
    <row r="750" spans="1:22" s="98" customFormat="1" ht="32.25" x14ac:dyDescent="0.35">
      <c r="A750" s="27"/>
      <c r="B750" s="92">
        <v>2</v>
      </c>
      <c r="C750" s="19" t="s">
        <v>672</v>
      </c>
      <c r="D750" s="16" t="s">
        <v>54</v>
      </c>
      <c r="E750" s="27"/>
      <c r="F750" s="22"/>
      <c r="G750" s="22"/>
      <c r="H750" s="22">
        <f>H749*GCF</f>
        <v>7.152000000000001</v>
      </c>
      <c r="I750" s="22"/>
      <c r="J750" s="139"/>
      <c r="K750" s="139"/>
      <c r="L750" s="139"/>
      <c r="M750" s="139"/>
      <c r="N750" s="139"/>
      <c r="O750" s="139"/>
      <c r="P750" s="139"/>
      <c r="Q750" s="139"/>
      <c r="R750" s="156"/>
      <c r="T750" s="247"/>
      <c r="U750"/>
      <c r="V750" s="277"/>
    </row>
    <row r="751" spans="1:22" s="98" customFormat="1" x14ac:dyDescent="0.35">
      <c r="A751" s="27">
        <v>110.5</v>
      </c>
      <c r="B751" s="92">
        <v>3</v>
      </c>
      <c r="C751" s="19" t="s">
        <v>63</v>
      </c>
      <c r="D751" s="16" t="s">
        <v>26</v>
      </c>
      <c r="E751" s="27" t="str">
        <f>VLOOKUP(C751,Resources!B:D,3,FALSE)</f>
        <v>P</v>
      </c>
      <c r="F751" s="22">
        <v>1</v>
      </c>
      <c r="G751" s="97">
        <f>VLOOKUP($A751,'Model Inputs'!$A:$D,4,FALSE)</f>
        <v>66.67</v>
      </c>
      <c r="H751" s="22">
        <f>H750</f>
        <v>7.152000000000001</v>
      </c>
      <c r="I751" s="22">
        <f>VLOOKUP(C751,Resources!B:G,6,FALSE)</f>
        <v>135</v>
      </c>
      <c r="J751" s="139">
        <f t="shared" ref="J751:J755" si="887">(H751/(G751/F751))*I751</f>
        <v>14.482075896205192</v>
      </c>
      <c r="K751" s="139">
        <f t="shared" ref="K751:K755" si="888">IF(E751="M",H751,(H751/(G751)*F751))</f>
        <v>0.1072746362681866</v>
      </c>
      <c r="L751" s="139">
        <f>IF(E751="M"," ",K751/F751/Workhrs)</f>
        <v>1.1919404029798512E-2</v>
      </c>
      <c r="M751" s="139">
        <f t="shared" ref="M751:M755" si="889">IF($E751="L",$J751,0)</f>
        <v>0</v>
      </c>
      <c r="N751" s="139">
        <f t="shared" ref="N751:N755" si="890">IF($E751="M",$J751,0)</f>
        <v>0</v>
      </c>
      <c r="O751" s="139">
        <f t="shared" ref="O751:O755" si="891">IF($E751="P",$J751,0)</f>
        <v>14.482075896205192</v>
      </c>
      <c r="P751" s="139">
        <f>IF($E751="S",$J751,0)</f>
        <v>0</v>
      </c>
      <c r="Q751" s="139">
        <f t="shared" ref="Q751:Q755" si="892">SUM(M751:P751)</f>
        <v>14.482075896205192</v>
      </c>
      <c r="R751" s="156">
        <v>62</v>
      </c>
      <c r="T751" s="247"/>
      <c r="U751"/>
      <c r="V751" s="277"/>
    </row>
    <row r="752" spans="1:22" s="98" customFormat="1" x14ac:dyDescent="0.35">
      <c r="A752" s="27"/>
      <c r="B752" s="92">
        <v>4</v>
      </c>
      <c r="C752" s="19" t="s">
        <v>64</v>
      </c>
      <c r="D752" s="16" t="s">
        <v>26</v>
      </c>
      <c r="E752" s="27" t="str">
        <f>VLOOKUP(C752,Resources!B:D,3,FALSE)</f>
        <v>P</v>
      </c>
      <c r="F752" s="22">
        <v>4</v>
      </c>
      <c r="G752" s="22">
        <f>G751</f>
        <v>66.67</v>
      </c>
      <c r="H752" s="22">
        <f>H750</f>
        <v>7.152000000000001</v>
      </c>
      <c r="I752" s="22">
        <f>VLOOKUP(C752,Resources!B:G,6,FALSE)</f>
        <v>145</v>
      </c>
      <c r="J752" s="139">
        <f t="shared" si="887"/>
        <v>62.219289035548229</v>
      </c>
      <c r="K752" s="139">
        <f t="shared" si="888"/>
        <v>0.42909854507274642</v>
      </c>
      <c r="L752" s="139">
        <f>IF(E752="M"," ",K752/F752/Workhrs)</f>
        <v>1.1919404029798512E-2</v>
      </c>
      <c r="M752" s="139">
        <f t="shared" si="889"/>
        <v>0</v>
      </c>
      <c r="N752" s="139">
        <f t="shared" si="890"/>
        <v>0</v>
      </c>
      <c r="O752" s="139">
        <f t="shared" si="891"/>
        <v>62.219289035548229</v>
      </c>
      <c r="P752" s="139">
        <f>IF($E752="S",$J752,0)</f>
        <v>0</v>
      </c>
      <c r="Q752" s="139">
        <f t="shared" si="892"/>
        <v>62.219289035548229</v>
      </c>
      <c r="R752" s="156">
        <v>62</v>
      </c>
      <c r="T752" s="247"/>
      <c r="U752"/>
      <c r="V752" s="277"/>
    </row>
    <row r="753" spans="1:22" s="98" customFormat="1" x14ac:dyDescent="0.35">
      <c r="A753" s="27"/>
      <c r="B753" s="92">
        <v>5</v>
      </c>
      <c r="C753" s="19" t="s">
        <v>52</v>
      </c>
      <c r="D753" s="16" t="s">
        <v>26</v>
      </c>
      <c r="E753" s="27" t="str">
        <f>VLOOKUP(C753,Resources!B:D,3,FALSE)</f>
        <v>P</v>
      </c>
      <c r="F753" s="22">
        <v>1</v>
      </c>
      <c r="G753" s="22">
        <f>G751</f>
        <v>66.67</v>
      </c>
      <c r="H753" s="22">
        <f>H750</f>
        <v>7.152000000000001</v>
      </c>
      <c r="I753" s="22">
        <f>VLOOKUP(C753,Resources!B:G,6,FALSE)</f>
        <v>100</v>
      </c>
      <c r="J753" s="139">
        <f t="shared" si="887"/>
        <v>10.727463626818661</v>
      </c>
      <c r="K753" s="139">
        <f t="shared" si="888"/>
        <v>0.1072746362681866</v>
      </c>
      <c r="L753" s="139">
        <f>IF(E753="M"," ",K753/F753/Workhrs)</f>
        <v>1.1919404029798512E-2</v>
      </c>
      <c r="M753" s="139">
        <f t="shared" si="889"/>
        <v>0</v>
      </c>
      <c r="N753" s="139">
        <f t="shared" si="890"/>
        <v>0</v>
      </c>
      <c r="O753" s="139">
        <f t="shared" si="891"/>
        <v>10.727463626818661</v>
      </c>
      <c r="P753" s="139">
        <f>IF($E753="S",$J753,0)</f>
        <v>0</v>
      </c>
      <c r="Q753" s="139">
        <f t="shared" si="892"/>
        <v>10.727463626818661</v>
      </c>
      <c r="R753" s="156">
        <v>62</v>
      </c>
      <c r="T753" s="247"/>
      <c r="U753"/>
      <c r="V753" s="277"/>
    </row>
    <row r="754" spans="1:22" s="98" customFormat="1" x14ac:dyDescent="0.35">
      <c r="A754" s="27"/>
      <c r="B754" s="92">
        <v>6</v>
      </c>
      <c r="C754" s="19" t="s">
        <v>106</v>
      </c>
      <c r="D754" s="16" t="s">
        <v>26</v>
      </c>
      <c r="E754" s="27" t="str">
        <f>VLOOKUP(C754,Resources!B:D,3,FALSE)</f>
        <v>P</v>
      </c>
      <c r="F754" s="22">
        <v>1</v>
      </c>
      <c r="G754" s="22">
        <f>G751</f>
        <v>66.67</v>
      </c>
      <c r="H754" s="22">
        <f>H750</f>
        <v>7.152000000000001</v>
      </c>
      <c r="I754" s="22">
        <f>VLOOKUP(C754,Resources!B:G,6,FALSE)</f>
        <v>55</v>
      </c>
      <c r="J754" s="139">
        <f t="shared" si="887"/>
        <v>5.9001049947502633</v>
      </c>
      <c r="K754" s="139">
        <f t="shared" si="888"/>
        <v>0.1072746362681866</v>
      </c>
      <c r="L754" s="139">
        <f>IF(E754="M"," ",K754/F754/Workhrs)</f>
        <v>1.1919404029798512E-2</v>
      </c>
      <c r="M754" s="139">
        <f t="shared" si="889"/>
        <v>0</v>
      </c>
      <c r="N754" s="139">
        <f t="shared" si="890"/>
        <v>0</v>
      </c>
      <c r="O754" s="139">
        <f t="shared" si="891"/>
        <v>5.9001049947502633</v>
      </c>
      <c r="P754" s="139">
        <f>IF($E754="S",$J754,0)</f>
        <v>0</v>
      </c>
      <c r="Q754" s="139">
        <f t="shared" si="892"/>
        <v>5.9001049947502633</v>
      </c>
      <c r="R754" s="156">
        <v>62</v>
      </c>
      <c r="T754" s="247"/>
      <c r="U754"/>
      <c r="V754" s="277"/>
    </row>
    <row r="755" spans="1:22" s="98" customFormat="1" x14ac:dyDescent="0.35">
      <c r="A755" s="27"/>
      <c r="B755" s="92">
        <v>7</v>
      </c>
      <c r="C755" s="19" t="s">
        <v>8</v>
      </c>
      <c r="D755" s="16" t="s">
        <v>26</v>
      </c>
      <c r="E755" s="27" t="str">
        <f>VLOOKUP(C755,Resources!B:D,3,FALSE)</f>
        <v>L</v>
      </c>
      <c r="F755" s="22">
        <v>3</v>
      </c>
      <c r="G755" s="22">
        <f>G751</f>
        <v>66.67</v>
      </c>
      <c r="H755" s="22">
        <f>H750</f>
        <v>7.152000000000001</v>
      </c>
      <c r="I755" s="22">
        <f>VLOOKUP(C755,Resources!B:G,6,FALSE)</f>
        <v>42</v>
      </c>
      <c r="J755" s="139">
        <f t="shared" si="887"/>
        <v>13.516604169791512</v>
      </c>
      <c r="K755" s="139">
        <f t="shared" si="888"/>
        <v>0.3218239088045598</v>
      </c>
      <c r="L755" s="139">
        <f>IF(E755="M"," ",K755/F755/Workhrs)</f>
        <v>1.1919404029798512E-2</v>
      </c>
      <c r="M755" s="139">
        <f t="shared" si="889"/>
        <v>13.516604169791512</v>
      </c>
      <c r="N755" s="139">
        <f t="shared" si="890"/>
        <v>0</v>
      </c>
      <c r="O755" s="139">
        <f t="shared" si="891"/>
        <v>0</v>
      </c>
      <c r="P755" s="139">
        <f>IF($E755="S",$J755,0)</f>
        <v>0</v>
      </c>
      <c r="Q755" s="139">
        <f t="shared" si="892"/>
        <v>13.516604169791512</v>
      </c>
      <c r="R755" s="156">
        <v>62</v>
      </c>
      <c r="T755" s="247"/>
      <c r="U755"/>
      <c r="V755" s="277"/>
    </row>
    <row r="756" spans="1:22" s="98" customFormat="1" x14ac:dyDescent="0.35">
      <c r="A756" s="27"/>
      <c r="B756" s="92">
        <v>9</v>
      </c>
      <c r="C756" s="19" t="s">
        <v>100</v>
      </c>
      <c r="D756" s="16"/>
      <c r="E756" s="27"/>
      <c r="F756" s="22"/>
      <c r="G756" s="22"/>
      <c r="H756" s="22"/>
      <c r="I756" s="22"/>
      <c r="J756" s="139"/>
      <c r="K756" s="139"/>
      <c r="L756" s="139"/>
      <c r="M756" s="139"/>
      <c r="N756" s="139"/>
      <c r="O756" s="139"/>
      <c r="P756" s="139"/>
      <c r="Q756" s="139"/>
      <c r="R756" s="156"/>
      <c r="T756" s="247"/>
      <c r="U756"/>
      <c r="V756" s="277"/>
    </row>
    <row r="757" spans="1:22" s="98" customFormat="1" x14ac:dyDescent="0.35">
      <c r="A757" s="27">
        <v>110.6</v>
      </c>
      <c r="B757" s="92">
        <v>10</v>
      </c>
      <c r="C757" s="19" t="s">
        <v>63</v>
      </c>
      <c r="D757" s="16" t="s">
        <v>26</v>
      </c>
      <c r="E757" s="27" t="str">
        <f>VLOOKUP(C757,Resources!B:D,3,FALSE)</f>
        <v>P</v>
      </c>
      <c r="F757" s="22">
        <v>1</v>
      </c>
      <c r="G757" s="97">
        <f>VLOOKUP($A757,'Model Inputs'!$A:$D,4,FALSE)</f>
        <v>300</v>
      </c>
      <c r="H757" s="22">
        <f>H749/0.15</f>
        <v>19.866666666666667</v>
      </c>
      <c r="I757" s="22">
        <f>VLOOKUP(C757,Resources!B:G,6,FALSE)</f>
        <v>135</v>
      </c>
      <c r="J757" s="139">
        <f t="shared" ref="J757:J759" si="893">(H757/(G757/F757))*I757</f>
        <v>8.94</v>
      </c>
      <c r="K757" s="139">
        <f t="shared" ref="K757:K759" si="894">IF(E757="M",H757,(H757/(G757)*F757))</f>
        <v>6.6222222222222224E-2</v>
      </c>
      <c r="L757" s="139">
        <f>IF(E757="M"," ",K757/F757/Workhrs)</f>
        <v>7.358024691358025E-3</v>
      </c>
      <c r="M757" s="139">
        <f t="shared" ref="M757:M759" si="895">IF($E757="L",$J757,0)</f>
        <v>0</v>
      </c>
      <c r="N757" s="139">
        <f t="shared" ref="N757:N759" si="896">IF($E757="M",$J757,0)</f>
        <v>0</v>
      </c>
      <c r="O757" s="139">
        <f t="shared" ref="O757:O759" si="897">IF($E757="P",$J757,0)</f>
        <v>8.94</v>
      </c>
      <c r="P757" s="139">
        <f>IF($E757="S",$J757,0)</f>
        <v>0</v>
      </c>
      <c r="Q757" s="139">
        <f t="shared" ref="Q757:Q759" si="898">SUM(M757:P757)</f>
        <v>8.94</v>
      </c>
      <c r="R757" s="156">
        <v>63</v>
      </c>
      <c r="T757" s="247"/>
      <c r="U757"/>
      <c r="V757" s="277"/>
    </row>
    <row r="758" spans="1:22" s="98" customFormat="1" x14ac:dyDescent="0.35">
      <c r="A758" s="27"/>
      <c r="B758" s="92">
        <v>11</v>
      </c>
      <c r="C758" s="19" t="s">
        <v>405</v>
      </c>
      <c r="D758" s="16" t="s">
        <v>26</v>
      </c>
      <c r="E758" s="27" t="str">
        <f>VLOOKUP(C758,Resources!B:D,3,FALSE)</f>
        <v>P</v>
      </c>
      <c r="F758" s="22">
        <v>1</v>
      </c>
      <c r="G758" s="22">
        <f>G757</f>
        <v>300</v>
      </c>
      <c r="H758" s="22">
        <f>H757</f>
        <v>19.866666666666667</v>
      </c>
      <c r="I758" s="22">
        <f>VLOOKUP(C758,Resources!B:G,6,FALSE)</f>
        <v>55</v>
      </c>
      <c r="J758" s="139">
        <f t="shared" si="893"/>
        <v>3.6422222222222222</v>
      </c>
      <c r="K758" s="139">
        <f t="shared" si="894"/>
        <v>6.6222222222222224E-2</v>
      </c>
      <c r="L758" s="139">
        <f>IF(E758="M"," ",K758/F758/Workhrs)</f>
        <v>7.358024691358025E-3</v>
      </c>
      <c r="M758" s="139">
        <f t="shared" si="895"/>
        <v>0</v>
      </c>
      <c r="N758" s="139">
        <f t="shared" si="896"/>
        <v>0</v>
      </c>
      <c r="O758" s="139">
        <f t="shared" si="897"/>
        <v>3.6422222222222222</v>
      </c>
      <c r="P758" s="139">
        <f>IF($E758="S",$J758,0)</f>
        <v>0</v>
      </c>
      <c r="Q758" s="139">
        <f t="shared" si="898"/>
        <v>3.6422222222222222</v>
      </c>
      <c r="R758" s="156">
        <v>63</v>
      </c>
      <c r="T758" s="247"/>
      <c r="U758"/>
      <c r="V758" s="277"/>
    </row>
    <row r="759" spans="1:22" s="98" customFormat="1" x14ac:dyDescent="0.35">
      <c r="A759" s="27"/>
      <c r="B759" s="92">
        <v>12</v>
      </c>
      <c r="C759" s="19" t="s">
        <v>8</v>
      </c>
      <c r="D759" s="16" t="s">
        <v>26</v>
      </c>
      <c r="E759" s="27" t="str">
        <f>VLOOKUP(C759,Resources!B:D,3,FALSE)</f>
        <v>L</v>
      </c>
      <c r="F759" s="22">
        <v>3</v>
      </c>
      <c r="G759" s="22">
        <f>G757</f>
        <v>300</v>
      </c>
      <c r="H759" s="22">
        <f>H757</f>
        <v>19.866666666666667</v>
      </c>
      <c r="I759" s="22">
        <f>VLOOKUP(C759,Resources!B:G,6,FALSE)</f>
        <v>42</v>
      </c>
      <c r="J759" s="139">
        <f t="shared" si="893"/>
        <v>8.3439999999999994</v>
      </c>
      <c r="K759" s="139">
        <f t="shared" si="894"/>
        <v>0.19866666666666666</v>
      </c>
      <c r="L759" s="139">
        <f>IF(E759="M"," ",K759/F759/Workhrs)</f>
        <v>7.358024691358025E-3</v>
      </c>
      <c r="M759" s="139">
        <f t="shared" si="895"/>
        <v>8.3439999999999994</v>
      </c>
      <c r="N759" s="139">
        <f t="shared" si="896"/>
        <v>0</v>
      </c>
      <c r="O759" s="139">
        <f t="shared" si="897"/>
        <v>0</v>
      </c>
      <c r="P759" s="139">
        <f>IF($E759="S",$J759,0)</f>
        <v>0</v>
      </c>
      <c r="Q759" s="139">
        <f t="shared" si="898"/>
        <v>8.3439999999999994</v>
      </c>
      <c r="R759" s="156">
        <v>63</v>
      </c>
      <c r="T759" s="247"/>
      <c r="U759"/>
      <c r="V759" s="277"/>
    </row>
    <row r="760" spans="1:22" s="98" customFormat="1" x14ac:dyDescent="0.35">
      <c r="A760" s="27">
        <v>110.7</v>
      </c>
      <c r="B760" s="92"/>
      <c r="C760" s="19" t="s">
        <v>680</v>
      </c>
      <c r="D760" s="16" t="s">
        <v>110</v>
      </c>
      <c r="E760" s="27"/>
      <c r="F760" s="22"/>
      <c r="G760" s="22"/>
      <c r="H760" s="97">
        <f>VLOOKUP($A760,'Model Inputs'!$A:$D,4,FALSE)</f>
        <v>19.52</v>
      </c>
      <c r="I760" s="22"/>
      <c r="J760" s="139"/>
      <c r="K760" s="139"/>
      <c r="L760" s="139"/>
      <c r="M760" s="139"/>
      <c r="N760" s="139"/>
      <c r="O760" s="139"/>
      <c r="P760" s="139"/>
      <c r="Q760" s="139"/>
      <c r="R760" s="156"/>
      <c r="T760" s="247"/>
      <c r="U760"/>
      <c r="V760" s="277"/>
    </row>
    <row r="761" spans="1:22" s="98" customFormat="1" x14ac:dyDescent="0.35">
      <c r="A761" s="27"/>
      <c r="B761" s="92">
        <v>1</v>
      </c>
      <c r="C761" s="19" t="s">
        <v>219</v>
      </c>
      <c r="D761" s="16" t="s">
        <v>110</v>
      </c>
      <c r="E761" s="27" t="str">
        <f>VLOOKUP(C761,Resources!B:D,3,FALSE)</f>
        <v>S</v>
      </c>
      <c r="F761" s="22">
        <v>1</v>
      </c>
      <c r="G761" s="22">
        <v>1</v>
      </c>
      <c r="H761" s="22">
        <f>H760*1.05</f>
        <v>20.495999999999999</v>
      </c>
      <c r="I761" s="22">
        <f>VLOOKUP(C761,Resources!B:G,6,FALSE)</f>
        <v>4</v>
      </c>
      <c r="J761" s="139">
        <f t="shared" ref="J761" si="899">(H761/(G761/F761))*I761</f>
        <v>81.983999999999995</v>
      </c>
      <c r="K761" s="139">
        <f t="shared" ref="K761" si="900">IF(E761="M",H761,(H761/(G761)*F761))</f>
        <v>20.495999999999999</v>
      </c>
      <c r="L761" s="139">
        <f>IF(E761="M"," ",H761/2000)</f>
        <v>1.0248E-2</v>
      </c>
      <c r="M761" s="139">
        <f t="shared" ref="M761" si="901">IF($E761="L",$J761,0)</f>
        <v>0</v>
      </c>
      <c r="N761" s="139">
        <f t="shared" ref="N761" si="902">IF($E761="M",$J761,0)</f>
        <v>0</v>
      </c>
      <c r="O761" s="139">
        <f>IF($E761="P",$J761,0)</f>
        <v>0</v>
      </c>
      <c r="P761" s="139">
        <f>IF($E761="S",$J761,0)</f>
        <v>81.983999999999995</v>
      </c>
      <c r="Q761" s="139">
        <f>SUM(M761:P761)</f>
        <v>81.983999999999995</v>
      </c>
      <c r="R761" s="156">
        <v>64</v>
      </c>
      <c r="T761" s="247"/>
      <c r="U761"/>
      <c r="V761" s="277"/>
    </row>
    <row r="762" spans="1:22" s="98" customFormat="1" x14ac:dyDescent="0.35">
      <c r="A762" s="27"/>
      <c r="B762" s="92"/>
      <c r="C762" s="19" t="s">
        <v>681</v>
      </c>
      <c r="D762" s="16"/>
      <c r="E762" s="27"/>
      <c r="F762" s="22"/>
      <c r="G762" s="22"/>
      <c r="H762" s="22">
        <f>H760</f>
        <v>19.52</v>
      </c>
      <c r="I762" s="22"/>
      <c r="J762" s="139"/>
      <c r="K762" s="139"/>
      <c r="L762" s="139"/>
      <c r="M762" s="139"/>
      <c r="N762" s="139"/>
      <c r="O762" s="139"/>
      <c r="P762" s="139"/>
      <c r="Q762" s="139"/>
      <c r="R762" s="156"/>
      <c r="T762" s="247"/>
      <c r="U762"/>
      <c r="V762" s="277"/>
    </row>
    <row r="763" spans="1:22" s="98" customFormat="1" x14ac:dyDescent="0.35">
      <c r="A763" s="27"/>
      <c r="B763" s="92">
        <v>1</v>
      </c>
      <c r="C763" s="19" t="s">
        <v>222</v>
      </c>
      <c r="D763" s="16" t="s">
        <v>110</v>
      </c>
      <c r="E763" s="27" t="str">
        <f>VLOOKUP(C763,Resources!B:D,3,FALSE)</f>
        <v>S</v>
      </c>
      <c r="F763" s="22">
        <v>1</v>
      </c>
      <c r="G763" s="22">
        <v>1</v>
      </c>
      <c r="H763" s="22">
        <f>H762*1.05</f>
        <v>20.495999999999999</v>
      </c>
      <c r="I763" s="22">
        <f>VLOOKUP(C763,Resources!B:G,6,FALSE)</f>
        <v>7.98</v>
      </c>
      <c r="J763" s="139">
        <f t="shared" ref="J763" si="903">(H763/(G763/F763))*I763</f>
        <v>163.55807999999999</v>
      </c>
      <c r="K763" s="139">
        <f t="shared" ref="K763" si="904">IF(E763="M",H763,(H763/(G763)*F763))</f>
        <v>20.495999999999999</v>
      </c>
      <c r="L763" s="139">
        <f>IF(E763="M"," ",H763/2000)</f>
        <v>1.0248E-2</v>
      </c>
      <c r="M763" s="139">
        <f t="shared" ref="M763" si="905">IF($E763="L",$J763,0)</f>
        <v>0</v>
      </c>
      <c r="N763" s="139">
        <f t="shared" ref="N763" si="906">IF($E763="M",$J763,0)</f>
        <v>0</v>
      </c>
      <c r="O763" s="139">
        <f>IF($E763="P",$J763,0)</f>
        <v>0</v>
      </c>
      <c r="P763" s="139">
        <f>IF($E763="S",$J763,0)</f>
        <v>163.55807999999999</v>
      </c>
      <c r="Q763" s="139">
        <f>SUM(M763:P763)</f>
        <v>163.55807999999999</v>
      </c>
      <c r="R763" s="156">
        <v>64</v>
      </c>
      <c r="T763" s="247"/>
      <c r="U763"/>
      <c r="V763" s="278"/>
    </row>
    <row r="764" spans="1:22" s="146" customFormat="1" x14ac:dyDescent="0.35">
      <c r="A764" s="135"/>
      <c r="B764" s="142"/>
      <c r="C764" s="143"/>
      <c r="D764" s="144"/>
      <c r="E764" s="135"/>
      <c r="F764" s="132"/>
      <c r="G764" s="132"/>
      <c r="H764" s="132"/>
      <c r="I764" s="132"/>
      <c r="J764" s="145"/>
      <c r="K764" s="145"/>
      <c r="L764" s="145"/>
      <c r="M764" s="145"/>
      <c r="N764" s="145"/>
      <c r="O764" s="145"/>
      <c r="P764" s="145"/>
      <c r="Q764" s="145"/>
      <c r="R764" s="158"/>
      <c r="T764" s="247"/>
      <c r="U764"/>
      <c r="V764" s="277"/>
    </row>
    <row r="765" spans="1:22" s="11" customFormat="1" x14ac:dyDescent="0.35">
      <c r="A765" s="26">
        <v>112</v>
      </c>
      <c r="B765" s="94" t="s">
        <v>265</v>
      </c>
      <c r="C765" s="14" t="s">
        <v>266</v>
      </c>
      <c r="D765" s="24" t="s">
        <v>682</v>
      </c>
      <c r="E765" s="21"/>
      <c r="F765" s="21"/>
      <c r="G765" s="21"/>
      <c r="H765" s="97">
        <f>VLOOKUP($A765,'Model Inputs'!$A:$D,4,FALSE)</f>
        <v>9380</v>
      </c>
      <c r="I765" s="21"/>
      <c r="J765" s="138">
        <f>SUBTOTAL(9,J766)</f>
        <v>10735.410000000002</v>
      </c>
      <c r="K765" s="138"/>
      <c r="L765" s="138"/>
      <c r="M765" s="138">
        <f t="shared" ref="M765:Q765" si="907">SUBTOTAL(9,M766)</f>
        <v>0</v>
      </c>
      <c r="N765" s="138">
        <f t="shared" si="907"/>
        <v>0</v>
      </c>
      <c r="O765" s="138">
        <f t="shared" si="907"/>
        <v>0</v>
      </c>
      <c r="P765" s="138">
        <f t="shared" si="907"/>
        <v>10735.410000000002</v>
      </c>
      <c r="Q765" s="138">
        <f t="shared" si="907"/>
        <v>10735.410000000002</v>
      </c>
      <c r="R765" s="155"/>
      <c r="T765" s="247"/>
      <c r="U765"/>
      <c r="V765" s="277"/>
    </row>
    <row r="766" spans="1:22" s="98" customFormat="1" x14ac:dyDescent="0.35">
      <c r="A766" s="27"/>
      <c r="B766" s="92">
        <v>1</v>
      </c>
      <c r="C766" s="19" t="s">
        <v>266</v>
      </c>
      <c r="D766" s="16" t="s">
        <v>110</v>
      </c>
      <c r="E766" s="27" t="str">
        <f>VLOOKUP(C766,Resources!B:D,3,FALSE)</f>
        <v>S</v>
      </c>
      <c r="F766" s="22">
        <v>1</v>
      </c>
      <c r="G766" s="22">
        <v>1</v>
      </c>
      <c r="H766" s="22">
        <f>H765*1.05</f>
        <v>9849</v>
      </c>
      <c r="I766" s="22">
        <f>VLOOKUP(C766,Resources!B:G,6,FALSE)</f>
        <v>1.0900000000000001</v>
      </c>
      <c r="J766" s="139">
        <f t="shared" ref="J766" si="908">(H766/(G766/F766))*I766</f>
        <v>10735.410000000002</v>
      </c>
      <c r="K766" s="139">
        <f t="shared" ref="K766" si="909">IF(E766="M",H766,(H766/(G766)*F766))</f>
        <v>9849</v>
      </c>
      <c r="L766" s="139"/>
      <c r="M766" s="139">
        <f t="shared" ref="M766" si="910">IF($E766="L",$J766,0)</f>
        <v>0</v>
      </c>
      <c r="N766" s="139">
        <f t="shared" ref="N766" si="911">IF($E766="M",$J766,0)</f>
        <v>0</v>
      </c>
      <c r="O766" s="139">
        <f>IF($E766="P",$J766,0)</f>
        <v>0</v>
      </c>
      <c r="P766" s="139">
        <f>IF($E766="S",$J766,0)</f>
        <v>10735.410000000002</v>
      </c>
      <c r="Q766" s="139">
        <f>SUM(M766:P766)</f>
        <v>10735.410000000002</v>
      </c>
      <c r="R766" s="156">
        <v>64</v>
      </c>
      <c r="T766" s="247"/>
      <c r="U766"/>
      <c r="V766" s="277"/>
    </row>
    <row r="767" spans="1:22" s="98" customFormat="1" x14ac:dyDescent="0.35">
      <c r="A767" s="28"/>
      <c r="B767" s="95"/>
      <c r="C767" s="20" t="s">
        <v>402</v>
      </c>
      <c r="D767" s="17"/>
      <c r="E767" s="28"/>
      <c r="F767" s="23"/>
      <c r="G767" s="23"/>
      <c r="H767" s="23"/>
      <c r="I767" s="23"/>
      <c r="J767" s="140"/>
      <c r="K767" s="140"/>
      <c r="L767" s="140"/>
      <c r="M767" s="140"/>
      <c r="N767" s="140"/>
      <c r="O767" s="140"/>
      <c r="P767" s="140"/>
      <c r="Q767" s="140"/>
      <c r="R767" s="157"/>
      <c r="T767" s="247"/>
      <c r="U767"/>
      <c r="V767" s="277"/>
    </row>
    <row r="768" spans="1:22" s="11" customFormat="1" x14ac:dyDescent="0.35">
      <c r="A768" s="26">
        <v>113</v>
      </c>
      <c r="B768" s="94" t="s">
        <v>267</v>
      </c>
      <c r="C768" s="14" t="s">
        <v>268</v>
      </c>
      <c r="D768" s="24" t="s">
        <v>683</v>
      </c>
      <c r="E768" s="21"/>
      <c r="F768" s="21"/>
      <c r="G768" s="21"/>
      <c r="H768" s="97">
        <f>VLOOKUP($A768,'Model Inputs'!$A:$D,4,FALSE)</f>
        <v>251</v>
      </c>
      <c r="I768" s="15">
        <v>2254.46</v>
      </c>
      <c r="J768" s="138">
        <f>SUBTOTAL(9,J769:J771)</f>
        <v>2072.8397839783979</v>
      </c>
      <c r="K768" s="138"/>
      <c r="L768" s="138">
        <f>ROUNDUP(MAX(L769:L771),0)</f>
        <v>1</v>
      </c>
      <c r="M768" s="138">
        <f t="shared" ref="M768:Q768" si="912">SUBTOTAL(9,M769:M771)</f>
        <v>237.21872187218722</v>
      </c>
      <c r="N768" s="138">
        <f t="shared" si="912"/>
        <v>0</v>
      </c>
      <c r="O768" s="138">
        <f t="shared" si="912"/>
        <v>1835.6210621062107</v>
      </c>
      <c r="P768" s="138">
        <f t="shared" si="912"/>
        <v>0</v>
      </c>
      <c r="Q768" s="138">
        <f t="shared" si="912"/>
        <v>2072.8397839783979</v>
      </c>
      <c r="R768" s="155"/>
      <c r="T768" s="247"/>
      <c r="U768"/>
      <c r="V768" s="277"/>
    </row>
    <row r="769" spans="1:22" s="98" customFormat="1" x14ac:dyDescent="0.35">
      <c r="A769" s="27">
        <v>113.1</v>
      </c>
      <c r="B769" s="92">
        <v>1</v>
      </c>
      <c r="C769" s="19" t="s">
        <v>50</v>
      </c>
      <c r="D769" s="16" t="s">
        <v>26</v>
      </c>
      <c r="E769" s="27" t="str">
        <f>VLOOKUP(C769,Resources!B:D,3,FALSE)</f>
        <v>P</v>
      </c>
      <c r="F769" s="22">
        <v>1</v>
      </c>
      <c r="G769" s="97">
        <f>VLOOKUP($A769,'Model Inputs'!$A:$D,4,FALSE)</f>
        <v>44.44</v>
      </c>
      <c r="H769" s="22">
        <f>H768</f>
        <v>251</v>
      </c>
      <c r="I769" s="22">
        <f>VLOOKUP(C769,Resources!B:G,6,FALSE)</f>
        <v>135</v>
      </c>
      <c r="J769" s="139">
        <f t="shared" ref="J769:J771" si="913">(H769/(G769/F769))*I769</f>
        <v>762.48874887488751</v>
      </c>
      <c r="K769" s="139">
        <f t="shared" ref="K769:K771" si="914">IF(E769="M",H769,(H769/(G769)*F769))</f>
        <v>5.6480648064806482</v>
      </c>
      <c r="L769" s="139">
        <f>IF(E769="M"," ",K769/F769/Workhrs)</f>
        <v>0.62756275627562763</v>
      </c>
      <c r="M769" s="139">
        <f t="shared" ref="M769:M771" si="915">IF($E769="L",$J769,0)</f>
        <v>0</v>
      </c>
      <c r="N769" s="139">
        <f t="shared" ref="N769:N771" si="916">IF($E769="M",$J769,0)</f>
        <v>0</v>
      </c>
      <c r="O769" s="139">
        <f t="shared" ref="O769:O771" si="917">IF($E769="P",$J769,0)</f>
        <v>762.48874887488751</v>
      </c>
      <c r="P769" s="139">
        <f>IF($E769="S",$J769,0)</f>
        <v>0</v>
      </c>
      <c r="Q769" s="139">
        <f t="shared" ref="Q769:Q771" si="918">SUM(M769:P769)</f>
        <v>762.48874887488751</v>
      </c>
      <c r="R769" s="156">
        <v>53</v>
      </c>
      <c r="T769" s="247"/>
      <c r="U769"/>
      <c r="V769" s="277"/>
    </row>
    <row r="770" spans="1:22" s="98" customFormat="1" x14ac:dyDescent="0.35">
      <c r="A770" s="27"/>
      <c r="B770" s="92">
        <v>2</v>
      </c>
      <c r="C770" s="19" t="s">
        <v>51</v>
      </c>
      <c r="D770" s="16" t="s">
        <v>26</v>
      </c>
      <c r="E770" s="27" t="str">
        <f>VLOOKUP(C770,Resources!B:D,3,FALSE)</f>
        <v>P</v>
      </c>
      <c r="F770" s="22">
        <v>2</v>
      </c>
      <c r="G770" s="22">
        <f>G769</f>
        <v>44.44</v>
      </c>
      <c r="H770" s="22">
        <f>H768</f>
        <v>251</v>
      </c>
      <c r="I770" s="22">
        <f>VLOOKUP(C770,Resources!B:G,6,FALSE)</f>
        <v>95</v>
      </c>
      <c r="J770" s="139">
        <f t="shared" si="913"/>
        <v>1073.1323132313232</v>
      </c>
      <c r="K770" s="139">
        <f t="shared" si="914"/>
        <v>11.296129612961296</v>
      </c>
      <c r="L770" s="139">
        <f>IF(E770="M"," ",K770/F770/Workhrs)</f>
        <v>0.62756275627562763</v>
      </c>
      <c r="M770" s="139">
        <f t="shared" si="915"/>
        <v>0</v>
      </c>
      <c r="N770" s="139">
        <f t="shared" si="916"/>
        <v>0</v>
      </c>
      <c r="O770" s="139">
        <f t="shared" si="917"/>
        <v>1073.1323132313232</v>
      </c>
      <c r="P770" s="139">
        <f>IF($E770="S",$J770,0)</f>
        <v>0</v>
      </c>
      <c r="Q770" s="139">
        <f t="shared" si="918"/>
        <v>1073.1323132313232</v>
      </c>
      <c r="R770" s="156">
        <v>53</v>
      </c>
      <c r="T770" s="247"/>
      <c r="U770"/>
      <c r="V770" s="277"/>
    </row>
    <row r="771" spans="1:22" s="98" customFormat="1" x14ac:dyDescent="0.35">
      <c r="A771" s="27"/>
      <c r="B771" s="92">
        <v>3</v>
      </c>
      <c r="C771" s="19" t="s">
        <v>8</v>
      </c>
      <c r="D771" s="16" t="s">
        <v>26</v>
      </c>
      <c r="E771" s="27" t="str">
        <f>VLOOKUP(C771,Resources!B:D,3,FALSE)</f>
        <v>L</v>
      </c>
      <c r="F771" s="22">
        <v>1</v>
      </c>
      <c r="G771" s="22">
        <f>G769</f>
        <v>44.44</v>
      </c>
      <c r="H771" s="22">
        <f>H768</f>
        <v>251</v>
      </c>
      <c r="I771" s="22">
        <f>VLOOKUP(C771,Resources!B:G,6,FALSE)</f>
        <v>42</v>
      </c>
      <c r="J771" s="139">
        <f t="shared" si="913"/>
        <v>237.21872187218722</v>
      </c>
      <c r="K771" s="139">
        <f t="shared" si="914"/>
        <v>5.6480648064806482</v>
      </c>
      <c r="L771" s="139">
        <f>IF(E771="M"," ",K771/F771/Workhrs)</f>
        <v>0.62756275627562763</v>
      </c>
      <c r="M771" s="139">
        <f t="shared" si="915"/>
        <v>237.21872187218722</v>
      </c>
      <c r="N771" s="139">
        <f t="shared" si="916"/>
        <v>0</v>
      </c>
      <c r="O771" s="139">
        <f t="shared" si="917"/>
        <v>0</v>
      </c>
      <c r="P771" s="139">
        <f>IF($E771="S",$J771,0)</f>
        <v>0</v>
      </c>
      <c r="Q771" s="139">
        <f t="shared" si="918"/>
        <v>237.21872187218722</v>
      </c>
      <c r="R771" s="156">
        <v>53</v>
      </c>
      <c r="T771" s="247"/>
      <c r="U771"/>
      <c r="V771" s="277"/>
    </row>
    <row r="772" spans="1:22" s="98" customFormat="1" x14ac:dyDescent="0.35">
      <c r="A772" s="28"/>
      <c r="B772" s="95"/>
      <c r="C772" s="20" t="s">
        <v>402</v>
      </c>
      <c r="D772" s="17"/>
      <c r="E772" s="28"/>
      <c r="F772" s="23"/>
      <c r="G772" s="23"/>
      <c r="H772" s="23"/>
      <c r="I772" s="23"/>
      <c r="J772" s="140"/>
      <c r="K772" s="140"/>
      <c r="L772" s="140"/>
      <c r="M772" s="140"/>
      <c r="N772" s="140"/>
      <c r="O772" s="140"/>
      <c r="P772" s="140"/>
      <c r="Q772" s="140"/>
      <c r="R772" s="157"/>
      <c r="T772" s="247"/>
      <c r="U772"/>
      <c r="V772" s="277"/>
    </row>
    <row r="773" spans="1:22" s="11" customFormat="1" x14ac:dyDescent="0.35">
      <c r="A773" s="26">
        <v>114</v>
      </c>
      <c r="B773" s="94" t="s">
        <v>269</v>
      </c>
      <c r="C773" s="14" t="s">
        <v>270</v>
      </c>
      <c r="D773" s="24" t="s">
        <v>23</v>
      </c>
      <c r="E773" s="29"/>
      <c r="F773" s="21"/>
      <c r="G773" s="21"/>
      <c r="H773" s="24">
        <v>1</v>
      </c>
      <c r="I773" s="15"/>
      <c r="J773" s="138">
        <f>SUBTOTAL(9,J775:J815)</f>
        <v>-36828.596141177375</v>
      </c>
      <c r="K773" s="138"/>
      <c r="L773" s="138">
        <v>0</v>
      </c>
      <c r="M773" s="138">
        <f t="shared" ref="M773:Q773" si="919">SUBTOTAL(9,M775:M815)</f>
        <v>-5878.4408190381946</v>
      </c>
      <c r="N773" s="138">
        <f t="shared" si="919"/>
        <v>154.22399999999999</v>
      </c>
      <c r="O773" s="138">
        <f t="shared" si="919"/>
        <v>-31104.379322139186</v>
      </c>
      <c r="P773" s="138">
        <f t="shared" si="919"/>
        <v>0</v>
      </c>
      <c r="Q773" s="138">
        <f t="shared" si="919"/>
        <v>-36828.596141177375</v>
      </c>
      <c r="R773" s="155"/>
      <c r="T773" s="247"/>
      <c r="U773"/>
      <c r="V773" s="277"/>
    </row>
    <row r="774" spans="1:22" s="98" customFormat="1" x14ac:dyDescent="0.35">
      <c r="A774" s="27">
        <v>114.1</v>
      </c>
      <c r="B774" s="92">
        <v>1</v>
      </c>
      <c r="C774" s="141" t="s">
        <v>59</v>
      </c>
      <c r="D774" s="16" t="s">
        <v>690</v>
      </c>
      <c r="E774" s="27"/>
      <c r="F774" s="22"/>
      <c r="G774" s="22"/>
      <c r="H774" s="97">
        <f>VLOOKUP($A774,'Model Inputs'!$A:$D,4,FALSE)</f>
        <v>-524</v>
      </c>
      <c r="I774" s="22"/>
      <c r="J774" s="139"/>
      <c r="K774" s="139"/>
      <c r="L774" s="139"/>
      <c r="M774" s="139"/>
      <c r="N774" s="139"/>
      <c r="O774" s="139"/>
      <c r="P774" s="139"/>
      <c r="Q774" s="139"/>
      <c r="R774" s="156"/>
      <c r="T774" s="247"/>
      <c r="U774"/>
      <c r="V774" s="277"/>
    </row>
    <row r="775" spans="1:22" s="98" customFormat="1" x14ac:dyDescent="0.35">
      <c r="A775" s="27">
        <v>114.2</v>
      </c>
      <c r="B775" s="92">
        <v>2</v>
      </c>
      <c r="C775" s="19" t="s">
        <v>50</v>
      </c>
      <c r="D775" s="16" t="s">
        <v>26</v>
      </c>
      <c r="E775" s="27" t="str">
        <f>VLOOKUP(C775,Resources!B:D,3,FALSE)</f>
        <v>P</v>
      </c>
      <c r="F775" s="22">
        <v>1</v>
      </c>
      <c r="G775" s="97">
        <f>VLOOKUP($A775,'Model Inputs'!$A:$D,4,FALSE)</f>
        <v>43.54</v>
      </c>
      <c r="H775" s="22">
        <f>H774</f>
        <v>-524</v>
      </c>
      <c r="I775" s="22">
        <f>VLOOKUP(C775,Resources!B:G,6,FALSE)</f>
        <v>135</v>
      </c>
      <c r="J775" s="139">
        <f t="shared" ref="J775:J778" si="920">(H775/(G775/F775))*I775</f>
        <v>-1624.7129076711071</v>
      </c>
      <c r="K775" s="139">
        <f t="shared" ref="K775:K778" si="921">IF(E775="M",H775,(H775/(G775)*F775))</f>
        <v>-12.034910427193386</v>
      </c>
      <c r="L775" s="139">
        <f>IF(E775="M"," ",K775/F775/Workhrs)</f>
        <v>-1.3372122696881541</v>
      </c>
      <c r="M775" s="139">
        <f t="shared" ref="M775:M778" si="922">IF($E775="L",$J775,0)</f>
        <v>0</v>
      </c>
      <c r="N775" s="139">
        <f t="shared" ref="N775:N778" si="923">IF($E775="M",$J775,0)</f>
        <v>0</v>
      </c>
      <c r="O775" s="139">
        <f t="shared" ref="O775:O778" si="924">IF($E775="P",$J775,0)</f>
        <v>-1624.7129076711071</v>
      </c>
      <c r="P775" s="139">
        <f>IF($E775="S",$J775,0)</f>
        <v>0</v>
      </c>
      <c r="Q775" s="139">
        <f t="shared" ref="Q775:Q778" si="925">SUM(M775:P775)</f>
        <v>-1624.7129076711071</v>
      </c>
      <c r="R775" s="156">
        <v>53</v>
      </c>
      <c r="T775" s="247"/>
      <c r="U775"/>
      <c r="V775" s="277"/>
    </row>
    <row r="776" spans="1:22" s="98" customFormat="1" x14ac:dyDescent="0.35">
      <c r="A776" s="27"/>
      <c r="B776" s="92">
        <v>3</v>
      </c>
      <c r="C776" s="19" t="s">
        <v>51</v>
      </c>
      <c r="D776" s="16" t="s">
        <v>26</v>
      </c>
      <c r="E776" s="27" t="str">
        <f>VLOOKUP(C776,Resources!B:D,3,FALSE)</f>
        <v>P</v>
      </c>
      <c r="F776" s="22">
        <v>3</v>
      </c>
      <c r="G776" s="22">
        <f>G775</f>
        <v>43.54</v>
      </c>
      <c r="H776" s="22">
        <f>H774</f>
        <v>-524</v>
      </c>
      <c r="I776" s="22">
        <f>VLOOKUP(C776,Resources!B:G,6,FALSE)</f>
        <v>95</v>
      </c>
      <c r="J776" s="139">
        <f t="shared" si="920"/>
        <v>-3429.9494717501148</v>
      </c>
      <c r="K776" s="139">
        <f t="shared" si="921"/>
        <v>-36.104731281580158</v>
      </c>
      <c r="L776" s="139">
        <f>IF(E776="M"," ",K776/F776/Workhrs)</f>
        <v>-1.3372122696881541</v>
      </c>
      <c r="M776" s="139">
        <f t="shared" si="922"/>
        <v>0</v>
      </c>
      <c r="N776" s="139">
        <f t="shared" si="923"/>
        <v>0</v>
      </c>
      <c r="O776" s="139">
        <f t="shared" si="924"/>
        <v>-3429.9494717501148</v>
      </c>
      <c r="P776" s="139">
        <f>IF($E776="S",$J776,0)</f>
        <v>0</v>
      </c>
      <c r="Q776" s="139">
        <f t="shared" si="925"/>
        <v>-3429.9494717501148</v>
      </c>
      <c r="R776" s="156">
        <v>53</v>
      </c>
      <c r="T776" s="247"/>
      <c r="U776"/>
      <c r="V776" s="277"/>
    </row>
    <row r="777" spans="1:22" s="98" customFormat="1" x14ac:dyDescent="0.35">
      <c r="A777" s="27"/>
      <c r="B777" s="92">
        <v>4</v>
      </c>
      <c r="C777" s="19" t="s">
        <v>8</v>
      </c>
      <c r="D777" s="16" t="s">
        <v>26</v>
      </c>
      <c r="E777" s="27" t="str">
        <f>VLOOKUP(C777,Resources!B:D,3,FALSE)</f>
        <v>L</v>
      </c>
      <c r="F777" s="22">
        <v>2</v>
      </c>
      <c r="G777" s="22">
        <f>G775</f>
        <v>43.54</v>
      </c>
      <c r="H777" s="22">
        <f>H774</f>
        <v>-524</v>
      </c>
      <c r="I777" s="22">
        <f>VLOOKUP(C777,Resources!B:G,6,FALSE)</f>
        <v>42</v>
      </c>
      <c r="J777" s="139">
        <f t="shared" si="920"/>
        <v>-1010.9324758842445</v>
      </c>
      <c r="K777" s="139">
        <f t="shared" si="921"/>
        <v>-24.069820854386773</v>
      </c>
      <c r="L777" s="139">
        <f>IF(E777="M"," ",K777/F777/Workhrs)</f>
        <v>-1.3372122696881541</v>
      </c>
      <c r="M777" s="139">
        <f t="shared" si="922"/>
        <v>-1010.9324758842445</v>
      </c>
      <c r="N777" s="139">
        <f t="shared" si="923"/>
        <v>0</v>
      </c>
      <c r="O777" s="139">
        <f t="shared" si="924"/>
        <v>0</v>
      </c>
      <c r="P777" s="139">
        <f>IF($E777="S",$J777,0)</f>
        <v>0</v>
      </c>
      <c r="Q777" s="139">
        <f t="shared" si="925"/>
        <v>-1010.9324758842445</v>
      </c>
      <c r="R777" s="156">
        <v>53</v>
      </c>
      <c r="T777" s="247"/>
      <c r="U777"/>
      <c r="V777" s="277"/>
    </row>
    <row r="778" spans="1:22" s="98" customFormat="1" x14ac:dyDescent="0.35">
      <c r="A778" s="27"/>
      <c r="B778" s="92">
        <v>5</v>
      </c>
      <c r="C778" s="19" t="s">
        <v>52</v>
      </c>
      <c r="D778" s="16" t="s">
        <v>26</v>
      </c>
      <c r="E778" s="27" t="str">
        <f>VLOOKUP(C778,Resources!B:D,3,FALSE)</f>
        <v>P</v>
      </c>
      <c r="F778" s="22">
        <v>1</v>
      </c>
      <c r="G778" s="22">
        <f>G775</f>
        <v>43.54</v>
      </c>
      <c r="H778" s="22">
        <f>H774</f>
        <v>-524</v>
      </c>
      <c r="I778" s="22">
        <f>VLOOKUP(C778,Resources!B:G,6,FALSE)</f>
        <v>100</v>
      </c>
      <c r="J778" s="139">
        <f t="shared" si="920"/>
        <v>-1203.4910427193386</v>
      </c>
      <c r="K778" s="139">
        <f t="shared" si="921"/>
        <v>-12.034910427193386</v>
      </c>
      <c r="L778" s="139">
        <f>IF(E778="M"," ",K778/F778/Workhrs)</f>
        <v>-1.3372122696881541</v>
      </c>
      <c r="M778" s="139">
        <f t="shared" si="922"/>
        <v>0</v>
      </c>
      <c r="N778" s="139">
        <f t="shared" si="923"/>
        <v>0</v>
      </c>
      <c r="O778" s="139">
        <f t="shared" si="924"/>
        <v>-1203.4910427193386</v>
      </c>
      <c r="P778" s="139">
        <f>IF($E778="S",$J778,0)</f>
        <v>0</v>
      </c>
      <c r="Q778" s="139">
        <f t="shared" si="925"/>
        <v>-1203.4910427193386</v>
      </c>
      <c r="R778" s="156">
        <v>53</v>
      </c>
      <c r="T778" s="247"/>
      <c r="U778"/>
      <c r="V778" s="277"/>
    </row>
    <row r="779" spans="1:22" s="98" customFormat="1" x14ac:dyDescent="0.35">
      <c r="A779" s="27">
        <v>114.3</v>
      </c>
      <c r="B779" s="92">
        <v>6</v>
      </c>
      <c r="C779" s="141" t="s">
        <v>684</v>
      </c>
      <c r="D779" s="16" t="s">
        <v>690</v>
      </c>
      <c r="E779" s="27"/>
      <c r="F779" s="22"/>
      <c r="G779" s="22"/>
      <c r="H779" s="97">
        <f>VLOOKUP($A779,'Model Inputs'!$A:$D,4,FALSE)</f>
        <v>-332</v>
      </c>
      <c r="I779" s="22"/>
      <c r="J779" s="139"/>
      <c r="K779" s="139"/>
      <c r="L779" s="139"/>
      <c r="M779" s="139"/>
      <c r="N779" s="139"/>
      <c r="O779" s="139"/>
      <c r="P779" s="139"/>
      <c r="Q779" s="139"/>
      <c r="R779" s="156"/>
      <c r="T779" s="247"/>
      <c r="U779"/>
      <c r="V779" s="277"/>
    </row>
    <row r="780" spans="1:22" s="98" customFormat="1" x14ac:dyDescent="0.35">
      <c r="A780" s="27"/>
      <c r="B780" s="92">
        <v>7</v>
      </c>
      <c r="C780" s="19" t="s">
        <v>666</v>
      </c>
      <c r="D780" s="16" t="s">
        <v>54</v>
      </c>
      <c r="E780" s="27"/>
      <c r="F780" s="22"/>
      <c r="G780" s="22"/>
      <c r="H780" s="22">
        <f>H779*GCF</f>
        <v>-796.80000000000007</v>
      </c>
      <c r="I780" s="22"/>
      <c r="J780" s="139"/>
      <c r="K780" s="139"/>
      <c r="L780" s="139"/>
      <c r="M780" s="139"/>
      <c r="N780" s="139"/>
      <c r="O780" s="139"/>
      <c r="P780" s="139"/>
      <c r="Q780" s="139"/>
      <c r="R780" s="156"/>
      <c r="T780" s="247"/>
      <c r="U780"/>
      <c r="V780" s="277"/>
    </row>
    <row r="781" spans="1:22" s="98" customFormat="1" x14ac:dyDescent="0.35">
      <c r="A781" s="27">
        <v>114.4</v>
      </c>
      <c r="B781" s="92">
        <v>8</v>
      </c>
      <c r="C781" s="19" t="s">
        <v>63</v>
      </c>
      <c r="D781" s="16" t="s">
        <v>26</v>
      </c>
      <c r="E781" s="27" t="str">
        <f>VLOOKUP(C781,Resources!B:D,3,FALSE)</f>
        <v>P</v>
      </c>
      <c r="F781" s="22">
        <v>1</v>
      </c>
      <c r="G781" s="97">
        <f>VLOOKUP($A781,'Model Inputs'!$A:$D,4,FALSE)</f>
        <v>44.44</v>
      </c>
      <c r="H781" s="22">
        <f>H780</f>
        <v>-796.80000000000007</v>
      </c>
      <c r="I781" s="22">
        <f>VLOOKUP(C781,Resources!B:G,6,FALSE)</f>
        <v>135</v>
      </c>
      <c r="J781" s="139">
        <f t="shared" ref="J781:J785" si="926">(H781/(G781/F781))*I781</f>
        <v>-2420.5220522052209</v>
      </c>
      <c r="K781" s="139">
        <f t="shared" ref="K781:K785" si="927">IF(E781="M",H781,(H781/(G781)*F781))</f>
        <v>-17.929792979297932</v>
      </c>
      <c r="L781" s="139">
        <f>IF(E781="M"," ",K781/F781/Workhrs)</f>
        <v>-1.9921992199219924</v>
      </c>
      <c r="M781" s="139">
        <f t="shared" ref="M781:M785" si="928">IF($E781="L",$J781,0)</f>
        <v>0</v>
      </c>
      <c r="N781" s="139">
        <f t="shared" ref="N781:N785" si="929">IF($E781="M",$J781,0)</f>
        <v>0</v>
      </c>
      <c r="O781" s="139">
        <f t="shared" ref="O781:O785" si="930">IF($E781="P",$J781,0)</f>
        <v>-2420.5220522052209</v>
      </c>
      <c r="P781" s="139">
        <f>IF($E781="S",$J781,0)</f>
        <v>0</v>
      </c>
      <c r="Q781" s="139">
        <f t="shared" ref="Q781:Q785" si="931">SUM(M781:P781)</f>
        <v>-2420.5220522052209</v>
      </c>
      <c r="R781" s="156">
        <v>62</v>
      </c>
      <c r="T781" s="247"/>
      <c r="U781"/>
      <c r="V781" s="277"/>
    </row>
    <row r="782" spans="1:22" s="98" customFormat="1" x14ac:dyDescent="0.35">
      <c r="A782" s="27"/>
      <c r="B782" s="92">
        <v>9</v>
      </c>
      <c r="C782" s="19" t="s">
        <v>64</v>
      </c>
      <c r="D782" s="16" t="s">
        <v>26</v>
      </c>
      <c r="E782" s="27" t="str">
        <f>VLOOKUP(C782,Resources!B:D,3,FALSE)</f>
        <v>P</v>
      </c>
      <c r="F782" s="22">
        <v>3</v>
      </c>
      <c r="G782" s="22">
        <f>G781</f>
        <v>44.44</v>
      </c>
      <c r="H782" s="22">
        <f>H780</f>
        <v>-796.80000000000007</v>
      </c>
      <c r="I782" s="22">
        <f>VLOOKUP(C782,Resources!B:G,6,FALSE)</f>
        <v>145</v>
      </c>
      <c r="J782" s="139">
        <f t="shared" si="926"/>
        <v>-7799.4599459946003</v>
      </c>
      <c r="K782" s="139">
        <f t="shared" si="927"/>
        <v>-53.789378937893801</v>
      </c>
      <c r="L782" s="139">
        <f>IF(E782="M"," ",K782/F782/Workhrs)</f>
        <v>-1.9921992199219924</v>
      </c>
      <c r="M782" s="139">
        <f t="shared" si="928"/>
        <v>0</v>
      </c>
      <c r="N782" s="139">
        <f t="shared" si="929"/>
        <v>0</v>
      </c>
      <c r="O782" s="139">
        <f t="shared" si="930"/>
        <v>-7799.4599459946003</v>
      </c>
      <c r="P782" s="139">
        <f>IF($E782="S",$J782,0)</f>
        <v>0</v>
      </c>
      <c r="Q782" s="139">
        <f t="shared" si="931"/>
        <v>-7799.4599459946003</v>
      </c>
      <c r="R782" s="156">
        <v>62</v>
      </c>
      <c r="T782" s="247"/>
      <c r="U782"/>
      <c r="V782" s="277"/>
    </row>
    <row r="783" spans="1:22" s="98" customFormat="1" x14ac:dyDescent="0.35">
      <c r="A783" s="27"/>
      <c r="B783" s="92">
        <v>10</v>
      </c>
      <c r="C783" s="19" t="s">
        <v>52</v>
      </c>
      <c r="D783" s="16" t="s">
        <v>26</v>
      </c>
      <c r="E783" s="27" t="str">
        <f>VLOOKUP(C783,Resources!B:D,3,FALSE)</f>
        <v>P</v>
      </c>
      <c r="F783" s="22">
        <v>1</v>
      </c>
      <c r="G783" s="22">
        <f>G781</f>
        <v>44.44</v>
      </c>
      <c r="H783" s="22">
        <f>H780</f>
        <v>-796.80000000000007</v>
      </c>
      <c r="I783" s="22">
        <f>VLOOKUP(C783,Resources!B:G,6,FALSE)</f>
        <v>100</v>
      </c>
      <c r="J783" s="139">
        <f t="shared" si="926"/>
        <v>-1792.9792979297933</v>
      </c>
      <c r="K783" s="139">
        <f t="shared" si="927"/>
        <v>-17.929792979297932</v>
      </c>
      <c r="L783" s="139">
        <f>IF(E783="M"," ",K783/F783/Workhrs)</f>
        <v>-1.9921992199219924</v>
      </c>
      <c r="M783" s="139">
        <f t="shared" si="928"/>
        <v>0</v>
      </c>
      <c r="N783" s="139">
        <f t="shared" si="929"/>
        <v>0</v>
      </c>
      <c r="O783" s="139">
        <f t="shared" si="930"/>
        <v>-1792.9792979297933</v>
      </c>
      <c r="P783" s="139">
        <f>IF($E783="S",$J783,0)</f>
        <v>0</v>
      </c>
      <c r="Q783" s="139">
        <f t="shared" si="931"/>
        <v>-1792.9792979297933</v>
      </c>
      <c r="R783" s="156">
        <v>62</v>
      </c>
      <c r="T783" s="247"/>
      <c r="U783"/>
      <c r="V783" s="277"/>
    </row>
    <row r="784" spans="1:22" s="98" customFormat="1" x14ac:dyDescent="0.35">
      <c r="A784" s="27"/>
      <c r="B784" s="92">
        <v>11</v>
      </c>
      <c r="C784" s="19" t="s">
        <v>106</v>
      </c>
      <c r="D784" s="16" t="s">
        <v>26</v>
      </c>
      <c r="E784" s="27" t="str">
        <f>VLOOKUP(C784,Resources!B:D,3,FALSE)</f>
        <v>P</v>
      </c>
      <c r="F784" s="22">
        <v>1</v>
      </c>
      <c r="G784" s="22">
        <f>G781</f>
        <v>44.44</v>
      </c>
      <c r="H784" s="22">
        <f>H780</f>
        <v>-796.80000000000007</v>
      </c>
      <c r="I784" s="22">
        <f>VLOOKUP(C784,Resources!B:G,6,FALSE)</f>
        <v>55</v>
      </c>
      <c r="J784" s="139">
        <f t="shared" si="926"/>
        <v>-986.13861386138626</v>
      </c>
      <c r="K784" s="139">
        <f t="shared" si="927"/>
        <v>-17.929792979297932</v>
      </c>
      <c r="L784" s="139">
        <f>IF(E784="M"," ",K784/F784/Workhrs)</f>
        <v>-1.9921992199219924</v>
      </c>
      <c r="M784" s="139">
        <f t="shared" si="928"/>
        <v>0</v>
      </c>
      <c r="N784" s="139">
        <f t="shared" si="929"/>
        <v>0</v>
      </c>
      <c r="O784" s="139">
        <f t="shared" si="930"/>
        <v>-986.13861386138626</v>
      </c>
      <c r="P784" s="139">
        <f>IF($E784="S",$J784,0)</f>
        <v>0</v>
      </c>
      <c r="Q784" s="139">
        <f t="shared" si="931"/>
        <v>-986.13861386138626</v>
      </c>
      <c r="R784" s="156">
        <v>62</v>
      </c>
      <c r="T784" s="247"/>
      <c r="U784"/>
      <c r="V784" s="277"/>
    </row>
    <row r="785" spans="1:22" s="98" customFormat="1" x14ac:dyDescent="0.35">
      <c r="A785" s="27"/>
      <c r="B785" s="92">
        <v>12</v>
      </c>
      <c r="C785" s="19" t="s">
        <v>8</v>
      </c>
      <c r="D785" s="16" t="s">
        <v>26</v>
      </c>
      <c r="E785" s="27" t="str">
        <f>VLOOKUP(C785,Resources!B:D,3,FALSE)</f>
        <v>L</v>
      </c>
      <c r="F785" s="22">
        <v>3</v>
      </c>
      <c r="G785" s="22">
        <f>G781</f>
        <v>44.44</v>
      </c>
      <c r="H785" s="22">
        <f>H780</f>
        <v>-796.80000000000007</v>
      </c>
      <c r="I785" s="22">
        <f>VLOOKUP(C785,Resources!B:G,6,FALSE)</f>
        <v>42</v>
      </c>
      <c r="J785" s="139">
        <f t="shared" si="926"/>
        <v>-2259.1539153915392</v>
      </c>
      <c r="K785" s="139">
        <f t="shared" si="927"/>
        <v>-53.789378937893801</v>
      </c>
      <c r="L785" s="139">
        <f>IF(E785="M"," ",K785/F785/Workhrs)</f>
        <v>-1.9921992199219924</v>
      </c>
      <c r="M785" s="139">
        <f t="shared" si="928"/>
        <v>-2259.1539153915392</v>
      </c>
      <c r="N785" s="139">
        <f t="shared" si="929"/>
        <v>0</v>
      </c>
      <c r="O785" s="139">
        <f t="shared" si="930"/>
        <v>0</v>
      </c>
      <c r="P785" s="139">
        <f>IF($E785="S",$J785,0)</f>
        <v>0</v>
      </c>
      <c r="Q785" s="139">
        <f t="shared" si="931"/>
        <v>-2259.1539153915392</v>
      </c>
      <c r="R785" s="156">
        <v>62</v>
      </c>
      <c r="T785" s="247"/>
      <c r="U785"/>
      <c r="V785" s="277"/>
    </row>
    <row r="786" spans="1:22" s="98" customFormat="1" x14ac:dyDescent="0.35">
      <c r="A786" s="27">
        <v>114.5</v>
      </c>
      <c r="B786" s="92">
        <v>13</v>
      </c>
      <c r="C786" s="141" t="s">
        <v>216</v>
      </c>
      <c r="D786" s="16" t="s">
        <v>690</v>
      </c>
      <c r="E786" s="27"/>
      <c r="F786" s="22"/>
      <c r="G786" s="22"/>
      <c r="H786" s="97">
        <f>VLOOKUP($A786,'Model Inputs'!$A:$D,4,FALSE)</f>
        <v>-282</v>
      </c>
      <c r="I786" s="22"/>
      <c r="J786" s="139"/>
      <c r="K786" s="139"/>
      <c r="L786" s="139"/>
      <c r="M786" s="139"/>
      <c r="N786" s="139"/>
      <c r="O786" s="139"/>
      <c r="P786" s="139"/>
      <c r="Q786" s="139"/>
      <c r="R786" s="156"/>
      <c r="T786" s="247"/>
      <c r="U786"/>
      <c r="V786" s="277"/>
    </row>
    <row r="787" spans="1:22" s="98" customFormat="1" x14ac:dyDescent="0.35">
      <c r="A787" s="27"/>
      <c r="B787" s="92">
        <v>14</v>
      </c>
      <c r="C787" s="19" t="s">
        <v>666</v>
      </c>
      <c r="D787" s="16" t="s">
        <v>54</v>
      </c>
      <c r="E787" s="27"/>
      <c r="F787" s="22"/>
      <c r="G787" s="22"/>
      <c r="H787" s="22">
        <f>H786*GCF</f>
        <v>-676.80000000000007</v>
      </c>
      <c r="I787" s="22"/>
      <c r="J787" s="139"/>
      <c r="K787" s="139"/>
      <c r="L787" s="139"/>
      <c r="M787" s="139"/>
      <c r="N787" s="139"/>
      <c r="O787" s="139"/>
      <c r="P787" s="139"/>
      <c r="Q787" s="139"/>
      <c r="R787" s="156"/>
      <c r="T787" s="247"/>
      <c r="U787"/>
      <c r="V787" s="277"/>
    </row>
    <row r="788" spans="1:22" s="98" customFormat="1" x14ac:dyDescent="0.35">
      <c r="A788" s="27">
        <v>114.6</v>
      </c>
      <c r="B788" s="92">
        <v>15</v>
      </c>
      <c r="C788" s="19" t="s">
        <v>63</v>
      </c>
      <c r="D788" s="16" t="s">
        <v>26</v>
      </c>
      <c r="E788" s="27" t="str">
        <f>VLOOKUP(C788,Resources!B:D,3,FALSE)</f>
        <v>P</v>
      </c>
      <c r="F788" s="22">
        <v>1</v>
      </c>
      <c r="G788" s="97">
        <f>VLOOKUP($A788,'Model Inputs'!$A:$D,4,FALSE)</f>
        <v>44.44</v>
      </c>
      <c r="H788" s="22">
        <f>H787</f>
        <v>-676.80000000000007</v>
      </c>
      <c r="I788" s="22">
        <f>VLOOKUP(C788,Resources!B:G,6,FALSE)</f>
        <v>135</v>
      </c>
      <c r="J788" s="139">
        <f t="shared" ref="J788:J792" si="932">(H788/(G788/F788))*I788</f>
        <v>-2055.9855985598565</v>
      </c>
      <c r="K788" s="139">
        <f t="shared" ref="K788:K792" si="933">IF(E788="M",H788,(H788/(G788)*F788))</f>
        <v>-15.229522952295232</v>
      </c>
      <c r="L788" s="139">
        <f>IF(E788="M"," ",K788/F788/Workhrs)</f>
        <v>-1.6921692169216924</v>
      </c>
      <c r="M788" s="139">
        <f t="shared" ref="M788:M792" si="934">IF($E788="L",$J788,0)</f>
        <v>0</v>
      </c>
      <c r="N788" s="139">
        <f t="shared" ref="N788:N792" si="935">IF($E788="M",$J788,0)</f>
        <v>0</v>
      </c>
      <c r="O788" s="139">
        <f t="shared" ref="O788:O792" si="936">IF($E788="P",$J788,0)</f>
        <v>-2055.9855985598565</v>
      </c>
      <c r="P788" s="139">
        <f>IF($E788="S",$J788,0)</f>
        <v>0</v>
      </c>
      <c r="Q788" s="139">
        <f t="shared" ref="Q788:Q792" si="937">SUM(M788:P788)</f>
        <v>-2055.9855985598565</v>
      </c>
      <c r="R788" s="156">
        <v>62</v>
      </c>
      <c r="T788" s="247"/>
      <c r="U788"/>
      <c r="V788" s="277"/>
    </row>
    <row r="789" spans="1:22" s="98" customFormat="1" x14ac:dyDescent="0.35">
      <c r="A789" s="27"/>
      <c r="B789" s="92">
        <v>16</v>
      </c>
      <c r="C789" s="19" t="s">
        <v>64</v>
      </c>
      <c r="D789" s="16" t="s">
        <v>26</v>
      </c>
      <c r="E789" s="27" t="str">
        <f>VLOOKUP(C789,Resources!B:D,3,FALSE)</f>
        <v>P</v>
      </c>
      <c r="F789" s="22">
        <v>3</v>
      </c>
      <c r="G789" s="22">
        <f>G788</f>
        <v>44.44</v>
      </c>
      <c r="H789" s="22">
        <f>H787</f>
        <v>-676.80000000000007</v>
      </c>
      <c r="I789" s="22">
        <f>VLOOKUP(C789,Resources!B:G,6,FALSE)</f>
        <v>145</v>
      </c>
      <c r="J789" s="139">
        <f t="shared" si="932"/>
        <v>-6624.8424842484255</v>
      </c>
      <c r="K789" s="139">
        <f t="shared" si="933"/>
        <v>-45.688568856885695</v>
      </c>
      <c r="L789" s="139">
        <f>IF(E789="M"," ",K789/F789/Workhrs)</f>
        <v>-1.6921692169216924</v>
      </c>
      <c r="M789" s="139">
        <f t="shared" si="934"/>
        <v>0</v>
      </c>
      <c r="N789" s="139">
        <f t="shared" si="935"/>
        <v>0</v>
      </c>
      <c r="O789" s="139">
        <f t="shared" si="936"/>
        <v>-6624.8424842484255</v>
      </c>
      <c r="P789" s="139">
        <f>IF($E789="S",$J789,0)</f>
        <v>0</v>
      </c>
      <c r="Q789" s="139">
        <f t="shared" si="937"/>
        <v>-6624.8424842484255</v>
      </c>
      <c r="R789" s="156">
        <v>62</v>
      </c>
      <c r="T789" s="247"/>
      <c r="U789"/>
      <c r="V789" s="277"/>
    </row>
    <row r="790" spans="1:22" s="98" customFormat="1" x14ac:dyDescent="0.35">
      <c r="A790" s="27"/>
      <c r="B790" s="92">
        <v>17</v>
      </c>
      <c r="C790" s="19" t="s">
        <v>52</v>
      </c>
      <c r="D790" s="16" t="s">
        <v>26</v>
      </c>
      <c r="E790" s="27" t="str">
        <f>VLOOKUP(C790,Resources!B:D,3,FALSE)</f>
        <v>P</v>
      </c>
      <c r="F790" s="22">
        <v>1</v>
      </c>
      <c r="G790" s="22">
        <f>G788</f>
        <v>44.44</v>
      </c>
      <c r="H790" s="22">
        <f>H787</f>
        <v>-676.80000000000007</v>
      </c>
      <c r="I790" s="22">
        <f>VLOOKUP(C790,Resources!B:G,6,FALSE)</f>
        <v>100</v>
      </c>
      <c r="J790" s="139">
        <f t="shared" si="932"/>
        <v>-1522.9522952295233</v>
      </c>
      <c r="K790" s="139">
        <f t="shared" si="933"/>
        <v>-15.229522952295232</v>
      </c>
      <c r="L790" s="139">
        <f>IF(E790="M"," ",K790/F790/Workhrs)</f>
        <v>-1.6921692169216924</v>
      </c>
      <c r="M790" s="139">
        <f t="shared" si="934"/>
        <v>0</v>
      </c>
      <c r="N790" s="139">
        <f t="shared" si="935"/>
        <v>0</v>
      </c>
      <c r="O790" s="139">
        <f t="shared" si="936"/>
        <v>-1522.9522952295233</v>
      </c>
      <c r="P790" s="139">
        <f>IF($E790="S",$J790,0)</f>
        <v>0</v>
      </c>
      <c r="Q790" s="139">
        <f t="shared" si="937"/>
        <v>-1522.9522952295233</v>
      </c>
      <c r="R790" s="156">
        <v>62</v>
      </c>
      <c r="T790" s="247"/>
      <c r="U790"/>
      <c r="V790" s="277"/>
    </row>
    <row r="791" spans="1:22" s="98" customFormat="1" x14ac:dyDescent="0.35">
      <c r="A791" s="27"/>
      <c r="B791" s="92">
        <v>18</v>
      </c>
      <c r="C791" s="19" t="s">
        <v>106</v>
      </c>
      <c r="D791" s="16" t="s">
        <v>26</v>
      </c>
      <c r="E791" s="27" t="str">
        <f>VLOOKUP(C791,Resources!B:D,3,FALSE)</f>
        <v>P</v>
      </c>
      <c r="F791" s="22">
        <v>1</v>
      </c>
      <c r="G791" s="22">
        <f>G788</f>
        <v>44.44</v>
      </c>
      <c r="H791" s="22">
        <f>H787</f>
        <v>-676.80000000000007</v>
      </c>
      <c r="I791" s="22">
        <f>VLOOKUP(C791,Resources!B:G,6,FALSE)</f>
        <v>55</v>
      </c>
      <c r="J791" s="139">
        <f t="shared" si="932"/>
        <v>-837.62376237623778</v>
      </c>
      <c r="K791" s="139">
        <f t="shared" si="933"/>
        <v>-15.229522952295232</v>
      </c>
      <c r="L791" s="139">
        <f>IF(E791="M"," ",K791/F791/Workhrs)</f>
        <v>-1.6921692169216924</v>
      </c>
      <c r="M791" s="139">
        <f t="shared" si="934"/>
        <v>0</v>
      </c>
      <c r="N791" s="139">
        <f t="shared" si="935"/>
        <v>0</v>
      </c>
      <c r="O791" s="139">
        <f t="shared" si="936"/>
        <v>-837.62376237623778</v>
      </c>
      <c r="P791" s="139">
        <f>IF($E791="S",$J791,0)</f>
        <v>0</v>
      </c>
      <c r="Q791" s="139">
        <f t="shared" si="937"/>
        <v>-837.62376237623778</v>
      </c>
      <c r="R791" s="156">
        <v>62</v>
      </c>
      <c r="T791" s="247"/>
      <c r="U791"/>
      <c r="V791" s="277"/>
    </row>
    <row r="792" spans="1:22" s="98" customFormat="1" x14ac:dyDescent="0.35">
      <c r="A792" s="27"/>
      <c r="B792" s="92">
        <v>19</v>
      </c>
      <c r="C792" s="19" t="s">
        <v>8</v>
      </c>
      <c r="D792" s="16" t="s">
        <v>26</v>
      </c>
      <c r="E792" s="27" t="str">
        <f>VLOOKUP(C792,Resources!B:D,3,FALSE)</f>
        <v>L</v>
      </c>
      <c r="F792" s="22">
        <v>3</v>
      </c>
      <c r="G792" s="22">
        <f>G788</f>
        <v>44.44</v>
      </c>
      <c r="H792" s="22">
        <f>H787</f>
        <v>-676.80000000000007</v>
      </c>
      <c r="I792" s="22">
        <f>VLOOKUP(C792,Resources!B:G,6,FALSE)</f>
        <v>42</v>
      </c>
      <c r="J792" s="139">
        <f t="shared" si="932"/>
        <v>-1918.9198919891992</v>
      </c>
      <c r="K792" s="139">
        <f t="shared" si="933"/>
        <v>-45.688568856885695</v>
      </c>
      <c r="L792" s="139">
        <f>IF(E792="M"," ",K792/F792/Workhrs)</f>
        <v>-1.6921692169216924</v>
      </c>
      <c r="M792" s="139">
        <f t="shared" si="934"/>
        <v>-1918.9198919891992</v>
      </c>
      <c r="N792" s="139">
        <f t="shared" si="935"/>
        <v>0</v>
      </c>
      <c r="O792" s="139">
        <f t="shared" si="936"/>
        <v>0</v>
      </c>
      <c r="P792" s="139">
        <f>IF($E792="S",$J792,0)</f>
        <v>0</v>
      </c>
      <c r="Q792" s="139">
        <f t="shared" si="937"/>
        <v>-1918.9198919891992</v>
      </c>
      <c r="R792" s="156">
        <v>62</v>
      </c>
      <c r="T792" s="247"/>
      <c r="U792"/>
      <c r="V792" s="277"/>
    </row>
    <row r="793" spans="1:22" s="98" customFormat="1" x14ac:dyDescent="0.35">
      <c r="A793" s="27"/>
      <c r="B793" s="92">
        <v>20</v>
      </c>
      <c r="C793" s="141" t="s">
        <v>668</v>
      </c>
      <c r="D793" s="16" t="s">
        <v>669</v>
      </c>
      <c r="E793" s="27"/>
      <c r="F793" s="22"/>
      <c r="G793" s="22"/>
      <c r="H793" s="22"/>
      <c r="I793" s="22"/>
      <c r="J793" s="139"/>
      <c r="K793" s="139"/>
      <c r="L793" s="139"/>
      <c r="M793" s="139"/>
      <c r="N793" s="139"/>
      <c r="O793" s="139"/>
      <c r="P793" s="139"/>
      <c r="Q793" s="139"/>
      <c r="R793" s="156"/>
      <c r="T793" s="247"/>
      <c r="U793"/>
      <c r="V793" s="277"/>
    </row>
    <row r="794" spans="1:22" s="98" customFormat="1" x14ac:dyDescent="0.35">
      <c r="A794" s="27">
        <v>114.7</v>
      </c>
      <c r="B794" s="92">
        <v>21</v>
      </c>
      <c r="C794" s="19" t="s">
        <v>63</v>
      </c>
      <c r="D794" s="16" t="s">
        <v>26</v>
      </c>
      <c r="E794" s="27" t="str">
        <f>VLOOKUP(C794,Resources!B:D,3,FALSE)</f>
        <v>P</v>
      </c>
      <c r="F794" s="22">
        <v>1</v>
      </c>
      <c r="G794" s="97">
        <f>VLOOKUP($A794,'Model Inputs'!$A:$D,4,FALSE)</f>
        <v>300</v>
      </c>
      <c r="H794" s="22">
        <f>H786/0.15</f>
        <v>-1880</v>
      </c>
      <c r="I794" s="22">
        <f>VLOOKUP(C794,Resources!B:G,6,FALSE)</f>
        <v>135</v>
      </c>
      <c r="J794" s="139">
        <f t="shared" ref="J794:J796" si="938">(H794/(G794/F794))*I794</f>
        <v>-846</v>
      </c>
      <c r="K794" s="139">
        <f t="shared" ref="K794:K796" si="939">IF(E794="M",H794,(H794/(G794)*F794))</f>
        <v>-6.2666666666666666</v>
      </c>
      <c r="L794" s="139">
        <f>IF(E794="M"," ",K794/F794/Workhrs)</f>
        <v>-0.6962962962962963</v>
      </c>
      <c r="M794" s="139">
        <f t="shared" ref="M794:M796" si="940">IF($E794="L",$J794,0)</f>
        <v>0</v>
      </c>
      <c r="N794" s="139">
        <f t="shared" ref="N794:N796" si="941">IF($E794="M",$J794,0)</f>
        <v>0</v>
      </c>
      <c r="O794" s="139">
        <f t="shared" ref="O794:O796" si="942">IF($E794="P",$J794,0)</f>
        <v>-846</v>
      </c>
      <c r="P794" s="139">
        <f>IF($E794="S",$J794,0)</f>
        <v>0</v>
      </c>
      <c r="Q794" s="139">
        <f t="shared" ref="Q794:Q796" si="943">SUM(M794:P794)</f>
        <v>-846</v>
      </c>
      <c r="R794" s="156">
        <v>63</v>
      </c>
      <c r="T794" s="247"/>
      <c r="U794"/>
      <c r="V794" s="277"/>
    </row>
    <row r="795" spans="1:22" s="98" customFormat="1" x14ac:dyDescent="0.35">
      <c r="A795" s="27"/>
      <c r="B795" s="92">
        <v>22</v>
      </c>
      <c r="C795" s="19" t="s">
        <v>405</v>
      </c>
      <c r="D795" s="16" t="s">
        <v>26</v>
      </c>
      <c r="E795" s="27" t="str">
        <f>VLOOKUP(C795,Resources!B:D,3,FALSE)</f>
        <v>P</v>
      </c>
      <c r="F795" s="22">
        <v>1</v>
      </c>
      <c r="G795" s="22">
        <f>G794</f>
        <v>300</v>
      </c>
      <c r="H795" s="22">
        <f>H794</f>
        <v>-1880</v>
      </c>
      <c r="I795" s="22">
        <f>VLOOKUP(C795,Resources!B:G,6,FALSE)</f>
        <v>55</v>
      </c>
      <c r="J795" s="139">
        <f t="shared" si="938"/>
        <v>-344.66666666666669</v>
      </c>
      <c r="K795" s="139">
        <f t="shared" si="939"/>
        <v>-6.2666666666666666</v>
      </c>
      <c r="L795" s="139">
        <f>IF(E795="M"," ",K795/F795/Workhrs)</f>
        <v>-0.6962962962962963</v>
      </c>
      <c r="M795" s="139">
        <f t="shared" si="940"/>
        <v>0</v>
      </c>
      <c r="N795" s="139">
        <f t="shared" si="941"/>
        <v>0</v>
      </c>
      <c r="O795" s="139">
        <f t="shared" si="942"/>
        <v>-344.66666666666669</v>
      </c>
      <c r="P795" s="139">
        <f>IF($E795="S",$J795,0)</f>
        <v>0</v>
      </c>
      <c r="Q795" s="139">
        <f t="shared" si="943"/>
        <v>-344.66666666666669</v>
      </c>
      <c r="R795" s="156">
        <v>63</v>
      </c>
      <c r="T795" s="247"/>
      <c r="U795"/>
      <c r="V795" s="277"/>
    </row>
    <row r="796" spans="1:22" s="98" customFormat="1" x14ac:dyDescent="0.35">
      <c r="A796" s="27"/>
      <c r="B796" s="92">
        <v>23</v>
      </c>
      <c r="C796" s="19" t="s">
        <v>8</v>
      </c>
      <c r="D796" s="16" t="s">
        <v>26</v>
      </c>
      <c r="E796" s="27" t="str">
        <f>VLOOKUP(C796,Resources!B:D,3,FALSE)</f>
        <v>L</v>
      </c>
      <c r="F796" s="22">
        <v>3</v>
      </c>
      <c r="G796" s="22">
        <f>G794</f>
        <v>300</v>
      </c>
      <c r="H796" s="22">
        <f>H794</f>
        <v>-1880</v>
      </c>
      <c r="I796" s="22">
        <f>VLOOKUP(C796,Resources!B:G,6,FALSE)</f>
        <v>42</v>
      </c>
      <c r="J796" s="139">
        <f t="shared" si="938"/>
        <v>-789.6</v>
      </c>
      <c r="K796" s="139">
        <f t="shared" si="939"/>
        <v>-18.8</v>
      </c>
      <c r="L796" s="139">
        <f>IF(E796="M"," ",K796/F796/Workhrs)</f>
        <v>-0.6962962962962963</v>
      </c>
      <c r="M796" s="139">
        <f t="shared" si="940"/>
        <v>-789.6</v>
      </c>
      <c r="N796" s="139">
        <f t="shared" si="941"/>
        <v>0</v>
      </c>
      <c r="O796" s="139">
        <f t="shared" si="942"/>
        <v>0</v>
      </c>
      <c r="P796" s="139">
        <f>IF($E796="S",$J796,0)</f>
        <v>0</v>
      </c>
      <c r="Q796" s="139">
        <f t="shared" si="943"/>
        <v>-789.6</v>
      </c>
      <c r="R796" s="156">
        <v>63</v>
      </c>
      <c r="T796" s="247"/>
      <c r="U796"/>
      <c r="V796" s="277"/>
    </row>
    <row r="797" spans="1:22" s="98" customFormat="1" x14ac:dyDescent="0.35">
      <c r="A797" s="27">
        <v>114.8</v>
      </c>
      <c r="B797" s="92">
        <v>24</v>
      </c>
      <c r="C797" s="141" t="s">
        <v>685</v>
      </c>
      <c r="D797" s="16" t="s">
        <v>690</v>
      </c>
      <c r="E797" s="27"/>
      <c r="F797" s="22"/>
      <c r="G797" s="22"/>
      <c r="H797" s="97">
        <f>VLOOKUP($A797,'Model Inputs'!$A:$D,4,FALSE)</f>
        <v>9</v>
      </c>
      <c r="I797" s="22"/>
      <c r="J797" s="139"/>
      <c r="K797" s="139"/>
      <c r="L797" s="139"/>
      <c r="M797" s="139"/>
      <c r="N797" s="139"/>
      <c r="O797" s="139"/>
      <c r="P797" s="139"/>
      <c r="Q797" s="139"/>
      <c r="R797" s="156"/>
      <c r="T797" s="247"/>
      <c r="U797"/>
      <c r="V797" s="277"/>
    </row>
    <row r="798" spans="1:22" s="98" customFormat="1" x14ac:dyDescent="0.35">
      <c r="A798" s="27"/>
      <c r="B798" s="92">
        <v>25</v>
      </c>
      <c r="C798" s="147" t="s">
        <v>104</v>
      </c>
      <c r="D798" s="16"/>
      <c r="E798" s="27"/>
      <c r="F798" s="22"/>
      <c r="G798" s="22"/>
      <c r="H798" s="22"/>
      <c r="I798" s="22"/>
      <c r="J798" s="139"/>
      <c r="K798" s="139"/>
      <c r="L798" s="139"/>
      <c r="M798" s="139"/>
      <c r="N798" s="139"/>
      <c r="O798" s="139"/>
      <c r="P798" s="139"/>
      <c r="Q798" s="139"/>
      <c r="R798" s="156"/>
      <c r="T798" s="247"/>
      <c r="U798"/>
      <c r="V798" s="277"/>
    </row>
    <row r="799" spans="1:22" s="98" customFormat="1" x14ac:dyDescent="0.35">
      <c r="A799" s="27"/>
      <c r="B799" s="92">
        <v>26</v>
      </c>
      <c r="C799" s="19" t="s">
        <v>50</v>
      </c>
      <c r="D799" s="16" t="s">
        <v>26</v>
      </c>
      <c r="E799" s="27" t="str">
        <f>VLOOKUP(C799,Resources!B:D,3,FALSE)</f>
        <v>P</v>
      </c>
      <c r="F799" s="22">
        <v>1</v>
      </c>
      <c r="G799" s="22">
        <v>40</v>
      </c>
      <c r="H799" s="22">
        <f>H797</f>
        <v>9</v>
      </c>
      <c r="I799" s="22">
        <f>VLOOKUP(C799,Resources!B:G,6,FALSE)</f>
        <v>135</v>
      </c>
      <c r="J799" s="139">
        <f t="shared" ref="J799:J801" si="944">(H799/(G799/F799))*I799</f>
        <v>30.375</v>
      </c>
      <c r="K799" s="139">
        <f t="shared" ref="K799:K801" si="945">IF(E799="M",H799,(H799/(G799)*F799))</f>
        <v>0.22500000000000001</v>
      </c>
      <c r="L799" s="139">
        <f>IF(E799="M"," ",K799/F799/Workhrs)</f>
        <v>2.5000000000000001E-2</v>
      </c>
      <c r="M799" s="139">
        <f t="shared" ref="M799:M801" si="946">IF($E799="L",$J799,0)</f>
        <v>0</v>
      </c>
      <c r="N799" s="139">
        <f t="shared" ref="N799:N801" si="947">IF($E799="M",$J799,0)</f>
        <v>0</v>
      </c>
      <c r="O799" s="139">
        <f t="shared" ref="O799:O801" si="948">IF($E799="P",$J799,0)</f>
        <v>30.375</v>
      </c>
      <c r="P799" s="139">
        <f>IF($E799="S",$J799,0)</f>
        <v>0</v>
      </c>
      <c r="Q799" s="139">
        <f t="shared" ref="Q799:Q801" si="949">SUM(M799:P799)</f>
        <v>30.375</v>
      </c>
      <c r="R799" s="156">
        <v>53</v>
      </c>
      <c r="T799" s="247"/>
      <c r="U799"/>
      <c r="V799" s="277"/>
    </row>
    <row r="800" spans="1:22" s="98" customFormat="1" x14ac:dyDescent="0.35">
      <c r="A800" s="27"/>
      <c r="B800" s="92">
        <v>27</v>
      </c>
      <c r="C800" s="19" t="s">
        <v>51</v>
      </c>
      <c r="D800" s="16" t="s">
        <v>26</v>
      </c>
      <c r="E800" s="27" t="str">
        <f>VLOOKUP(C800,Resources!B:D,3,FALSE)</f>
        <v>P</v>
      </c>
      <c r="F800" s="22">
        <v>2</v>
      </c>
      <c r="G800" s="22">
        <v>40</v>
      </c>
      <c r="H800" s="22">
        <f>H797</f>
        <v>9</v>
      </c>
      <c r="I800" s="22">
        <f>VLOOKUP(C800,Resources!B:G,6,FALSE)</f>
        <v>95</v>
      </c>
      <c r="J800" s="139">
        <f t="shared" si="944"/>
        <v>42.75</v>
      </c>
      <c r="K800" s="139">
        <f t="shared" si="945"/>
        <v>0.45</v>
      </c>
      <c r="L800" s="139">
        <f>IF(E800="M"," ",K800/F800/Workhrs)</f>
        <v>2.5000000000000001E-2</v>
      </c>
      <c r="M800" s="139">
        <f t="shared" si="946"/>
        <v>0</v>
      </c>
      <c r="N800" s="139">
        <f t="shared" si="947"/>
        <v>0</v>
      </c>
      <c r="O800" s="139">
        <f t="shared" si="948"/>
        <v>42.75</v>
      </c>
      <c r="P800" s="139">
        <f>IF($E800="S",$J800,0)</f>
        <v>0</v>
      </c>
      <c r="Q800" s="139">
        <f t="shared" si="949"/>
        <v>42.75</v>
      </c>
      <c r="R800" s="156">
        <v>53</v>
      </c>
      <c r="T800" s="247"/>
      <c r="U800"/>
      <c r="V800" s="277"/>
    </row>
    <row r="801" spans="1:22" s="98" customFormat="1" x14ac:dyDescent="0.35">
      <c r="A801" s="27"/>
      <c r="B801" s="92">
        <v>28</v>
      </c>
      <c r="C801" s="19" t="s">
        <v>8</v>
      </c>
      <c r="D801" s="16" t="s">
        <v>26</v>
      </c>
      <c r="E801" s="27" t="str">
        <f>VLOOKUP(C801,Resources!B:D,3,FALSE)</f>
        <v>L</v>
      </c>
      <c r="F801" s="22">
        <v>1</v>
      </c>
      <c r="G801" s="22">
        <v>40</v>
      </c>
      <c r="H801" s="22">
        <f>H797</f>
        <v>9</v>
      </c>
      <c r="I801" s="22">
        <f>VLOOKUP(C801,Resources!B:G,6,FALSE)</f>
        <v>42</v>
      </c>
      <c r="J801" s="139">
        <f t="shared" si="944"/>
        <v>9.4500000000000011</v>
      </c>
      <c r="K801" s="139">
        <f t="shared" si="945"/>
        <v>0.22500000000000001</v>
      </c>
      <c r="L801" s="139">
        <f>IF(E801="M"," ",K801/F801/Workhrs)</f>
        <v>2.5000000000000001E-2</v>
      </c>
      <c r="M801" s="139">
        <f t="shared" si="946"/>
        <v>9.4500000000000011</v>
      </c>
      <c r="N801" s="139">
        <f t="shared" si="947"/>
        <v>0</v>
      </c>
      <c r="O801" s="139">
        <f t="shared" si="948"/>
        <v>0</v>
      </c>
      <c r="P801" s="139">
        <f>IF($E801="S",$J801,0)</f>
        <v>0</v>
      </c>
      <c r="Q801" s="139">
        <f t="shared" si="949"/>
        <v>9.4500000000000011</v>
      </c>
      <c r="R801" s="156">
        <v>53</v>
      </c>
      <c r="T801" s="247"/>
      <c r="U801"/>
      <c r="V801" s="277"/>
    </row>
    <row r="802" spans="1:22" s="98" customFormat="1" x14ac:dyDescent="0.35">
      <c r="A802" s="27"/>
      <c r="B802" s="92">
        <v>29</v>
      </c>
      <c r="C802" s="147" t="s">
        <v>105</v>
      </c>
      <c r="D802" s="16"/>
      <c r="E802" s="27"/>
      <c r="F802" s="22"/>
      <c r="G802" s="22"/>
      <c r="H802" s="22"/>
      <c r="I802" s="22"/>
      <c r="J802" s="139"/>
      <c r="K802" s="139"/>
      <c r="L802" s="139"/>
      <c r="M802" s="139"/>
      <c r="N802" s="139"/>
      <c r="O802" s="139"/>
      <c r="P802" s="139"/>
      <c r="Q802" s="139"/>
      <c r="R802" s="156"/>
      <c r="T802" s="247"/>
      <c r="U802"/>
      <c r="V802" s="277"/>
    </row>
    <row r="803" spans="1:22" s="98" customFormat="1" x14ac:dyDescent="0.35">
      <c r="A803" s="27"/>
      <c r="B803" s="92">
        <v>30</v>
      </c>
      <c r="C803" s="19" t="s">
        <v>50</v>
      </c>
      <c r="D803" s="16" t="s">
        <v>26</v>
      </c>
      <c r="E803" s="27" t="str">
        <f>VLOOKUP(C803,Resources!B:D,3,FALSE)</f>
        <v>P</v>
      </c>
      <c r="F803" s="22">
        <v>1</v>
      </c>
      <c r="G803" s="22">
        <v>27.777999999999999</v>
      </c>
      <c r="H803" s="22">
        <f>H797</f>
        <v>9</v>
      </c>
      <c r="I803" s="22">
        <f>VLOOKUP(C803,Resources!B:G,6,FALSE)</f>
        <v>135</v>
      </c>
      <c r="J803" s="139">
        <f t="shared" ref="J803:J806" si="950">(H803/(G803/F803))*I803</f>
        <v>43.739650082799336</v>
      </c>
      <c r="K803" s="139">
        <f t="shared" ref="K803:K806" si="951">IF(E803="M",H803,(H803/(G803)*F803))</f>
        <v>0.32399740802073584</v>
      </c>
      <c r="L803" s="139">
        <f>IF(E803="M"," ",K803/F803/Workhrs)</f>
        <v>3.599971200230398E-2</v>
      </c>
      <c r="M803" s="139">
        <f t="shared" ref="M803:M806" si="952">IF($E803="L",$J803,0)</f>
        <v>0</v>
      </c>
      <c r="N803" s="139">
        <f t="shared" ref="N803:N806" si="953">IF($E803="M",$J803,0)</f>
        <v>0</v>
      </c>
      <c r="O803" s="139">
        <f t="shared" ref="O803:O806" si="954">IF($E803="P",$J803,0)</f>
        <v>43.739650082799336</v>
      </c>
      <c r="P803" s="139">
        <f>IF($E803="S",$J803,0)</f>
        <v>0</v>
      </c>
      <c r="Q803" s="139">
        <f t="shared" ref="Q803:Q806" si="955">SUM(M803:P803)</f>
        <v>43.739650082799336</v>
      </c>
      <c r="R803" s="156">
        <v>53</v>
      </c>
      <c r="T803" s="247"/>
      <c r="U803"/>
      <c r="V803" s="277"/>
    </row>
    <row r="804" spans="1:22" s="98" customFormat="1" x14ac:dyDescent="0.35">
      <c r="A804" s="27"/>
      <c r="B804" s="92">
        <v>31</v>
      </c>
      <c r="C804" s="19" t="s">
        <v>51</v>
      </c>
      <c r="D804" s="16" t="s">
        <v>26</v>
      </c>
      <c r="E804" s="27" t="str">
        <f>VLOOKUP(C804,Resources!B:D,3,FALSE)</f>
        <v>P</v>
      </c>
      <c r="F804" s="22">
        <v>2</v>
      </c>
      <c r="G804" s="22">
        <v>27.777999999999999</v>
      </c>
      <c r="H804" s="22">
        <f>H797</f>
        <v>9</v>
      </c>
      <c r="I804" s="22">
        <f>VLOOKUP(C804,Resources!B:G,6,FALSE)</f>
        <v>95</v>
      </c>
      <c r="J804" s="139">
        <f t="shared" si="950"/>
        <v>61.559507523939807</v>
      </c>
      <c r="K804" s="139">
        <f t="shared" si="951"/>
        <v>0.64799481604147169</v>
      </c>
      <c r="L804" s="139">
        <f>IF(E804="M"," ",K804/F804/Workhrs)</f>
        <v>3.599971200230398E-2</v>
      </c>
      <c r="M804" s="139">
        <f t="shared" si="952"/>
        <v>0</v>
      </c>
      <c r="N804" s="139">
        <f t="shared" si="953"/>
        <v>0</v>
      </c>
      <c r="O804" s="139">
        <f t="shared" si="954"/>
        <v>61.559507523939807</v>
      </c>
      <c r="P804" s="139">
        <f>IF($E804="S",$J804,0)</f>
        <v>0</v>
      </c>
      <c r="Q804" s="139">
        <f t="shared" si="955"/>
        <v>61.559507523939807</v>
      </c>
      <c r="R804" s="156">
        <v>53</v>
      </c>
      <c r="T804" s="247"/>
      <c r="U804"/>
      <c r="V804" s="277"/>
    </row>
    <row r="805" spans="1:22" s="98" customFormat="1" x14ac:dyDescent="0.35">
      <c r="A805" s="27"/>
      <c r="B805" s="92">
        <v>32</v>
      </c>
      <c r="C805" s="19" t="s">
        <v>63</v>
      </c>
      <c r="D805" s="16" t="s">
        <v>26</v>
      </c>
      <c r="E805" s="27" t="str">
        <f>VLOOKUP(C805,Resources!B:D,3,FALSE)</f>
        <v>P</v>
      </c>
      <c r="F805" s="22">
        <v>1</v>
      </c>
      <c r="G805" s="22">
        <v>27.777999999999999</v>
      </c>
      <c r="H805" s="22">
        <f>H797</f>
        <v>9</v>
      </c>
      <c r="I805" s="22">
        <f>VLOOKUP(C805,Resources!B:G,6,FALSE)</f>
        <v>135</v>
      </c>
      <c r="J805" s="139">
        <f t="shared" si="950"/>
        <v>43.739650082799336</v>
      </c>
      <c r="K805" s="139">
        <f t="shared" si="951"/>
        <v>0.32399740802073584</v>
      </c>
      <c r="L805" s="139">
        <f>IF(E805="M"," ",K805/F805/Workhrs)</f>
        <v>3.599971200230398E-2</v>
      </c>
      <c r="M805" s="139">
        <f t="shared" si="952"/>
        <v>0</v>
      </c>
      <c r="N805" s="139">
        <f t="shared" si="953"/>
        <v>0</v>
      </c>
      <c r="O805" s="139">
        <f t="shared" si="954"/>
        <v>43.739650082799336</v>
      </c>
      <c r="P805" s="139">
        <f>IF($E805="S",$J805,0)</f>
        <v>0</v>
      </c>
      <c r="Q805" s="139">
        <f t="shared" si="955"/>
        <v>43.739650082799336</v>
      </c>
      <c r="R805" s="156">
        <v>53</v>
      </c>
      <c r="T805" s="247"/>
      <c r="U805"/>
      <c r="V805" s="277"/>
    </row>
    <row r="806" spans="1:22" s="98" customFormat="1" x14ac:dyDescent="0.35">
      <c r="A806" s="27"/>
      <c r="B806" s="92">
        <v>33</v>
      </c>
      <c r="C806" s="19" t="s">
        <v>106</v>
      </c>
      <c r="D806" s="16" t="s">
        <v>26</v>
      </c>
      <c r="E806" s="27" t="str">
        <f>VLOOKUP(C806,Resources!B:D,3,FALSE)</f>
        <v>P</v>
      </c>
      <c r="F806" s="22">
        <v>1</v>
      </c>
      <c r="G806" s="22">
        <v>27.777999999999999</v>
      </c>
      <c r="H806" s="22">
        <f>H797</f>
        <v>9</v>
      </c>
      <c r="I806" s="22">
        <f>VLOOKUP(C806,Resources!B:G,6,FALSE)</f>
        <v>55</v>
      </c>
      <c r="J806" s="139">
        <f t="shared" si="950"/>
        <v>17.819857441140471</v>
      </c>
      <c r="K806" s="139">
        <f t="shared" si="951"/>
        <v>0.32399740802073584</v>
      </c>
      <c r="L806" s="139">
        <f>IF(E806="M"," ",K806/F806/Workhrs)</f>
        <v>3.599971200230398E-2</v>
      </c>
      <c r="M806" s="139">
        <f t="shared" si="952"/>
        <v>0</v>
      </c>
      <c r="N806" s="139">
        <f t="shared" si="953"/>
        <v>0</v>
      </c>
      <c r="O806" s="139">
        <f t="shared" si="954"/>
        <v>17.819857441140471</v>
      </c>
      <c r="P806" s="139">
        <f>IF($E806="S",$J806,0)</f>
        <v>0</v>
      </c>
      <c r="Q806" s="139">
        <f t="shared" si="955"/>
        <v>17.819857441140471</v>
      </c>
      <c r="R806" s="156">
        <v>53</v>
      </c>
      <c r="T806" s="247"/>
      <c r="U806"/>
      <c r="V806" s="277"/>
    </row>
    <row r="807" spans="1:22" s="98" customFormat="1" x14ac:dyDescent="0.35">
      <c r="A807" s="27"/>
      <c r="B807" s="92">
        <v>34</v>
      </c>
      <c r="C807" s="147" t="s">
        <v>686</v>
      </c>
      <c r="D807" s="16"/>
      <c r="E807" s="27"/>
      <c r="F807" s="22"/>
      <c r="G807" s="22"/>
      <c r="H807" s="22"/>
      <c r="I807" s="22"/>
      <c r="J807" s="139"/>
      <c r="K807" s="139"/>
      <c r="L807" s="139"/>
      <c r="M807" s="139"/>
      <c r="N807" s="139"/>
      <c r="O807" s="139"/>
      <c r="P807" s="139"/>
      <c r="Q807" s="139"/>
      <c r="R807" s="156"/>
      <c r="T807" s="247"/>
      <c r="U807"/>
      <c r="V807" s="277"/>
    </row>
    <row r="808" spans="1:22" s="98" customFormat="1" x14ac:dyDescent="0.35">
      <c r="A808" s="27">
        <v>114.9</v>
      </c>
      <c r="B808" s="92">
        <v>35</v>
      </c>
      <c r="C808" s="19" t="s">
        <v>76</v>
      </c>
      <c r="D808" s="16" t="s">
        <v>54</v>
      </c>
      <c r="E808" s="27" t="str">
        <f>VLOOKUP(C808,Resources!B:D,3,FALSE)</f>
        <v>M</v>
      </c>
      <c r="F808" s="22">
        <v>1</v>
      </c>
      <c r="G808" s="97">
        <f>VLOOKUP($A808,'Model Inputs'!$A:$D,4,FALSE)</f>
        <v>1.2E-2</v>
      </c>
      <c r="H808" s="22">
        <f>H809*G808</f>
        <v>0.432</v>
      </c>
      <c r="I808" s="22">
        <f>VLOOKUP(C808,Resources!B:G,6,FALSE)</f>
        <v>357</v>
      </c>
      <c r="J808" s="139">
        <f>H808*I808</f>
        <v>154.22399999999999</v>
      </c>
      <c r="K808" s="139">
        <f t="shared" ref="K808" si="956">IF(E808="M",H808,(H808/(G808)*F808))</f>
        <v>0.432</v>
      </c>
      <c r="L808" s="139" t="str">
        <f>IF(E808="M"," ",K808/F808/Workhrs)</f>
        <v xml:space="preserve"> </v>
      </c>
      <c r="M808" s="139">
        <f t="shared" ref="M808:M815" si="957">IF($E808="L",$J808,0)</f>
        <v>0</v>
      </c>
      <c r="N808" s="139">
        <f t="shared" ref="N808:N815" si="958">IF($E808="M",$J808,0)</f>
        <v>154.22399999999999</v>
      </c>
      <c r="O808" s="139">
        <f t="shared" ref="O808:O815" si="959">IF($E808="P",$J808,0)</f>
        <v>0</v>
      </c>
      <c r="P808" s="139">
        <f>IF($E808="S",$J808,0)</f>
        <v>0</v>
      </c>
      <c r="Q808" s="139">
        <f t="shared" ref="Q808" si="960">SUM(M808:P808)</f>
        <v>154.22399999999999</v>
      </c>
      <c r="R808" s="156" t="s">
        <v>693</v>
      </c>
      <c r="T808" s="247"/>
      <c r="U808"/>
      <c r="V808" s="277"/>
    </row>
    <row r="809" spans="1:22" s="98" customFormat="1" x14ac:dyDescent="0.35">
      <c r="A809" s="27"/>
      <c r="B809" s="92">
        <v>36</v>
      </c>
      <c r="C809" s="147" t="s">
        <v>95</v>
      </c>
      <c r="D809" s="22" t="s">
        <v>709</v>
      </c>
      <c r="E809" s="27"/>
      <c r="F809" s="22"/>
      <c r="G809" s="22"/>
      <c r="H809" s="22">
        <f>H797/0.25</f>
        <v>36</v>
      </c>
      <c r="I809" s="22"/>
      <c r="J809" s="139"/>
      <c r="K809" s="139"/>
      <c r="L809" s="139"/>
      <c r="M809" s="139"/>
      <c r="N809" s="139"/>
      <c r="O809" s="139"/>
      <c r="P809" s="139"/>
      <c r="Q809" s="139"/>
      <c r="R809" s="156"/>
      <c r="T809" s="247"/>
      <c r="U809"/>
      <c r="V809" s="277"/>
    </row>
    <row r="810" spans="1:22" s="98" customFormat="1" x14ac:dyDescent="0.35">
      <c r="A810" s="27">
        <v>114.91</v>
      </c>
      <c r="B810" s="92">
        <v>37</v>
      </c>
      <c r="C810" s="92" t="s">
        <v>562</v>
      </c>
      <c r="D810" s="22" t="s">
        <v>26</v>
      </c>
      <c r="E810" s="27" t="str">
        <f>VLOOKUP(C810,Resources!B:D,3,FALSE)</f>
        <v>P</v>
      </c>
      <c r="F810" s="22">
        <v>1</v>
      </c>
      <c r="G810" s="97">
        <f>VLOOKUP($A810,'Model Inputs'!$A:$D,4,FALSE)</f>
        <v>66.67</v>
      </c>
      <c r="H810" s="22">
        <f>H809</f>
        <v>36</v>
      </c>
      <c r="I810" s="22">
        <f>VLOOKUP(C810,Resources!B:G,6,FALSE)</f>
        <v>66.069999999999993</v>
      </c>
      <c r="J810" s="139">
        <f t="shared" ref="J810:J815" si="961">(H810/(G810/F810))*I810</f>
        <v>35.676016199190038</v>
      </c>
      <c r="K810" s="139">
        <f t="shared" ref="K810:K815" si="962">IF(E810="M",H810,(H810/(G810)*F810))</f>
        <v>0.53997300134993254</v>
      </c>
      <c r="L810" s="139">
        <f t="shared" ref="L810:L815" si="963">IF(E810="M"," ",K810/F810/Workhrs)</f>
        <v>5.9997000149992506E-2</v>
      </c>
      <c r="M810" s="139">
        <f t="shared" si="957"/>
        <v>0</v>
      </c>
      <c r="N810" s="139">
        <f t="shared" si="958"/>
        <v>0</v>
      </c>
      <c r="O810" s="139">
        <f t="shared" si="959"/>
        <v>35.676016199190038</v>
      </c>
      <c r="P810" s="139">
        <f t="shared" ref="P810:P815" si="964">IF($E810="S",$J810,0)</f>
        <v>0</v>
      </c>
      <c r="Q810" s="139">
        <f t="shared" ref="Q810:Q815" si="965">SUM(M810:P810)</f>
        <v>35.676016199190038</v>
      </c>
      <c r="R810" s="156">
        <v>68</v>
      </c>
      <c r="T810" s="247"/>
      <c r="U810"/>
      <c r="V810" s="277"/>
    </row>
    <row r="811" spans="1:22" s="98" customFormat="1" x14ac:dyDescent="0.35">
      <c r="A811" s="27"/>
      <c r="B811" s="92">
        <v>38</v>
      </c>
      <c r="C811" s="92" t="s">
        <v>576</v>
      </c>
      <c r="D811" s="22" t="s">
        <v>26</v>
      </c>
      <c r="E811" s="27" t="str">
        <f>VLOOKUP(C811,Resources!B:D,3,FALSE)</f>
        <v>P</v>
      </c>
      <c r="F811" s="22">
        <v>1</v>
      </c>
      <c r="G811" s="22">
        <f>G810</f>
        <v>66.67</v>
      </c>
      <c r="H811" s="22">
        <f>H809</f>
        <v>36</v>
      </c>
      <c r="I811" s="22">
        <f>VLOOKUP(C811,Resources!B:G,6,FALSE)</f>
        <v>25.78</v>
      </c>
      <c r="J811" s="139">
        <f t="shared" si="961"/>
        <v>13.920503974801262</v>
      </c>
      <c r="K811" s="139">
        <f t="shared" si="962"/>
        <v>0.53997300134993254</v>
      </c>
      <c r="L811" s="139">
        <f t="shared" si="963"/>
        <v>5.9997000149992506E-2</v>
      </c>
      <c r="M811" s="139">
        <f t="shared" si="957"/>
        <v>0</v>
      </c>
      <c r="N811" s="139">
        <f t="shared" si="958"/>
        <v>0</v>
      </c>
      <c r="O811" s="139">
        <f t="shared" si="959"/>
        <v>13.920503974801262</v>
      </c>
      <c r="P811" s="139">
        <f t="shared" si="964"/>
        <v>0</v>
      </c>
      <c r="Q811" s="139">
        <f t="shared" si="965"/>
        <v>13.920503974801262</v>
      </c>
      <c r="R811" s="156">
        <v>68</v>
      </c>
      <c r="T811" s="247"/>
      <c r="U811"/>
      <c r="V811" s="277"/>
    </row>
    <row r="812" spans="1:22" s="98" customFormat="1" x14ac:dyDescent="0.35">
      <c r="A812" s="27"/>
      <c r="B812" s="92">
        <v>39</v>
      </c>
      <c r="C812" s="92" t="s">
        <v>52</v>
      </c>
      <c r="D812" s="22" t="s">
        <v>26</v>
      </c>
      <c r="E812" s="27" t="str">
        <f>VLOOKUP(C812,Resources!B:D,3,FALSE)</f>
        <v>P</v>
      </c>
      <c r="F812" s="22">
        <v>1</v>
      </c>
      <c r="G812" s="22">
        <f>G810</f>
        <v>66.67</v>
      </c>
      <c r="H812" s="22">
        <f>H809</f>
        <v>36</v>
      </c>
      <c r="I812" s="22">
        <f>VLOOKUP(C812,Resources!B:G,6,FALSE)</f>
        <v>100</v>
      </c>
      <c r="J812" s="139">
        <f t="shared" si="961"/>
        <v>53.997300134993253</v>
      </c>
      <c r="K812" s="139">
        <f t="shared" si="962"/>
        <v>0.53997300134993254</v>
      </c>
      <c r="L812" s="139">
        <f t="shared" si="963"/>
        <v>5.9997000149992506E-2</v>
      </c>
      <c r="M812" s="139">
        <f t="shared" si="957"/>
        <v>0</v>
      </c>
      <c r="N812" s="139">
        <f t="shared" si="958"/>
        <v>0</v>
      </c>
      <c r="O812" s="139">
        <f t="shared" si="959"/>
        <v>53.997300134993253</v>
      </c>
      <c r="P812" s="139">
        <f t="shared" si="964"/>
        <v>0</v>
      </c>
      <c r="Q812" s="139">
        <f t="shared" si="965"/>
        <v>53.997300134993253</v>
      </c>
      <c r="R812" s="156">
        <v>68</v>
      </c>
      <c r="T812" s="247"/>
      <c r="U812"/>
      <c r="V812" s="277"/>
    </row>
    <row r="813" spans="1:22" s="98" customFormat="1" x14ac:dyDescent="0.35">
      <c r="A813" s="27"/>
      <c r="B813" s="92">
        <v>40</v>
      </c>
      <c r="C813" s="92" t="s">
        <v>106</v>
      </c>
      <c r="D813" s="22" t="s">
        <v>26</v>
      </c>
      <c r="E813" s="27" t="str">
        <f>VLOOKUP(C813,Resources!B:D,3,FALSE)</f>
        <v>P</v>
      </c>
      <c r="F813" s="22">
        <v>1</v>
      </c>
      <c r="G813" s="22">
        <f>G810</f>
        <v>66.67</v>
      </c>
      <c r="H813" s="22">
        <f>H809</f>
        <v>36</v>
      </c>
      <c r="I813" s="22">
        <f>VLOOKUP(C813,Resources!B:G,6,FALSE)</f>
        <v>55</v>
      </c>
      <c r="J813" s="139">
        <f t="shared" si="961"/>
        <v>29.698515074246288</v>
      </c>
      <c r="K813" s="139">
        <f t="shared" si="962"/>
        <v>0.53997300134993254</v>
      </c>
      <c r="L813" s="139">
        <f t="shared" si="963"/>
        <v>5.9997000149992506E-2</v>
      </c>
      <c r="M813" s="139">
        <f t="shared" si="957"/>
        <v>0</v>
      </c>
      <c r="N813" s="139">
        <f t="shared" si="958"/>
        <v>0</v>
      </c>
      <c r="O813" s="139">
        <f t="shared" si="959"/>
        <v>29.698515074246288</v>
      </c>
      <c r="P813" s="139">
        <f t="shared" si="964"/>
        <v>0</v>
      </c>
      <c r="Q813" s="139">
        <f t="shared" si="965"/>
        <v>29.698515074246288</v>
      </c>
      <c r="R813" s="156">
        <v>68</v>
      </c>
      <c r="T813" s="247"/>
      <c r="U813"/>
      <c r="V813" s="277"/>
    </row>
    <row r="814" spans="1:22" s="98" customFormat="1" x14ac:dyDescent="0.35">
      <c r="A814" s="27"/>
      <c r="B814" s="92">
        <v>41</v>
      </c>
      <c r="C814" s="92" t="s">
        <v>587</v>
      </c>
      <c r="D814" s="22" t="s">
        <v>26</v>
      </c>
      <c r="E814" s="27" t="str">
        <f>VLOOKUP(C814,Resources!B:D,3,FALSE)</f>
        <v>P</v>
      </c>
      <c r="F814" s="22">
        <v>1</v>
      </c>
      <c r="G814" s="22">
        <f>G810</f>
        <v>66.67</v>
      </c>
      <c r="H814" s="22">
        <f>H809</f>
        <v>36</v>
      </c>
      <c r="I814" s="22">
        <f>VLOOKUP(C814,Resources!B:G,6,FALSE)</f>
        <v>21.61</v>
      </c>
      <c r="J814" s="139">
        <f t="shared" si="961"/>
        <v>11.668816559172042</v>
      </c>
      <c r="K814" s="139">
        <f t="shared" si="962"/>
        <v>0.53997300134993254</v>
      </c>
      <c r="L814" s="139">
        <f t="shared" si="963"/>
        <v>5.9997000149992506E-2</v>
      </c>
      <c r="M814" s="139">
        <f t="shared" si="957"/>
        <v>0</v>
      </c>
      <c r="N814" s="139">
        <f t="shared" si="958"/>
        <v>0</v>
      </c>
      <c r="O814" s="139">
        <f t="shared" si="959"/>
        <v>11.668816559172042</v>
      </c>
      <c r="P814" s="139">
        <f t="shared" si="964"/>
        <v>0</v>
      </c>
      <c r="Q814" s="139">
        <f t="shared" si="965"/>
        <v>11.668816559172042</v>
      </c>
      <c r="R814" s="156">
        <v>68</v>
      </c>
      <c r="T814" s="247"/>
      <c r="U814"/>
      <c r="V814" s="277"/>
    </row>
    <row r="815" spans="1:22" s="98" customFormat="1" x14ac:dyDescent="0.35">
      <c r="A815" s="27"/>
      <c r="B815" s="92">
        <v>42</v>
      </c>
      <c r="C815" s="92" t="s">
        <v>8</v>
      </c>
      <c r="D815" s="22" t="s">
        <v>26</v>
      </c>
      <c r="E815" s="27" t="str">
        <f>VLOOKUP(C815,Resources!B:D,3,FALSE)</f>
        <v>L</v>
      </c>
      <c r="F815" s="22">
        <v>4</v>
      </c>
      <c r="G815" s="22">
        <f>G810</f>
        <v>66.67</v>
      </c>
      <c r="H815" s="22">
        <f>H809</f>
        <v>36</v>
      </c>
      <c r="I815" s="22">
        <f>VLOOKUP(C815,Resources!B:G,6,FALSE)</f>
        <v>42</v>
      </c>
      <c r="J815" s="139">
        <f t="shared" si="961"/>
        <v>90.715464226788669</v>
      </c>
      <c r="K815" s="139">
        <f t="shared" si="962"/>
        <v>2.1598920053997301</v>
      </c>
      <c r="L815" s="139">
        <f t="shared" si="963"/>
        <v>5.9997000149992506E-2</v>
      </c>
      <c r="M815" s="139">
        <f t="shared" si="957"/>
        <v>90.715464226788669</v>
      </c>
      <c r="N815" s="139">
        <f t="shared" si="958"/>
        <v>0</v>
      </c>
      <c r="O815" s="139">
        <f t="shared" si="959"/>
        <v>0</v>
      </c>
      <c r="P815" s="139">
        <f t="shared" si="964"/>
        <v>0</v>
      </c>
      <c r="Q815" s="139">
        <f t="shared" si="965"/>
        <v>90.715464226788669</v>
      </c>
      <c r="R815" s="156">
        <v>68</v>
      </c>
      <c r="T815" s="247"/>
      <c r="U815"/>
      <c r="V815" s="277"/>
    </row>
    <row r="816" spans="1:22" s="98" customFormat="1" x14ac:dyDescent="0.35">
      <c r="A816" s="28"/>
      <c r="B816" s="95"/>
      <c r="C816" s="20" t="s">
        <v>402</v>
      </c>
      <c r="D816" s="17"/>
      <c r="E816" s="28"/>
      <c r="F816" s="23"/>
      <c r="G816" s="23"/>
      <c r="H816" s="23"/>
      <c r="I816" s="23"/>
      <c r="J816" s="140"/>
      <c r="K816" s="140"/>
      <c r="L816" s="140"/>
      <c r="M816" s="140"/>
      <c r="N816" s="140"/>
      <c r="O816" s="140"/>
      <c r="P816" s="140"/>
      <c r="Q816" s="140"/>
      <c r="R816" s="157"/>
      <c r="T816" s="247"/>
      <c r="U816"/>
      <c r="V816" s="277"/>
    </row>
    <row r="817" spans="1:22" s="11" customFormat="1" x14ac:dyDescent="0.35">
      <c r="A817" s="26">
        <v>115</v>
      </c>
      <c r="B817" s="94" t="s">
        <v>271</v>
      </c>
      <c r="C817" s="14" t="s">
        <v>272</v>
      </c>
      <c r="D817" s="24" t="s">
        <v>23</v>
      </c>
      <c r="E817" s="21"/>
      <c r="F817" s="21"/>
      <c r="G817" s="21"/>
      <c r="H817" s="97">
        <f>VLOOKUP($A817,'Model Inputs'!$A:$D,4,FALSE)</f>
        <v>50</v>
      </c>
      <c r="I817" s="15"/>
      <c r="J817" s="138">
        <f>SUBTOTAL(9,J818:J823)</f>
        <v>3241.2213114754099</v>
      </c>
      <c r="K817" s="138"/>
      <c r="L817" s="138">
        <f>ROUNDUP(MAX(L820:L821),0)</f>
        <v>2</v>
      </c>
      <c r="M817" s="138">
        <f t="shared" ref="M817:Q817" si="966">SUBTOTAL(9,M818:M823)</f>
        <v>1590</v>
      </c>
      <c r="N817" s="138">
        <f t="shared" si="966"/>
        <v>651.22131147540983</v>
      </c>
      <c r="O817" s="138">
        <f t="shared" si="966"/>
        <v>1000</v>
      </c>
      <c r="P817" s="138">
        <f t="shared" si="966"/>
        <v>0</v>
      </c>
      <c r="Q817" s="138">
        <f t="shared" si="966"/>
        <v>3241.2213114754099</v>
      </c>
      <c r="R817" s="155"/>
      <c r="T817" s="247"/>
      <c r="U817"/>
      <c r="V817" s="277"/>
    </row>
    <row r="818" spans="1:22" s="98" customFormat="1" x14ac:dyDescent="0.35">
      <c r="A818" s="27"/>
      <c r="B818" s="92">
        <v>1</v>
      </c>
      <c r="C818" s="92" t="s">
        <v>481</v>
      </c>
      <c r="D818" s="22" t="s">
        <v>687</v>
      </c>
      <c r="E818" s="27" t="str">
        <f>VLOOKUP(C818,Resources!B:D,3,FALSE)</f>
        <v>M</v>
      </c>
      <c r="F818" s="22">
        <v>1</v>
      </c>
      <c r="G818" s="22">
        <v>1</v>
      </c>
      <c r="H818" s="22">
        <f>H817</f>
        <v>50</v>
      </c>
      <c r="I818" s="22">
        <f>VLOOKUP(C818,Resources!B:G,6,FALSE)</f>
        <v>9.09</v>
      </c>
      <c r="J818" s="139">
        <f t="shared" ref="J818:J823" si="967">(H818/(G818/F818))*I818</f>
        <v>454.5</v>
      </c>
      <c r="K818" s="139">
        <f t="shared" ref="K818:K823" si="968">IF(E818="M",H818,(H818/(G818)*F818))</f>
        <v>50</v>
      </c>
      <c r="L818" s="139" t="str">
        <f t="shared" ref="L818:L823" si="969">IF(E818="M"," ",K818/F818/Workhrs)</f>
        <v xml:space="preserve"> </v>
      </c>
      <c r="M818" s="139">
        <f t="shared" ref="M818:M823" si="970">IF($E818="L",$J818,0)</f>
        <v>0</v>
      </c>
      <c r="N818" s="139">
        <f t="shared" ref="N818:N823" si="971">IF($E818="M",$J818,0)</f>
        <v>454.5</v>
      </c>
      <c r="O818" s="139">
        <f t="shared" ref="O818:O823" si="972">IF($E818="P",$J818,0)</f>
        <v>0</v>
      </c>
      <c r="P818" s="139">
        <f t="shared" ref="P818:P823" si="973">IF($E818="S",$J818,0)</f>
        <v>0</v>
      </c>
      <c r="Q818" s="139">
        <f t="shared" ref="Q818:Q823" si="974">SUM(M818:P818)</f>
        <v>454.5</v>
      </c>
      <c r="R818" s="156">
        <v>81</v>
      </c>
      <c r="T818" s="247"/>
      <c r="U818"/>
      <c r="V818" s="277"/>
    </row>
    <row r="819" spans="1:22" s="98" customFormat="1" x14ac:dyDescent="0.35">
      <c r="A819" s="27"/>
      <c r="B819" s="92">
        <v>2</v>
      </c>
      <c r="C819" s="92" t="s">
        <v>75</v>
      </c>
      <c r="D819" s="22" t="s">
        <v>54</v>
      </c>
      <c r="E819" s="27" t="str">
        <f>VLOOKUP(C819,Resources!B:D,3,FALSE)</f>
        <v>M</v>
      </c>
      <c r="F819" s="22">
        <v>1</v>
      </c>
      <c r="G819" s="22">
        <v>1</v>
      </c>
      <c r="H819" s="22">
        <f>H817/6.1</f>
        <v>8.1967213114754109</v>
      </c>
      <c r="I819" s="22">
        <f>VLOOKUP(C819,Resources!B:G,6,FALSE)</f>
        <v>24</v>
      </c>
      <c r="J819" s="139">
        <f t="shared" si="967"/>
        <v>196.72131147540986</v>
      </c>
      <c r="K819" s="139">
        <f t="shared" si="968"/>
        <v>8.1967213114754109</v>
      </c>
      <c r="L819" s="139" t="str">
        <f t="shared" si="969"/>
        <v xml:space="preserve"> </v>
      </c>
      <c r="M819" s="139">
        <f t="shared" si="970"/>
        <v>0</v>
      </c>
      <c r="N819" s="139">
        <f t="shared" si="971"/>
        <v>196.72131147540986</v>
      </c>
      <c r="O819" s="139">
        <f t="shared" si="972"/>
        <v>0</v>
      </c>
      <c r="P819" s="139">
        <f t="shared" si="973"/>
        <v>0</v>
      </c>
      <c r="Q819" s="139">
        <f t="shared" si="974"/>
        <v>196.72131147540986</v>
      </c>
      <c r="R819" s="156" t="s">
        <v>692</v>
      </c>
      <c r="T819" s="247"/>
      <c r="U819"/>
      <c r="V819" s="277"/>
    </row>
    <row r="820" spans="1:22" s="98" customFormat="1" x14ac:dyDescent="0.35">
      <c r="A820" s="27">
        <v>115.1</v>
      </c>
      <c r="B820" s="92">
        <v>3</v>
      </c>
      <c r="C820" s="92" t="s">
        <v>570</v>
      </c>
      <c r="D820" s="22" t="s">
        <v>26</v>
      </c>
      <c r="E820" s="27" t="str">
        <f>VLOOKUP(C820,Resources!B:D,3,FALSE)</f>
        <v>P</v>
      </c>
      <c r="F820" s="22">
        <v>1</v>
      </c>
      <c r="G820" s="97">
        <f>VLOOKUP($A820,'Model Inputs'!$A:$D,4,FALSE)</f>
        <v>5</v>
      </c>
      <c r="H820" s="22">
        <f>H817</f>
        <v>50</v>
      </c>
      <c r="I820" s="22">
        <f>VLOOKUP(C820,Resources!B:G,6,FALSE)</f>
        <v>100</v>
      </c>
      <c r="J820" s="139">
        <f t="shared" si="967"/>
        <v>1000</v>
      </c>
      <c r="K820" s="139">
        <f t="shared" si="968"/>
        <v>10</v>
      </c>
      <c r="L820" s="139">
        <f t="shared" si="969"/>
        <v>1.1111111111111112</v>
      </c>
      <c r="M820" s="139">
        <f t="shared" si="970"/>
        <v>0</v>
      </c>
      <c r="N820" s="139">
        <f t="shared" si="971"/>
        <v>0</v>
      </c>
      <c r="O820" s="139">
        <f t="shared" si="972"/>
        <v>1000</v>
      </c>
      <c r="P820" s="139">
        <f t="shared" si="973"/>
        <v>0</v>
      </c>
      <c r="Q820" s="139">
        <f t="shared" si="974"/>
        <v>1000</v>
      </c>
      <c r="R820" s="156">
        <v>81</v>
      </c>
      <c r="T820" s="247"/>
      <c r="U820"/>
      <c r="V820" s="277"/>
    </row>
    <row r="821" spans="1:22" s="98" customFormat="1" x14ac:dyDescent="0.35">
      <c r="A821" s="27"/>
      <c r="B821" s="92">
        <v>4</v>
      </c>
      <c r="C821" s="92" t="s">
        <v>8</v>
      </c>
      <c r="D821" s="22" t="s">
        <v>26</v>
      </c>
      <c r="E821" s="27" t="str">
        <f>VLOOKUP(C821,Resources!B:D,3,FALSE)</f>
        <v>L</v>
      </c>
      <c r="F821" s="22">
        <v>1</v>
      </c>
      <c r="G821" s="22">
        <f>G820</f>
        <v>5</v>
      </c>
      <c r="H821" s="22">
        <f>H817</f>
        <v>50</v>
      </c>
      <c r="I821" s="22">
        <f>VLOOKUP(C821,Resources!B:G,6,FALSE)</f>
        <v>42</v>
      </c>
      <c r="J821" s="139">
        <f t="shared" si="967"/>
        <v>420</v>
      </c>
      <c r="K821" s="139">
        <f t="shared" si="968"/>
        <v>10</v>
      </c>
      <c r="L821" s="139">
        <f t="shared" si="969"/>
        <v>1.1111111111111112</v>
      </c>
      <c r="M821" s="139">
        <f t="shared" si="970"/>
        <v>420</v>
      </c>
      <c r="N821" s="139">
        <f t="shared" si="971"/>
        <v>0</v>
      </c>
      <c r="O821" s="139">
        <f t="shared" si="972"/>
        <v>0</v>
      </c>
      <c r="P821" s="139">
        <f t="shared" si="973"/>
        <v>0</v>
      </c>
      <c r="Q821" s="139">
        <f t="shared" si="974"/>
        <v>420</v>
      </c>
      <c r="R821" s="156">
        <v>81</v>
      </c>
      <c r="T821" s="247"/>
      <c r="U821"/>
      <c r="V821" s="277"/>
    </row>
    <row r="822" spans="1:22" s="98" customFormat="1" x14ac:dyDescent="0.35">
      <c r="A822" s="27"/>
      <c r="B822" s="92">
        <v>5</v>
      </c>
      <c r="C822" s="92" t="s">
        <v>413</v>
      </c>
      <c r="D822" s="22" t="s">
        <v>26</v>
      </c>
      <c r="E822" s="27" t="str">
        <f>VLOOKUP(C822,Resources!B:D,3,FALSE)</f>
        <v>L</v>
      </c>
      <c r="F822" s="22">
        <v>1</v>
      </c>
      <c r="G822" s="22">
        <f>G818</f>
        <v>1</v>
      </c>
      <c r="H822" s="22">
        <v>8</v>
      </c>
      <c r="I822" s="22">
        <f>VLOOKUP(C822,Resources!B:G,6,FALSE)</f>
        <v>120</v>
      </c>
      <c r="J822" s="139">
        <f t="shared" ref="J822" si="975">(H822/(G822/F822))*I822</f>
        <v>960</v>
      </c>
      <c r="K822" s="139">
        <f t="shared" ref="K822" si="976">IF(E822="M",H822,(H822/(G822)*F822))</f>
        <v>8</v>
      </c>
      <c r="L822" s="139">
        <f t="shared" ref="L822" si="977">IF(E822="M"," ",K822/F822/Workhrs)</f>
        <v>0.88888888888888884</v>
      </c>
      <c r="M822" s="139">
        <f t="shared" si="970"/>
        <v>960</v>
      </c>
      <c r="N822" s="139">
        <f t="shared" si="971"/>
        <v>0</v>
      </c>
      <c r="O822" s="139">
        <f t="shared" si="972"/>
        <v>0</v>
      </c>
      <c r="P822" s="139">
        <f t="shared" si="973"/>
        <v>0</v>
      </c>
      <c r="Q822" s="139">
        <f t="shared" ref="Q822" si="978">SUM(M822:P822)</f>
        <v>960</v>
      </c>
      <c r="R822" s="156">
        <v>902</v>
      </c>
      <c r="T822" s="247"/>
      <c r="U822"/>
      <c r="V822" s="277"/>
    </row>
    <row r="823" spans="1:22" s="98" customFormat="1" x14ac:dyDescent="0.35">
      <c r="A823" s="27"/>
      <c r="B823" s="92">
        <v>6</v>
      </c>
      <c r="C823" s="92" t="s">
        <v>412</v>
      </c>
      <c r="D823" s="22" t="s">
        <v>26</v>
      </c>
      <c r="E823" s="27" t="str">
        <f>VLOOKUP(C823,Resources!B:D,3,FALSE)</f>
        <v>L</v>
      </c>
      <c r="F823" s="22">
        <v>1</v>
      </c>
      <c r="G823" s="22">
        <v>1</v>
      </c>
      <c r="H823" s="22">
        <v>2</v>
      </c>
      <c r="I823" s="22">
        <f>VLOOKUP(C823,Resources!B:G,6,FALSE)</f>
        <v>105</v>
      </c>
      <c r="J823" s="139">
        <f t="shared" si="967"/>
        <v>210</v>
      </c>
      <c r="K823" s="139">
        <f t="shared" si="968"/>
        <v>2</v>
      </c>
      <c r="L823" s="139">
        <f t="shared" si="969"/>
        <v>0.22222222222222221</v>
      </c>
      <c r="M823" s="139">
        <f t="shared" si="970"/>
        <v>210</v>
      </c>
      <c r="N823" s="139">
        <f t="shared" si="971"/>
        <v>0</v>
      </c>
      <c r="O823" s="139">
        <f t="shared" si="972"/>
        <v>0</v>
      </c>
      <c r="P823" s="139">
        <f t="shared" si="973"/>
        <v>0</v>
      </c>
      <c r="Q823" s="139">
        <f t="shared" si="974"/>
        <v>210</v>
      </c>
      <c r="R823" s="156">
        <v>902</v>
      </c>
      <c r="T823" s="247"/>
      <c r="U823"/>
      <c r="V823" s="278"/>
    </row>
    <row r="824" spans="1:22" s="146" customFormat="1" x14ac:dyDescent="0.35">
      <c r="A824" s="134"/>
      <c r="B824" s="148"/>
      <c r="C824" s="149"/>
      <c r="D824" s="133"/>
      <c r="E824" s="136"/>
      <c r="F824" s="150"/>
      <c r="G824" s="150"/>
      <c r="H824" s="133"/>
      <c r="I824" s="151"/>
      <c r="J824" s="152"/>
      <c r="K824" s="152"/>
      <c r="L824" s="152"/>
      <c r="M824" s="152"/>
      <c r="N824" s="152"/>
      <c r="O824" s="152"/>
      <c r="P824" s="152"/>
      <c r="Q824" s="152"/>
      <c r="R824" s="159"/>
      <c r="T824" s="247"/>
      <c r="U824"/>
      <c r="V824" s="277"/>
    </row>
    <row r="825" spans="1:22" s="11" customFormat="1" x14ac:dyDescent="0.35">
      <c r="A825" s="26">
        <v>116</v>
      </c>
      <c r="B825" s="94" t="s">
        <v>273</v>
      </c>
      <c r="C825" s="14" t="s">
        <v>274</v>
      </c>
      <c r="D825" s="24" t="s">
        <v>23</v>
      </c>
      <c r="E825" s="21"/>
      <c r="F825" s="21"/>
      <c r="G825" s="21"/>
      <c r="H825" s="24">
        <v>1</v>
      </c>
      <c r="I825" s="15"/>
      <c r="J825" s="138">
        <f>SUBTOTAL(9,J828:J849)</f>
        <v>10385.460524145279</v>
      </c>
      <c r="K825" s="138"/>
      <c r="L825" s="138">
        <f>ROUNDUP(MAX(L828:L835),0)+ROUNDUP(MAX(L839:L844),0)</f>
        <v>2</v>
      </c>
      <c r="M825" s="138">
        <f t="shared" ref="M825:Q825" si="979">SUBTOTAL(9,M828:M849)</f>
        <v>1837.8834168291585</v>
      </c>
      <c r="N825" s="138">
        <f t="shared" si="979"/>
        <v>4424.3904000000002</v>
      </c>
      <c r="O825" s="138">
        <f t="shared" si="979"/>
        <v>4123.1867073161211</v>
      </c>
      <c r="P825" s="138">
        <f t="shared" si="979"/>
        <v>0</v>
      </c>
      <c r="Q825" s="138">
        <f t="shared" si="979"/>
        <v>10385.460524145279</v>
      </c>
      <c r="R825" s="155"/>
      <c r="T825" s="247"/>
      <c r="U825"/>
      <c r="V825" s="277"/>
    </row>
    <row r="826" spans="1:22" s="98" customFormat="1" x14ac:dyDescent="0.35">
      <c r="A826" s="27">
        <v>116.1</v>
      </c>
      <c r="B826" s="92">
        <v>24</v>
      </c>
      <c r="C826" s="141" t="s">
        <v>685</v>
      </c>
      <c r="D826" s="16" t="s">
        <v>690</v>
      </c>
      <c r="E826" s="27"/>
      <c r="F826" s="22"/>
      <c r="G826" s="22"/>
      <c r="H826" s="97">
        <f>VLOOKUP($A826,'Model Inputs'!$A:$D,4,FALSE)</f>
        <v>96.4</v>
      </c>
      <c r="I826" s="22"/>
      <c r="J826" s="139"/>
      <c r="K826" s="139"/>
      <c r="L826" s="139"/>
      <c r="M826" s="139"/>
      <c r="N826" s="139"/>
      <c r="O826" s="139"/>
      <c r="P826" s="139"/>
      <c r="Q826" s="139"/>
      <c r="R826" s="156"/>
      <c r="T826" s="247"/>
      <c r="U826"/>
      <c r="V826" s="277"/>
    </row>
    <row r="827" spans="1:22" s="98" customFormat="1" x14ac:dyDescent="0.35">
      <c r="A827" s="27"/>
      <c r="B827" s="92">
        <v>25</v>
      </c>
      <c r="C827" s="147" t="s">
        <v>104</v>
      </c>
      <c r="D827" s="16"/>
      <c r="E827" s="27"/>
      <c r="F827" s="22"/>
      <c r="G827" s="22"/>
      <c r="H827" s="22"/>
      <c r="I827" s="22"/>
      <c r="J827" s="139"/>
      <c r="K827" s="139"/>
      <c r="L827" s="139"/>
      <c r="M827" s="139"/>
      <c r="N827" s="139"/>
      <c r="O827" s="139"/>
      <c r="P827" s="139"/>
      <c r="Q827" s="139"/>
      <c r="R827" s="156"/>
      <c r="T827" s="247"/>
      <c r="U827"/>
      <c r="V827" s="277"/>
    </row>
    <row r="828" spans="1:22" s="98" customFormat="1" x14ac:dyDescent="0.35">
      <c r="A828" s="27"/>
      <c r="B828" s="92">
        <v>26</v>
      </c>
      <c r="C828" s="19" t="s">
        <v>50</v>
      </c>
      <c r="D828" s="16" t="s">
        <v>26</v>
      </c>
      <c r="E828" s="27" t="str">
        <f>VLOOKUP(C828,Resources!B:D,3,FALSE)</f>
        <v>P</v>
      </c>
      <c r="F828" s="22">
        <v>1</v>
      </c>
      <c r="G828" s="22">
        <v>40</v>
      </c>
      <c r="H828" s="22">
        <f>H826</f>
        <v>96.4</v>
      </c>
      <c r="I828" s="22">
        <f>VLOOKUP(C828,Resources!B:G,6,FALSE)</f>
        <v>135</v>
      </c>
      <c r="J828" s="139">
        <f t="shared" ref="J828:J830" si="980">(H828/(G828/F828))*I828</f>
        <v>325.35000000000002</v>
      </c>
      <c r="K828" s="139">
        <f t="shared" ref="K828:K830" si="981">IF(E828="M",H828,(H828/(G828)*F828))</f>
        <v>2.41</v>
      </c>
      <c r="L828" s="139">
        <f>IF(E828="M"," ",K828/F828/Workhrs)</f>
        <v>0.26777777777777778</v>
      </c>
      <c r="M828" s="139">
        <f t="shared" ref="M828:M830" si="982">IF($E828="L",$J828,0)</f>
        <v>0</v>
      </c>
      <c r="N828" s="139">
        <f t="shared" ref="N828:N830" si="983">IF($E828="M",$J828,0)</f>
        <v>0</v>
      </c>
      <c r="O828" s="139">
        <f t="shared" ref="O828:O830" si="984">IF($E828="P",$J828,0)</f>
        <v>325.35000000000002</v>
      </c>
      <c r="P828" s="139">
        <f>IF($E828="S",$J828,0)</f>
        <v>0</v>
      </c>
      <c r="Q828" s="139">
        <f t="shared" ref="Q828:Q830" si="985">SUM(M828:P828)</f>
        <v>325.35000000000002</v>
      </c>
      <c r="R828" s="156">
        <v>53</v>
      </c>
      <c r="T828" s="247"/>
      <c r="U828"/>
      <c r="V828" s="277"/>
    </row>
    <row r="829" spans="1:22" s="98" customFormat="1" x14ac:dyDescent="0.35">
      <c r="A829" s="27"/>
      <c r="B829" s="92">
        <v>27</v>
      </c>
      <c r="C829" s="19" t="s">
        <v>51</v>
      </c>
      <c r="D829" s="16" t="s">
        <v>26</v>
      </c>
      <c r="E829" s="27" t="str">
        <f>VLOOKUP(C829,Resources!B:D,3,FALSE)</f>
        <v>P</v>
      </c>
      <c r="F829" s="22">
        <v>2</v>
      </c>
      <c r="G829" s="22">
        <v>40</v>
      </c>
      <c r="H829" s="22">
        <f>H826</f>
        <v>96.4</v>
      </c>
      <c r="I829" s="22">
        <f>VLOOKUP(C829,Resources!B:G,6,FALSE)</f>
        <v>95</v>
      </c>
      <c r="J829" s="139">
        <f t="shared" si="980"/>
        <v>457.90000000000003</v>
      </c>
      <c r="K829" s="139">
        <f t="shared" si="981"/>
        <v>4.82</v>
      </c>
      <c r="L829" s="139">
        <f>IF(E829="M"," ",K829/F829/Workhrs)</f>
        <v>0.26777777777777778</v>
      </c>
      <c r="M829" s="139">
        <f t="shared" si="982"/>
        <v>0</v>
      </c>
      <c r="N829" s="139">
        <f t="shared" si="983"/>
        <v>0</v>
      </c>
      <c r="O829" s="139">
        <f t="shared" si="984"/>
        <v>457.90000000000003</v>
      </c>
      <c r="P829" s="139">
        <f>IF($E829="S",$J829,0)</f>
        <v>0</v>
      </c>
      <c r="Q829" s="139">
        <f t="shared" si="985"/>
        <v>457.90000000000003</v>
      </c>
      <c r="R829" s="156">
        <v>53</v>
      </c>
      <c r="T829" s="247"/>
      <c r="U829"/>
      <c r="V829" s="277"/>
    </row>
    <row r="830" spans="1:22" s="98" customFormat="1" x14ac:dyDescent="0.35">
      <c r="A830" s="27"/>
      <c r="B830" s="92">
        <v>28</v>
      </c>
      <c r="C830" s="19" t="s">
        <v>8</v>
      </c>
      <c r="D830" s="16" t="s">
        <v>26</v>
      </c>
      <c r="E830" s="27" t="str">
        <f>VLOOKUP(C830,Resources!B:D,3,FALSE)</f>
        <v>L</v>
      </c>
      <c r="F830" s="22">
        <v>1</v>
      </c>
      <c r="G830" s="22">
        <v>40</v>
      </c>
      <c r="H830" s="22">
        <f>H826</f>
        <v>96.4</v>
      </c>
      <c r="I830" s="22">
        <f>VLOOKUP(C830,Resources!B:G,6,FALSE)</f>
        <v>42</v>
      </c>
      <c r="J830" s="139">
        <f t="shared" si="980"/>
        <v>101.22</v>
      </c>
      <c r="K830" s="139">
        <f t="shared" si="981"/>
        <v>2.41</v>
      </c>
      <c r="L830" s="139">
        <f>IF(E830="M"," ",K830/F830/Workhrs)</f>
        <v>0.26777777777777778</v>
      </c>
      <c r="M830" s="139">
        <f t="shared" si="982"/>
        <v>101.22</v>
      </c>
      <c r="N830" s="139">
        <f t="shared" si="983"/>
        <v>0</v>
      </c>
      <c r="O830" s="139">
        <f t="shared" si="984"/>
        <v>0</v>
      </c>
      <c r="P830" s="139">
        <f>IF($E830="S",$J830,0)</f>
        <v>0</v>
      </c>
      <c r="Q830" s="139">
        <f t="shared" si="985"/>
        <v>101.22</v>
      </c>
      <c r="R830" s="156">
        <v>53</v>
      </c>
      <c r="T830" s="247"/>
      <c r="U830"/>
      <c r="V830" s="277"/>
    </row>
    <row r="831" spans="1:22" s="98" customFormat="1" x14ac:dyDescent="0.35">
      <c r="A831" s="27"/>
      <c r="B831" s="92">
        <v>29</v>
      </c>
      <c r="C831" s="147" t="s">
        <v>105</v>
      </c>
      <c r="D831" s="16"/>
      <c r="E831" s="27"/>
      <c r="F831" s="22"/>
      <c r="G831" s="22"/>
      <c r="H831" s="22"/>
      <c r="I831" s="22"/>
      <c r="J831" s="139"/>
      <c r="K831" s="139"/>
      <c r="L831" s="139"/>
      <c r="M831" s="139"/>
      <c r="N831" s="139"/>
      <c r="O831" s="139"/>
      <c r="P831" s="139"/>
      <c r="Q831" s="139"/>
      <c r="R831" s="156"/>
      <c r="T831" s="247"/>
      <c r="U831"/>
      <c r="V831" s="277"/>
    </row>
    <row r="832" spans="1:22" s="98" customFormat="1" x14ac:dyDescent="0.35">
      <c r="A832" s="27"/>
      <c r="B832" s="92">
        <v>30</v>
      </c>
      <c r="C832" s="19" t="s">
        <v>50</v>
      </c>
      <c r="D832" s="16" t="s">
        <v>26</v>
      </c>
      <c r="E832" s="27" t="str">
        <f>VLOOKUP(C832,Resources!B:D,3,FALSE)</f>
        <v>P</v>
      </c>
      <c r="F832" s="22">
        <v>1</v>
      </c>
      <c r="G832" s="22">
        <v>27.777999999999999</v>
      </c>
      <c r="H832" s="22">
        <f>H826</f>
        <v>96.4</v>
      </c>
      <c r="I832" s="22">
        <f>VLOOKUP(C832,Resources!B:G,6,FALSE)</f>
        <v>135</v>
      </c>
      <c r="J832" s="139">
        <f t="shared" ref="J832:J835" si="986">(H832/(G832/F832))*I832</f>
        <v>468.50025199798409</v>
      </c>
      <c r="K832" s="139">
        <f t="shared" ref="K832:K835" si="987">IF(E832="M",H832,(H832/(G832)*F832))</f>
        <v>3.4703722370221044</v>
      </c>
      <c r="L832" s="139">
        <f>IF(E832="M"," ",K832/F832/Workhrs)</f>
        <v>0.38559691522467826</v>
      </c>
      <c r="M832" s="139">
        <f t="shared" ref="M832:M835" si="988">IF($E832="L",$J832,0)</f>
        <v>0</v>
      </c>
      <c r="N832" s="139">
        <f t="shared" ref="N832:N835" si="989">IF($E832="M",$J832,0)</f>
        <v>0</v>
      </c>
      <c r="O832" s="139">
        <f t="shared" ref="O832:O835" si="990">IF($E832="P",$J832,0)</f>
        <v>468.50025199798409</v>
      </c>
      <c r="P832" s="139">
        <f>IF($E832="S",$J832,0)</f>
        <v>0</v>
      </c>
      <c r="Q832" s="139">
        <f t="shared" ref="Q832:Q835" si="991">SUM(M832:P832)</f>
        <v>468.50025199798409</v>
      </c>
      <c r="R832" s="156">
        <v>53</v>
      </c>
      <c r="T832" s="247"/>
      <c r="U832"/>
      <c r="V832" s="277"/>
    </row>
    <row r="833" spans="1:22" s="98" customFormat="1" x14ac:dyDescent="0.35">
      <c r="A833" s="27"/>
      <c r="B833" s="92">
        <v>31</v>
      </c>
      <c r="C833" s="19" t="s">
        <v>51</v>
      </c>
      <c r="D833" s="16" t="s">
        <v>26</v>
      </c>
      <c r="E833" s="27" t="str">
        <f>VLOOKUP(C833,Resources!B:D,3,FALSE)</f>
        <v>P</v>
      </c>
      <c r="F833" s="22">
        <v>2</v>
      </c>
      <c r="G833" s="22">
        <v>27.777999999999999</v>
      </c>
      <c r="H833" s="22">
        <f>H826</f>
        <v>96.4</v>
      </c>
      <c r="I833" s="22">
        <f>VLOOKUP(C833,Resources!B:G,6,FALSE)</f>
        <v>95</v>
      </c>
      <c r="J833" s="139">
        <f t="shared" si="986"/>
        <v>659.37072503419984</v>
      </c>
      <c r="K833" s="139">
        <f t="shared" si="987"/>
        <v>6.9407444740442088</v>
      </c>
      <c r="L833" s="139">
        <f>IF(E833="M"," ",K833/F833/Workhrs)</f>
        <v>0.38559691522467826</v>
      </c>
      <c r="M833" s="139">
        <f t="shared" si="988"/>
        <v>0</v>
      </c>
      <c r="N833" s="139">
        <f t="shared" si="989"/>
        <v>0</v>
      </c>
      <c r="O833" s="139">
        <f t="shared" si="990"/>
        <v>659.37072503419984</v>
      </c>
      <c r="P833" s="139">
        <f>IF($E833="S",$J833,0)</f>
        <v>0</v>
      </c>
      <c r="Q833" s="139">
        <f t="shared" si="991"/>
        <v>659.37072503419984</v>
      </c>
      <c r="R833" s="156">
        <v>53</v>
      </c>
      <c r="T833" s="247"/>
      <c r="U833"/>
      <c r="V833" s="277"/>
    </row>
    <row r="834" spans="1:22" s="98" customFormat="1" x14ac:dyDescent="0.35">
      <c r="A834" s="27"/>
      <c r="B834" s="92">
        <v>32</v>
      </c>
      <c r="C834" s="19" t="s">
        <v>63</v>
      </c>
      <c r="D834" s="16" t="s">
        <v>26</v>
      </c>
      <c r="E834" s="27" t="str">
        <f>VLOOKUP(C834,Resources!B:D,3,FALSE)</f>
        <v>P</v>
      </c>
      <c r="F834" s="22">
        <v>1</v>
      </c>
      <c r="G834" s="22">
        <v>27.777999999999999</v>
      </c>
      <c r="H834" s="22">
        <f>H826</f>
        <v>96.4</v>
      </c>
      <c r="I834" s="22">
        <f>VLOOKUP(C834,Resources!B:G,6,FALSE)</f>
        <v>135</v>
      </c>
      <c r="J834" s="139">
        <f t="shared" si="986"/>
        <v>468.50025199798409</v>
      </c>
      <c r="K834" s="139">
        <f t="shared" si="987"/>
        <v>3.4703722370221044</v>
      </c>
      <c r="L834" s="139">
        <f>IF(E834="M"," ",K834/F834/Workhrs)</f>
        <v>0.38559691522467826</v>
      </c>
      <c r="M834" s="139">
        <f t="shared" si="988"/>
        <v>0</v>
      </c>
      <c r="N834" s="139">
        <f t="shared" si="989"/>
        <v>0</v>
      </c>
      <c r="O834" s="139">
        <f t="shared" si="990"/>
        <v>468.50025199798409</v>
      </c>
      <c r="P834" s="139">
        <f>IF($E834="S",$J834,0)</f>
        <v>0</v>
      </c>
      <c r="Q834" s="139">
        <f t="shared" si="991"/>
        <v>468.50025199798409</v>
      </c>
      <c r="R834" s="156">
        <v>53</v>
      </c>
      <c r="T834" s="247"/>
      <c r="U834"/>
      <c r="V834" s="277"/>
    </row>
    <row r="835" spans="1:22" s="98" customFormat="1" x14ac:dyDescent="0.35">
      <c r="A835" s="27"/>
      <c r="B835" s="92">
        <v>33</v>
      </c>
      <c r="C835" s="19" t="s">
        <v>106</v>
      </c>
      <c r="D835" s="16" t="s">
        <v>26</v>
      </c>
      <c r="E835" s="27" t="str">
        <f>VLOOKUP(C835,Resources!B:D,3,FALSE)</f>
        <v>P</v>
      </c>
      <c r="F835" s="22">
        <v>1</v>
      </c>
      <c r="G835" s="22">
        <v>27.777999999999999</v>
      </c>
      <c r="H835" s="22">
        <f>H826</f>
        <v>96.4</v>
      </c>
      <c r="I835" s="22">
        <f>VLOOKUP(C835,Resources!B:G,6,FALSE)</f>
        <v>55</v>
      </c>
      <c r="J835" s="139">
        <f t="shared" si="986"/>
        <v>190.87047303621574</v>
      </c>
      <c r="K835" s="139">
        <f t="shared" si="987"/>
        <v>3.4703722370221044</v>
      </c>
      <c r="L835" s="139">
        <f>IF(E835="M"," ",K835/F835/Workhrs)</f>
        <v>0.38559691522467826</v>
      </c>
      <c r="M835" s="139">
        <f t="shared" si="988"/>
        <v>0</v>
      </c>
      <c r="N835" s="139">
        <f t="shared" si="989"/>
        <v>0</v>
      </c>
      <c r="O835" s="139">
        <f t="shared" si="990"/>
        <v>190.87047303621574</v>
      </c>
      <c r="P835" s="139">
        <f>IF($E835="S",$J835,0)</f>
        <v>0</v>
      </c>
      <c r="Q835" s="139">
        <f t="shared" si="991"/>
        <v>190.87047303621574</v>
      </c>
      <c r="R835" s="156">
        <v>53</v>
      </c>
      <c r="T835" s="247"/>
      <c r="U835"/>
      <c r="V835" s="277"/>
    </row>
    <row r="836" spans="1:22" s="98" customFormat="1" x14ac:dyDescent="0.35">
      <c r="A836" s="27"/>
      <c r="B836" s="92">
        <v>34</v>
      </c>
      <c r="C836" s="147" t="s">
        <v>686</v>
      </c>
      <c r="D836" s="16"/>
      <c r="E836" s="27"/>
      <c r="F836" s="22"/>
      <c r="G836" s="22"/>
      <c r="H836" s="22"/>
      <c r="I836" s="22"/>
      <c r="J836" s="139"/>
      <c r="K836" s="139"/>
      <c r="L836" s="139"/>
      <c r="M836" s="139"/>
      <c r="N836" s="139"/>
      <c r="O836" s="139"/>
      <c r="P836" s="139"/>
      <c r="Q836" s="139"/>
      <c r="R836" s="156"/>
      <c r="T836" s="247"/>
      <c r="U836"/>
      <c r="V836" s="277"/>
    </row>
    <row r="837" spans="1:22" s="98" customFormat="1" x14ac:dyDescent="0.35">
      <c r="A837" s="27">
        <v>116.2</v>
      </c>
      <c r="B837" s="92">
        <v>35</v>
      </c>
      <c r="C837" s="19" t="s">
        <v>76</v>
      </c>
      <c r="D837" s="16" t="s">
        <v>54</v>
      </c>
      <c r="E837" s="27" t="str">
        <f>VLOOKUP(C837,Resources!B:D,3,FALSE)</f>
        <v>M</v>
      </c>
      <c r="F837" s="22">
        <v>1</v>
      </c>
      <c r="G837" s="97">
        <f>VLOOKUP($A837,'Model Inputs'!$A:$D,4,FALSE)</f>
        <v>1.2E-2</v>
      </c>
      <c r="H837" s="22">
        <f>H838*G837</f>
        <v>4.6272000000000002</v>
      </c>
      <c r="I837" s="22">
        <f>VLOOKUP(C837,Resources!B:G,6,FALSE)</f>
        <v>357</v>
      </c>
      <c r="J837" s="139">
        <f>H837*I837</f>
        <v>1651.9104</v>
      </c>
      <c r="K837" s="139">
        <f t="shared" ref="K837" si="992">IF(E837="M",H837,(H837/(G837)*F837))</f>
        <v>4.6272000000000002</v>
      </c>
      <c r="L837" s="139" t="str">
        <f>IF(E837="M"," ",K837/F837/Workhrs)</f>
        <v xml:space="preserve"> </v>
      </c>
      <c r="M837" s="139">
        <f t="shared" ref="M837:M849" si="993">IF($E837="L",$J837,0)</f>
        <v>0</v>
      </c>
      <c r="N837" s="139">
        <f t="shared" ref="N837:N849" si="994">IF($E837="M",$J837,0)</f>
        <v>1651.9104</v>
      </c>
      <c r="O837" s="139">
        <f t="shared" ref="O837:O849" si="995">IF($E837="P",$J837,0)</f>
        <v>0</v>
      </c>
      <c r="P837" s="139">
        <f>IF($E837="S",$J837,0)</f>
        <v>0</v>
      </c>
      <c r="Q837" s="139">
        <f t="shared" ref="Q837" si="996">SUM(M837:P837)</f>
        <v>1651.9104</v>
      </c>
      <c r="R837" s="156" t="s">
        <v>693</v>
      </c>
      <c r="T837" s="247"/>
      <c r="U837"/>
      <c r="V837" s="277"/>
    </row>
    <row r="838" spans="1:22" s="98" customFormat="1" x14ac:dyDescent="0.35">
      <c r="A838" s="27"/>
      <c r="B838" s="92">
        <v>36</v>
      </c>
      <c r="C838" s="147" t="s">
        <v>95</v>
      </c>
      <c r="D838" s="16"/>
      <c r="E838" s="27"/>
      <c r="F838" s="22"/>
      <c r="G838" s="22"/>
      <c r="H838" s="22">
        <f>H826/0.25</f>
        <v>385.6</v>
      </c>
      <c r="I838" s="22"/>
      <c r="J838" s="139"/>
      <c r="K838" s="139"/>
      <c r="L838" s="139"/>
      <c r="M838" s="139"/>
      <c r="N838" s="139"/>
      <c r="O838" s="139"/>
      <c r="P838" s="139"/>
      <c r="Q838" s="139"/>
      <c r="R838" s="156"/>
      <c r="T838" s="247"/>
      <c r="U838"/>
      <c r="V838" s="277"/>
    </row>
    <row r="839" spans="1:22" s="98" customFormat="1" x14ac:dyDescent="0.35">
      <c r="A839" s="27">
        <v>116.3</v>
      </c>
      <c r="B839" s="92">
        <v>37</v>
      </c>
      <c r="C839" s="92" t="s">
        <v>562</v>
      </c>
      <c r="D839" s="22" t="s">
        <v>26</v>
      </c>
      <c r="E839" s="27" t="str">
        <f>VLOOKUP(C839,Resources!B:D,3,FALSE)</f>
        <v>P</v>
      </c>
      <c r="F839" s="22">
        <v>1</v>
      </c>
      <c r="G839" s="97">
        <f>VLOOKUP($A839,'Model Inputs'!$A:$D,4,FALSE)</f>
        <v>66.67</v>
      </c>
      <c r="H839" s="22">
        <f>H838</f>
        <v>385.6</v>
      </c>
      <c r="I839" s="22">
        <f>VLOOKUP(C839,Resources!B:G,6,FALSE)</f>
        <v>66.069999999999993</v>
      </c>
      <c r="J839" s="139">
        <f t="shared" ref="J839:J844" si="997">(H839/(G839/F839))*I839</f>
        <v>382.1297735113244</v>
      </c>
      <c r="K839" s="139">
        <f t="shared" ref="K839:K844" si="998">IF(E839="M",H839,(H839/(G839)*F839))</f>
        <v>5.783710814459277</v>
      </c>
      <c r="L839" s="139">
        <f t="shared" ref="L839:L844" si="999">IF(E839="M"," ",K839/F839/Workhrs)</f>
        <v>0.64263453493991962</v>
      </c>
      <c r="M839" s="139">
        <f t="shared" si="993"/>
        <v>0</v>
      </c>
      <c r="N839" s="139">
        <f t="shared" si="994"/>
        <v>0</v>
      </c>
      <c r="O839" s="139">
        <f t="shared" si="995"/>
        <v>382.1297735113244</v>
      </c>
      <c r="P839" s="139">
        <f t="shared" ref="P839:P849" si="1000">IF($E839="S",$J839,0)</f>
        <v>0</v>
      </c>
      <c r="Q839" s="139">
        <f t="shared" ref="Q839:Q844" si="1001">SUM(M839:P839)</f>
        <v>382.1297735113244</v>
      </c>
      <c r="R839" s="156">
        <v>68</v>
      </c>
      <c r="T839" s="247"/>
      <c r="U839"/>
      <c r="V839" s="277"/>
    </row>
    <row r="840" spans="1:22" s="98" customFormat="1" x14ac:dyDescent="0.35">
      <c r="A840" s="27"/>
      <c r="B840" s="92">
        <v>38</v>
      </c>
      <c r="C840" s="92" t="s">
        <v>576</v>
      </c>
      <c r="D840" s="22" t="s">
        <v>26</v>
      </c>
      <c r="E840" s="27" t="str">
        <f>VLOOKUP(C840,Resources!B:D,3,FALSE)</f>
        <v>P</v>
      </c>
      <c r="F840" s="22">
        <v>1</v>
      </c>
      <c r="G840" s="22">
        <f>G839</f>
        <v>66.67</v>
      </c>
      <c r="H840" s="22">
        <f>H838</f>
        <v>385.6</v>
      </c>
      <c r="I840" s="22">
        <f>VLOOKUP(C840,Resources!B:G,6,FALSE)</f>
        <v>25.78</v>
      </c>
      <c r="J840" s="139">
        <f t="shared" si="997"/>
        <v>149.10406479676016</v>
      </c>
      <c r="K840" s="139">
        <f t="shared" si="998"/>
        <v>5.783710814459277</v>
      </c>
      <c r="L840" s="139">
        <f t="shared" si="999"/>
        <v>0.64263453493991962</v>
      </c>
      <c r="M840" s="139">
        <f t="shared" si="993"/>
        <v>0</v>
      </c>
      <c r="N840" s="139">
        <f t="shared" si="994"/>
        <v>0</v>
      </c>
      <c r="O840" s="139">
        <f t="shared" si="995"/>
        <v>149.10406479676016</v>
      </c>
      <c r="P840" s="139">
        <f t="shared" si="1000"/>
        <v>0</v>
      </c>
      <c r="Q840" s="139">
        <f t="shared" si="1001"/>
        <v>149.10406479676016</v>
      </c>
      <c r="R840" s="156">
        <v>68</v>
      </c>
      <c r="T840" s="247"/>
      <c r="U840"/>
      <c r="V840" s="277"/>
    </row>
    <row r="841" spans="1:22" s="98" customFormat="1" x14ac:dyDescent="0.35">
      <c r="A841" s="27"/>
      <c r="B841" s="92">
        <v>39</v>
      </c>
      <c r="C841" s="92" t="s">
        <v>52</v>
      </c>
      <c r="D841" s="22" t="s">
        <v>26</v>
      </c>
      <c r="E841" s="27" t="str">
        <f>VLOOKUP(C841,Resources!B:D,3,FALSE)</f>
        <v>P</v>
      </c>
      <c r="F841" s="22">
        <v>1</v>
      </c>
      <c r="G841" s="22">
        <f>G839</f>
        <v>66.67</v>
      </c>
      <c r="H841" s="22">
        <f>H838</f>
        <v>385.6</v>
      </c>
      <c r="I841" s="22">
        <f>VLOOKUP(C841,Resources!B:G,6,FALSE)</f>
        <v>100</v>
      </c>
      <c r="J841" s="139">
        <f t="shared" si="997"/>
        <v>578.37108144592776</v>
      </c>
      <c r="K841" s="139">
        <f t="shared" si="998"/>
        <v>5.783710814459277</v>
      </c>
      <c r="L841" s="139">
        <f t="shared" si="999"/>
        <v>0.64263453493991962</v>
      </c>
      <c r="M841" s="139">
        <f t="shared" si="993"/>
        <v>0</v>
      </c>
      <c r="N841" s="139">
        <f t="shared" si="994"/>
        <v>0</v>
      </c>
      <c r="O841" s="139">
        <f t="shared" si="995"/>
        <v>578.37108144592776</v>
      </c>
      <c r="P841" s="139">
        <f t="shared" si="1000"/>
        <v>0</v>
      </c>
      <c r="Q841" s="139">
        <f t="shared" si="1001"/>
        <v>578.37108144592776</v>
      </c>
      <c r="R841" s="156">
        <v>68</v>
      </c>
      <c r="T841" s="247"/>
      <c r="U841"/>
      <c r="V841" s="277"/>
    </row>
    <row r="842" spans="1:22" s="98" customFormat="1" x14ac:dyDescent="0.35">
      <c r="A842" s="27"/>
      <c r="B842" s="92">
        <v>40</v>
      </c>
      <c r="C842" s="92" t="s">
        <v>106</v>
      </c>
      <c r="D842" s="22" t="s">
        <v>26</v>
      </c>
      <c r="E842" s="27" t="str">
        <f>VLOOKUP(C842,Resources!B:D,3,FALSE)</f>
        <v>P</v>
      </c>
      <c r="F842" s="22">
        <v>1</v>
      </c>
      <c r="G842" s="22">
        <f>G839</f>
        <v>66.67</v>
      </c>
      <c r="H842" s="22">
        <f>H838</f>
        <v>385.6</v>
      </c>
      <c r="I842" s="22">
        <f>VLOOKUP(C842,Resources!B:G,6,FALSE)</f>
        <v>55</v>
      </c>
      <c r="J842" s="139">
        <f t="shared" si="997"/>
        <v>318.10409479526021</v>
      </c>
      <c r="K842" s="139">
        <f t="shared" si="998"/>
        <v>5.783710814459277</v>
      </c>
      <c r="L842" s="139">
        <f t="shared" si="999"/>
        <v>0.64263453493991962</v>
      </c>
      <c r="M842" s="139">
        <f t="shared" si="993"/>
        <v>0</v>
      </c>
      <c r="N842" s="139">
        <f t="shared" si="994"/>
        <v>0</v>
      </c>
      <c r="O842" s="139">
        <f t="shared" si="995"/>
        <v>318.10409479526021</v>
      </c>
      <c r="P842" s="139">
        <f t="shared" si="1000"/>
        <v>0</v>
      </c>
      <c r="Q842" s="139">
        <f t="shared" si="1001"/>
        <v>318.10409479526021</v>
      </c>
      <c r="R842" s="156">
        <v>68</v>
      </c>
      <c r="T842" s="247"/>
      <c r="U842"/>
      <c r="V842" s="277"/>
    </row>
    <row r="843" spans="1:22" s="98" customFormat="1" x14ac:dyDescent="0.35">
      <c r="A843" s="27"/>
      <c r="B843" s="92">
        <v>41</v>
      </c>
      <c r="C843" s="92" t="s">
        <v>587</v>
      </c>
      <c r="D843" s="22" t="s">
        <v>26</v>
      </c>
      <c r="E843" s="27" t="str">
        <f>VLOOKUP(C843,Resources!B:D,3,FALSE)</f>
        <v>P</v>
      </c>
      <c r="F843" s="22">
        <v>1</v>
      </c>
      <c r="G843" s="22">
        <f>G839</f>
        <v>66.67</v>
      </c>
      <c r="H843" s="22">
        <f>H838</f>
        <v>385.6</v>
      </c>
      <c r="I843" s="22">
        <f>VLOOKUP(C843,Resources!B:G,6,FALSE)</f>
        <v>21.61</v>
      </c>
      <c r="J843" s="139">
        <f t="shared" si="997"/>
        <v>124.98599070046497</v>
      </c>
      <c r="K843" s="139">
        <f t="shared" si="998"/>
        <v>5.783710814459277</v>
      </c>
      <c r="L843" s="139">
        <f t="shared" si="999"/>
        <v>0.64263453493991962</v>
      </c>
      <c r="M843" s="139">
        <f t="shared" si="993"/>
        <v>0</v>
      </c>
      <c r="N843" s="139">
        <f t="shared" si="994"/>
        <v>0</v>
      </c>
      <c r="O843" s="139">
        <f t="shared" si="995"/>
        <v>124.98599070046497</v>
      </c>
      <c r="P843" s="139">
        <f t="shared" si="1000"/>
        <v>0</v>
      </c>
      <c r="Q843" s="139">
        <f t="shared" si="1001"/>
        <v>124.98599070046497</v>
      </c>
      <c r="R843" s="156">
        <v>68</v>
      </c>
      <c r="T843" s="247"/>
      <c r="U843"/>
      <c r="V843" s="277"/>
    </row>
    <row r="844" spans="1:22" s="98" customFormat="1" x14ac:dyDescent="0.35">
      <c r="A844" s="27"/>
      <c r="B844" s="92">
        <v>42</v>
      </c>
      <c r="C844" s="92" t="s">
        <v>8</v>
      </c>
      <c r="D844" s="22" t="s">
        <v>26</v>
      </c>
      <c r="E844" s="27" t="str">
        <f>VLOOKUP(C844,Resources!B:D,3,FALSE)</f>
        <v>L</v>
      </c>
      <c r="F844" s="22">
        <v>4</v>
      </c>
      <c r="G844" s="22">
        <f>G839</f>
        <v>66.67</v>
      </c>
      <c r="H844" s="22">
        <f>H838</f>
        <v>385.6</v>
      </c>
      <c r="I844" s="22">
        <f>VLOOKUP(C844,Resources!B:G,6,FALSE)</f>
        <v>42</v>
      </c>
      <c r="J844" s="139">
        <f t="shared" si="997"/>
        <v>971.66341682915856</v>
      </c>
      <c r="K844" s="139">
        <f t="shared" si="998"/>
        <v>23.134843257837108</v>
      </c>
      <c r="L844" s="139">
        <f t="shared" si="999"/>
        <v>0.64263453493991962</v>
      </c>
      <c r="M844" s="139">
        <f t="shared" si="993"/>
        <v>971.66341682915856</v>
      </c>
      <c r="N844" s="139">
        <f t="shared" si="994"/>
        <v>0</v>
      </c>
      <c r="O844" s="139">
        <f t="shared" si="995"/>
        <v>0</v>
      </c>
      <c r="P844" s="139">
        <f t="shared" si="1000"/>
        <v>0</v>
      </c>
      <c r="Q844" s="139">
        <f t="shared" si="1001"/>
        <v>971.66341682915856</v>
      </c>
      <c r="R844" s="156">
        <v>68</v>
      </c>
      <c r="T844" s="247"/>
      <c r="U844"/>
      <c r="V844" s="277"/>
    </row>
    <row r="845" spans="1:22" s="98" customFormat="1" x14ac:dyDescent="0.35">
      <c r="A845" s="27">
        <v>116.4</v>
      </c>
      <c r="B845" s="92">
        <v>43</v>
      </c>
      <c r="C845" s="153" t="s">
        <v>688</v>
      </c>
      <c r="D845" s="22"/>
      <c r="E845" s="27"/>
      <c r="F845" s="22"/>
      <c r="G845" s="22"/>
      <c r="H845" s="97">
        <f>VLOOKUP($A845,'Model Inputs'!$A:$D,4,FALSE)</f>
        <v>380</v>
      </c>
      <c r="I845" s="22"/>
      <c r="J845" s="139"/>
      <c r="K845" s="139"/>
      <c r="L845" s="139"/>
      <c r="M845" s="139"/>
      <c r="N845" s="139"/>
      <c r="O845" s="139"/>
      <c r="P845" s="139"/>
      <c r="Q845" s="139"/>
      <c r="R845" s="156"/>
      <c r="T845" s="247"/>
      <c r="U845"/>
      <c r="V845" s="277"/>
    </row>
    <row r="846" spans="1:22" s="98" customFormat="1" x14ac:dyDescent="0.35">
      <c r="A846" s="27"/>
      <c r="B846" s="92">
        <v>44</v>
      </c>
      <c r="C846" s="92" t="s">
        <v>546</v>
      </c>
      <c r="D846" s="22" t="s">
        <v>709</v>
      </c>
      <c r="E846" s="27" t="str">
        <f>VLOOKUP(C846,Resources!B:D,3,FALSE)</f>
        <v>M</v>
      </c>
      <c r="F846" s="22">
        <v>1</v>
      </c>
      <c r="G846" s="22">
        <v>1</v>
      </c>
      <c r="H846" s="22">
        <f>H845*1.2</f>
        <v>456</v>
      </c>
      <c r="I846" s="22">
        <f>VLOOKUP(C846,Resources!B:G,6,FALSE)</f>
        <v>5.03</v>
      </c>
      <c r="J846" s="139">
        <f t="shared" ref="J846:J849" si="1002">(H846/(G846/F846))*I846</f>
        <v>2293.6800000000003</v>
      </c>
      <c r="K846" s="139">
        <f t="shared" ref="K846:K849" si="1003">IF(E846="M",H846,(H846/(G846)*F846))</f>
        <v>456</v>
      </c>
      <c r="L846" s="139" t="str">
        <f t="shared" ref="L846:L849" si="1004">IF(E846="M"," ",K846/F846/Workhrs)</f>
        <v xml:space="preserve"> </v>
      </c>
      <c r="M846" s="139">
        <f t="shared" si="993"/>
        <v>0</v>
      </c>
      <c r="N846" s="139">
        <f t="shared" si="994"/>
        <v>2293.6800000000003</v>
      </c>
      <c r="O846" s="139">
        <f t="shared" si="995"/>
        <v>0</v>
      </c>
      <c r="P846" s="139">
        <f t="shared" si="1000"/>
        <v>0</v>
      </c>
      <c r="Q846" s="139">
        <f t="shared" ref="Q846:Q849" si="1005">SUM(M846:P846)</f>
        <v>2293.6800000000003</v>
      </c>
      <c r="R846" s="156">
        <v>68</v>
      </c>
      <c r="T846" s="247"/>
      <c r="U846"/>
      <c r="V846" s="277"/>
    </row>
    <row r="847" spans="1:22" s="98" customFormat="1" x14ac:dyDescent="0.35">
      <c r="A847" s="27"/>
      <c r="B847" s="92">
        <v>45</v>
      </c>
      <c r="C847" s="92" t="s">
        <v>461</v>
      </c>
      <c r="D847" s="22" t="s">
        <v>709</v>
      </c>
      <c r="E847" s="27" t="str">
        <f>VLOOKUP(C847,Resources!B:D,3,FALSE)</f>
        <v>M</v>
      </c>
      <c r="F847" s="22">
        <v>1</v>
      </c>
      <c r="G847" s="22">
        <v>1</v>
      </c>
      <c r="H847" s="22">
        <f>H845*1.2</f>
        <v>456</v>
      </c>
      <c r="I847" s="22">
        <f>VLOOKUP(C847,Resources!B:G,6,FALSE)</f>
        <v>1.05</v>
      </c>
      <c r="J847" s="139">
        <f t="shared" si="1002"/>
        <v>478.8</v>
      </c>
      <c r="K847" s="139">
        <f t="shared" si="1003"/>
        <v>456</v>
      </c>
      <c r="L847" s="139" t="str">
        <f t="shared" si="1004"/>
        <v xml:space="preserve"> </v>
      </c>
      <c r="M847" s="139">
        <f t="shared" si="993"/>
        <v>0</v>
      </c>
      <c r="N847" s="139">
        <f t="shared" si="994"/>
        <v>478.8</v>
      </c>
      <c r="O847" s="139">
        <f t="shared" si="995"/>
        <v>0</v>
      </c>
      <c r="P847" s="139">
        <f t="shared" si="1000"/>
        <v>0</v>
      </c>
      <c r="Q847" s="139">
        <f t="shared" si="1005"/>
        <v>478.8</v>
      </c>
      <c r="R847" s="156">
        <v>68</v>
      </c>
      <c r="T847" s="247"/>
      <c r="U847"/>
      <c r="V847" s="277"/>
    </row>
    <row r="848" spans="1:22" s="98" customFormat="1" x14ac:dyDescent="0.35">
      <c r="A848" s="27"/>
      <c r="B848" s="92">
        <v>46</v>
      </c>
      <c r="C848" s="92" t="s">
        <v>413</v>
      </c>
      <c r="D848" s="22" t="s">
        <v>26</v>
      </c>
      <c r="E848" s="27" t="str">
        <f>VLOOKUP(C848,Resources!B:D,3,FALSE)</f>
        <v>L</v>
      </c>
      <c r="F848" s="22">
        <v>1</v>
      </c>
      <c r="G848" s="22">
        <v>1</v>
      </c>
      <c r="H848" s="22">
        <v>2</v>
      </c>
      <c r="I848" s="22">
        <f>VLOOKUP(C848,Resources!B:G,6,FALSE)</f>
        <v>120</v>
      </c>
      <c r="J848" s="139">
        <f t="shared" si="1002"/>
        <v>240</v>
      </c>
      <c r="K848" s="139">
        <f t="shared" si="1003"/>
        <v>2</v>
      </c>
      <c r="L848" s="139">
        <f t="shared" si="1004"/>
        <v>0.22222222222222221</v>
      </c>
      <c r="M848" s="139">
        <f t="shared" si="993"/>
        <v>240</v>
      </c>
      <c r="N848" s="139">
        <f t="shared" si="994"/>
        <v>0</v>
      </c>
      <c r="O848" s="139">
        <f t="shared" si="995"/>
        <v>0</v>
      </c>
      <c r="P848" s="139">
        <f t="shared" si="1000"/>
        <v>0</v>
      </c>
      <c r="Q848" s="139">
        <f t="shared" si="1005"/>
        <v>240</v>
      </c>
      <c r="R848" s="156">
        <v>902</v>
      </c>
      <c r="T848" s="247"/>
      <c r="U848"/>
      <c r="V848" s="277"/>
    </row>
    <row r="849" spans="1:22" s="98" customFormat="1" x14ac:dyDescent="0.35">
      <c r="A849" s="27"/>
      <c r="B849" s="92">
        <v>47</v>
      </c>
      <c r="C849" s="92" t="s">
        <v>412</v>
      </c>
      <c r="D849" s="22" t="s">
        <v>26</v>
      </c>
      <c r="E849" s="27" t="str">
        <f>VLOOKUP(C849,Resources!B:D,3,FALSE)</f>
        <v>L</v>
      </c>
      <c r="F849" s="22">
        <v>1</v>
      </c>
      <c r="G849" s="22">
        <v>1</v>
      </c>
      <c r="H849" s="22">
        <v>5</v>
      </c>
      <c r="I849" s="22">
        <f>VLOOKUP(C849,Resources!B:G,6,FALSE)</f>
        <v>105</v>
      </c>
      <c r="J849" s="139">
        <f t="shared" si="1002"/>
        <v>525</v>
      </c>
      <c r="K849" s="139">
        <f t="shared" si="1003"/>
        <v>5</v>
      </c>
      <c r="L849" s="139">
        <f t="shared" si="1004"/>
        <v>0.55555555555555558</v>
      </c>
      <c r="M849" s="139">
        <f t="shared" si="993"/>
        <v>525</v>
      </c>
      <c r="N849" s="139">
        <f t="shared" si="994"/>
        <v>0</v>
      </c>
      <c r="O849" s="139">
        <f t="shared" si="995"/>
        <v>0</v>
      </c>
      <c r="P849" s="139">
        <f t="shared" si="1000"/>
        <v>0</v>
      </c>
      <c r="Q849" s="139">
        <f t="shared" si="1005"/>
        <v>525</v>
      </c>
      <c r="R849" s="156">
        <v>902</v>
      </c>
      <c r="T849" s="247"/>
      <c r="U849"/>
      <c r="V849" s="277"/>
    </row>
    <row r="850" spans="1:22" s="98" customFormat="1" x14ac:dyDescent="0.35">
      <c r="A850" s="28"/>
      <c r="B850" s="95"/>
      <c r="C850" s="20" t="s">
        <v>402</v>
      </c>
      <c r="D850" s="17"/>
      <c r="E850" s="28"/>
      <c r="F850" s="23"/>
      <c r="G850" s="23"/>
      <c r="H850" s="23"/>
      <c r="I850" s="23"/>
      <c r="J850" s="140"/>
      <c r="K850" s="140"/>
      <c r="L850" s="140"/>
      <c r="M850" s="140"/>
      <c r="N850" s="140"/>
      <c r="O850" s="140"/>
      <c r="P850" s="140"/>
      <c r="Q850" s="140"/>
      <c r="R850" s="157"/>
      <c r="T850" s="247"/>
      <c r="U850"/>
      <c r="V850" s="277"/>
    </row>
    <row r="851" spans="1:22" s="11" customFormat="1" x14ac:dyDescent="0.35">
      <c r="A851" s="26">
        <v>117</v>
      </c>
      <c r="B851" s="94" t="s">
        <v>275</v>
      </c>
      <c r="C851" s="14" t="s">
        <v>276</v>
      </c>
      <c r="D851" s="24" t="s">
        <v>23</v>
      </c>
      <c r="E851" s="21"/>
      <c r="F851" s="21"/>
      <c r="G851" s="21"/>
      <c r="H851" s="97">
        <f>VLOOKUP($A851,'Model Inputs'!$A:$D,4,FALSE)</f>
        <v>1</v>
      </c>
      <c r="I851" s="15"/>
      <c r="J851" s="138">
        <f>SUBTOTAL(9,J852)</f>
        <v>13500</v>
      </c>
      <c r="K851" s="138"/>
      <c r="L851" s="138">
        <f>ROUNDUP(L852,0)</f>
        <v>1</v>
      </c>
      <c r="M851" s="138">
        <f t="shared" ref="M851" si="1006">SUBTOTAL(9,M852)</f>
        <v>0</v>
      </c>
      <c r="N851" s="138">
        <f t="shared" ref="N851" si="1007">SUBTOTAL(9,N852)</f>
        <v>0</v>
      </c>
      <c r="O851" s="138">
        <f t="shared" ref="O851" si="1008">SUBTOTAL(9,O852)</f>
        <v>0</v>
      </c>
      <c r="P851" s="138">
        <f t="shared" ref="P851" si="1009">SUBTOTAL(9,P852)</f>
        <v>13500</v>
      </c>
      <c r="Q851" s="138">
        <f t="shared" ref="Q851" si="1010">SUBTOTAL(9,Q852)</f>
        <v>13500</v>
      </c>
      <c r="R851" s="155"/>
      <c r="T851" s="247"/>
      <c r="U851"/>
      <c r="V851" s="277"/>
    </row>
    <row r="852" spans="1:22" s="98" customFormat="1" x14ac:dyDescent="0.35">
      <c r="A852" s="27"/>
      <c r="B852" s="92">
        <v>1</v>
      </c>
      <c r="C852" s="92" t="s">
        <v>639</v>
      </c>
      <c r="D852" s="22" t="s">
        <v>247</v>
      </c>
      <c r="E852" s="27" t="str">
        <f>VLOOKUP(C852,Resources!B:D,3,FALSE)</f>
        <v>S</v>
      </c>
      <c r="F852" s="22">
        <v>13500</v>
      </c>
      <c r="G852" s="22">
        <v>1</v>
      </c>
      <c r="H852" s="22">
        <f>H851</f>
        <v>1</v>
      </c>
      <c r="I852" s="22">
        <f>VLOOKUP(C852,Resources!B:G,6,FALSE)</f>
        <v>1</v>
      </c>
      <c r="J852" s="139">
        <f t="shared" ref="J852" si="1011">(H852/(G852/F852))*I852</f>
        <v>13500</v>
      </c>
      <c r="K852" s="139">
        <f t="shared" ref="K852" si="1012">IF(E852="M",H852,(H852/(G852)*F852))</f>
        <v>13500</v>
      </c>
      <c r="L852" s="139">
        <f t="shared" ref="L852" si="1013">IF(E852="M"," ",K852/F852/Workhrs)</f>
        <v>0.1111111111111111</v>
      </c>
      <c r="M852" s="139">
        <f t="shared" ref="M852" si="1014">IF($E852="L",$J852,0)</f>
        <v>0</v>
      </c>
      <c r="N852" s="139">
        <f t="shared" ref="N852" si="1015">IF($E852="M",$J852,0)</f>
        <v>0</v>
      </c>
      <c r="O852" s="139">
        <f t="shared" ref="O852" si="1016">IF($E852="P",$J852,0)</f>
        <v>0</v>
      </c>
      <c r="P852" s="139">
        <f t="shared" ref="P852" si="1017">IF($E852="S",$J852,0)</f>
        <v>13500</v>
      </c>
      <c r="Q852" s="139">
        <f t="shared" ref="Q852" si="1018">SUM(M852:P852)</f>
        <v>13500</v>
      </c>
      <c r="R852" s="156">
        <v>103</v>
      </c>
      <c r="T852" s="247"/>
      <c r="U852"/>
      <c r="V852" s="277"/>
    </row>
    <row r="853" spans="1:22" s="98" customFormat="1" x14ac:dyDescent="0.35">
      <c r="A853" s="28"/>
      <c r="B853" s="95"/>
      <c r="C853" s="20" t="s">
        <v>402</v>
      </c>
      <c r="D853" s="17"/>
      <c r="E853" s="28"/>
      <c r="F853" s="23"/>
      <c r="G853" s="23"/>
      <c r="H853" s="23"/>
      <c r="I853" s="23"/>
      <c r="J853" s="140"/>
      <c r="K853" s="140"/>
      <c r="L853" s="140"/>
      <c r="M853" s="140"/>
      <c r="N853" s="140"/>
      <c r="O853" s="140"/>
      <c r="P853" s="140"/>
      <c r="Q853" s="140"/>
      <c r="R853" s="157"/>
      <c r="T853" s="247"/>
      <c r="U853"/>
      <c r="V853" s="277"/>
    </row>
    <row r="854" spans="1:22" s="11" customFormat="1" x14ac:dyDescent="0.35">
      <c r="A854" s="26">
        <v>118</v>
      </c>
      <c r="B854" s="94" t="s">
        <v>277</v>
      </c>
      <c r="C854" s="14" t="s">
        <v>278</v>
      </c>
      <c r="D854" s="24" t="s">
        <v>23</v>
      </c>
      <c r="E854" s="21"/>
      <c r="F854" s="21"/>
      <c r="G854" s="21"/>
      <c r="H854" s="24">
        <v>1</v>
      </c>
      <c r="I854" s="15"/>
      <c r="J854" s="138">
        <f>SUBTOTAL(9,J855:J863)</f>
        <v>5796</v>
      </c>
      <c r="K854" s="138"/>
      <c r="L854" s="138">
        <f>ROUNDUP(MAX(L855:L858),0)+ROUNDUP(H863/5000,0)</f>
        <v>3</v>
      </c>
      <c r="M854" s="138">
        <f t="shared" ref="M854:Q854" si="1019">SUBTOTAL(9,M855:M863)</f>
        <v>1122</v>
      </c>
      <c r="N854" s="138">
        <f t="shared" si="1019"/>
        <v>0</v>
      </c>
      <c r="O854" s="138">
        <f t="shared" si="1019"/>
        <v>3449</v>
      </c>
      <c r="P854" s="138">
        <f t="shared" si="1019"/>
        <v>1225</v>
      </c>
      <c r="Q854" s="138">
        <f t="shared" si="1019"/>
        <v>5796</v>
      </c>
      <c r="R854" s="155"/>
      <c r="T854" s="247"/>
      <c r="U854"/>
      <c r="V854" s="277"/>
    </row>
    <row r="855" spans="1:22" s="98" customFormat="1" x14ac:dyDescent="0.35">
      <c r="A855" s="27">
        <v>118.1</v>
      </c>
      <c r="B855" s="92">
        <v>1</v>
      </c>
      <c r="C855" s="92" t="s">
        <v>50</v>
      </c>
      <c r="D855" s="22" t="s">
        <v>26</v>
      </c>
      <c r="E855" s="27" t="str">
        <f>VLOOKUP(C855,Resources!B:D,3,FALSE)</f>
        <v>P</v>
      </c>
      <c r="F855" s="22">
        <v>1</v>
      </c>
      <c r="G855" s="22">
        <v>1</v>
      </c>
      <c r="H855" s="97">
        <f>VLOOKUP($A855,'Model Inputs'!$A:$D,4,FALSE)</f>
        <v>18</v>
      </c>
      <c r="I855" s="22">
        <f>VLOOKUP(C855,Resources!B:G,6,FALSE)</f>
        <v>135</v>
      </c>
      <c r="J855" s="139">
        <f t="shared" ref="J855:J857" si="1020">(H855/(G855/F855))*I855</f>
        <v>2430</v>
      </c>
      <c r="K855" s="139">
        <f t="shared" ref="K855:K857" si="1021">IF(E855="M",H855,(H855/(G855)*F855))</f>
        <v>18</v>
      </c>
      <c r="L855" s="139">
        <f t="shared" ref="L855:L857" si="1022">IF(E855="M"," ",K855/F855/Workhrs)</f>
        <v>2</v>
      </c>
      <c r="M855" s="139">
        <f t="shared" ref="M855:M863" si="1023">IF($E855="L",$J855,0)</f>
        <v>0</v>
      </c>
      <c r="N855" s="139">
        <f t="shared" ref="N855:N863" si="1024">IF($E855="M",$J855,0)</f>
        <v>0</v>
      </c>
      <c r="O855" s="139">
        <f t="shared" ref="O855:O863" si="1025">IF($E855="P",$J855,0)</f>
        <v>2430</v>
      </c>
      <c r="P855" s="139">
        <f t="shared" ref="P855:P863" si="1026">IF($E855="S",$J855,0)</f>
        <v>0</v>
      </c>
      <c r="Q855" s="139">
        <f t="shared" ref="Q855:Q857" si="1027">SUM(M855:P855)</f>
        <v>2430</v>
      </c>
      <c r="R855" s="156">
        <v>53</v>
      </c>
      <c r="T855" s="247"/>
      <c r="U855"/>
      <c r="V855" s="277"/>
    </row>
    <row r="856" spans="1:22" s="98" customFormat="1" x14ac:dyDescent="0.35">
      <c r="A856" s="27"/>
      <c r="B856" s="92">
        <v>2</v>
      </c>
      <c r="C856" s="92" t="s">
        <v>561</v>
      </c>
      <c r="D856" s="22" t="s">
        <v>26</v>
      </c>
      <c r="E856" s="27" t="str">
        <f>VLOOKUP(C856,Resources!B:D,3,FALSE)</f>
        <v>P</v>
      </c>
      <c r="F856" s="22">
        <v>1</v>
      </c>
      <c r="G856" s="22">
        <v>1</v>
      </c>
      <c r="H856" s="22">
        <f>H855/3</f>
        <v>6</v>
      </c>
      <c r="I856" s="22">
        <f>VLOOKUP(C856,Resources!B:G,6,FALSE)</f>
        <v>46.5</v>
      </c>
      <c r="J856" s="139">
        <f t="shared" si="1020"/>
        <v>279</v>
      </c>
      <c r="K856" s="139">
        <f t="shared" si="1021"/>
        <v>6</v>
      </c>
      <c r="L856" s="139">
        <f t="shared" si="1022"/>
        <v>0.66666666666666663</v>
      </c>
      <c r="M856" s="139">
        <f t="shared" si="1023"/>
        <v>0</v>
      </c>
      <c r="N856" s="139">
        <f t="shared" si="1024"/>
        <v>0</v>
      </c>
      <c r="O856" s="139">
        <f t="shared" si="1025"/>
        <v>279</v>
      </c>
      <c r="P856" s="139">
        <f t="shared" si="1026"/>
        <v>0</v>
      </c>
      <c r="Q856" s="139">
        <f t="shared" si="1027"/>
        <v>279</v>
      </c>
      <c r="R856" s="156">
        <v>53</v>
      </c>
      <c r="T856" s="247"/>
      <c r="U856"/>
      <c r="V856" s="277"/>
    </row>
    <row r="857" spans="1:22" s="98" customFormat="1" x14ac:dyDescent="0.35">
      <c r="A857" s="27"/>
      <c r="B857" s="92">
        <v>3</v>
      </c>
      <c r="C857" s="92" t="s">
        <v>106</v>
      </c>
      <c r="D857" s="22" t="s">
        <v>26</v>
      </c>
      <c r="E857" s="27" t="str">
        <f>VLOOKUP(C857,Resources!B:D,3,FALSE)</f>
        <v>P</v>
      </c>
      <c r="F857" s="22">
        <v>1</v>
      </c>
      <c r="G857" s="22">
        <v>1</v>
      </c>
      <c r="H857" s="22">
        <f>H855/4.5</f>
        <v>4</v>
      </c>
      <c r="I857" s="22">
        <f>VLOOKUP(C857,Resources!B:G,6,FALSE)</f>
        <v>55</v>
      </c>
      <c r="J857" s="139">
        <f t="shared" si="1020"/>
        <v>220</v>
      </c>
      <c r="K857" s="139">
        <f t="shared" si="1021"/>
        <v>4</v>
      </c>
      <c r="L857" s="139">
        <f t="shared" si="1022"/>
        <v>0.44444444444444442</v>
      </c>
      <c r="M857" s="139">
        <f t="shared" si="1023"/>
        <v>0</v>
      </c>
      <c r="N857" s="139">
        <f t="shared" si="1024"/>
        <v>0</v>
      </c>
      <c r="O857" s="139">
        <f t="shared" si="1025"/>
        <v>220</v>
      </c>
      <c r="P857" s="139">
        <f t="shared" si="1026"/>
        <v>0</v>
      </c>
      <c r="Q857" s="139">
        <f t="shared" si="1027"/>
        <v>220</v>
      </c>
      <c r="R857" s="156">
        <v>53</v>
      </c>
      <c r="T857" s="247"/>
      <c r="U857"/>
      <c r="V857" s="277"/>
    </row>
    <row r="858" spans="1:22" s="98" customFormat="1" x14ac:dyDescent="0.35">
      <c r="A858" s="27"/>
      <c r="B858" s="92">
        <v>4</v>
      </c>
      <c r="C858" s="92" t="s">
        <v>8</v>
      </c>
      <c r="D858" s="22" t="s">
        <v>26</v>
      </c>
      <c r="E858" s="27" t="str">
        <f>VLOOKUP(C858,Resources!B:D,3,FALSE)</f>
        <v>L</v>
      </c>
      <c r="F858" s="22">
        <v>1</v>
      </c>
      <c r="G858" s="22">
        <v>1</v>
      </c>
      <c r="H858" s="22">
        <f>H857</f>
        <v>4</v>
      </c>
      <c r="I858" s="22">
        <f>VLOOKUP(C858,Resources!B:G,6,FALSE)</f>
        <v>42</v>
      </c>
      <c r="J858" s="139">
        <f t="shared" ref="J858" si="1028">(H858/(G858/F858))*I858</f>
        <v>168</v>
      </c>
      <c r="K858" s="139">
        <f t="shared" ref="K858" si="1029">IF(E858="M",H858,(H858/(G858)*F858))</f>
        <v>4</v>
      </c>
      <c r="L858" s="139">
        <f t="shared" ref="L858" si="1030">IF(E858="M"," ",K858/F858/Workhrs)</f>
        <v>0.44444444444444442</v>
      </c>
      <c r="M858" s="139">
        <f t="shared" si="1023"/>
        <v>168</v>
      </c>
      <c r="N858" s="139">
        <f t="shared" si="1024"/>
        <v>0</v>
      </c>
      <c r="O858" s="139">
        <f t="shared" si="1025"/>
        <v>0</v>
      </c>
      <c r="P858" s="139">
        <f t="shared" si="1026"/>
        <v>0</v>
      </c>
      <c r="Q858" s="139">
        <f t="shared" ref="Q858" si="1031">SUM(M858:P858)</f>
        <v>168</v>
      </c>
      <c r="R858" s="156">
        <v>53</v>
      </c>
      <c r="T858" s="247"/>
      <c r="U858"/>
      <c r="V858" s="277"/>
    </row>
    <row r="859" spans="1:22" s="98" customFormat="1" x14ac:dyDescent="0.35">
      <c r="A859" s="27"/>
      <c r="B859" s="92">
        <v>4</v>
      </c>
      <c r="C859" s="92" t="s">
        <v>78</v>
      </c>
      <c r="D859" s="22" t="s">
        <v>26</v>
      </c>
      <c r="E859" s="27" t="str">
        <f>VLOOKUP(C859,Resources!B:D,3,FALSE)</f>
        <v>P</v>
      </c>
      <c r="F859" s="22">
        <v>520</v>
      </c>
      <c r="G859" s="22">
        <v>1</v>
      </c>
      <c r="H859" s="22">
        <v>1</v>
      </c>
      <c r="I859" s="22">
        <f>VLOOKUP(C859,Resources!B:G,6,FALSE)</f>
        <v>1</v>
      </c>
      <c r="J859" s="139">
        <f t="shared" ref="J859:J863" si="1032">(H859/(G859/F859))*I859</f>
        <v>520</v>
      </c>
      <c r="K859" s="139">
        <f t="shared" ref="K859:K863" si="1033">IF(E859="M",H859,(H859/(G859)*F859))</f>
        <v>520</v>
      </c>
      <c r="L859" s="139">
        <f t="shared" ref="L859:L863" si="1034">IF(E859="M"," ",K859/F859/Workhrs)</f>
        <v>0.1111111111111111</v>
      </c>
      <c r="M859" s="139">
        <f t="shared" si="1023"/>
        <v>0</v>
      </c>
      <c r="N859" s="139">
        <f t="shared" si="1024"/>
        <v>0</v>
      </c>
      <c r="O859" s="139">
        <f t="shared" si="1025"/>
        <v>520</v>
      </c>
      <c r="P859" s="139">
        <f t="shared" si="1026"/>
        <v>0</v>
      </c>
      <c r="Q859" s="139">
        <f t="shared" ref="Q859:Q863" si="1035">SUM(M859:P859)</f>
        <v>520</v>
      </c>
      <c r="R859" s="156">
        <v>53</v>
      </c>
      <c r="T859" s="247"/>
      <c r="U859"/>
      <c r="V859" s="277"/>
    </row>
    <row r="860" spans="1:22" s="98" customFormat="1" x14ac:dyDescent="0.35">
      <c r="A860" s="27"/>
      <c r="B860" s="92">
        <v>5</v>
      </c>
      <c r="C860" s="92" t="s">
        <v>412</v>
      </c>
      <c r="D860" s="22" t="s">
        <v>26</v>
      </c>
      <c r="E860" s="27" t="str">
        <f>VLOOKUP(C860,Resources!B:D,3,FALSE)</f>
        <v>L</v>
      </c>
      <c r="F860" s="22">
        <v>1</v>
      </c>
      <c r="G860" s="22">
        <v>1</v>
      </c>
      <c r="H860" s="22">
        <f>H855/3</f>
        <v>6</v>
      </c>
      <c r="I860" s="22">
        <f>VLOOKUP(C860,Resources!B:G,6,FALSE)</f>
        <v>105</v>
      </c>
      <c r="J860" s="139">
        <f t="shared" si="1032"/>
        <v>630</v>
      </c>
      <c r="K860" s="139">
        <f t="shared" si="1033"/>
        <v>6</v>
      </c>
      <c r="L860" s="139">
        <f t="shared" si="1034"/>
        <v>0.66666666666666663</v>
      </c>
      <c r="M860" s="139">
        <f t="shared" si="1023"/>
        <v>630</v>
      </c>
      <c r="N860" s="139">
        <f t="shared" si="1024"/>
        <v>0</v>
      </c>
      <c r="O860" s="139">
        <f t="shared" si="1025"/>
        <v>0</v>
      </c>
      <c r="P860" s="139">
        <f t="shared" si="1026"/>
        <v>0</v>
      </c>
      <c r="Q860" s="139">
        <f t="shared" si="1035"/>
        <v>630</v>
      </c>
      <c r="R860" s="156">
        <v>53</v>
      </c>
      <c r="T860" s="247"/>
      <c r="U860"/>
      <c r="V860" s="277"/>
    </row>
    <row r="861" spans="1:22" s="98" customFormat="1" x14ac:dyDescent="0.35">
      <c r="A861" s="27"/>
      <c r="B861" s="92">
        <v>6</v>
      </c>
      <c r="C861" s="92" t="s">
        <v>413</v>
      </c>
      <c r="D861" s="22" t="s">
        <v>26</v>
      </c>
      <c r="E861" s="27" t="str">
        <f>VLOOKUP(C861,Resources!B:D,3,FALSE)</f>
        <v>L</v>
      </c>
      <c r="F861" s="22">
        <v>1</v>
      </c>
      <c r="G861" s="22">
        <v>1</v>
      </c>
      <c r="H861" s="22">
        <f>H855/9</f>
        <v>2</v>
      </c>
      <c r="I861" s="22">
        <f>VLOOKUP(C861,Resources!B:G,6,FALSE)</f>
        <v>120</v>
      </c>
      <c r="J861" s="139">
        <f t="shared" si="1032"/>
        <v>240</v>
      </c>
      <c r="K861" s="139">
        <f t="shared" si="1033"/>
        <v>2</v>
      </c>
      <c r="L861" s="139">
        <f t="shared" si="1034"/>
        <v>0.22222222222222221</v>
      </c>
      <c r="M861" s="139">
        <f t="shared" si="1023"/>
        <v>240</v>
      </c>
      <c r="N861" s="139">
        <f t="shared" si="1024"/>
        <v>0</v>
      </c>
      <c r="O861" s="139">
        <f t="shared" si="1025"/>
        <v>0</v>
      </c>
      <c r="P861" s="139">
        <f t="shared" si="1026"/>
        <v>0</v>
      </c>
      <c r="Q861" s="139">
        <f t="shared" si="1035"/>
        <v>240</v>
      </c>
      <c r="R861" s="156">
        <v>53</v>
      </c>
      <c r="T861" s="247"/>
      <c r="U861"/>
      <c r="V861" s="277"/>
    </row>
    <row r="862" spans="1:22" s="98" customFormat="1" x14ac:dyDescent="0.35">
      <c r="A862" s="27"/>
      <c r="B862" s="92">
        <v>7</v>
      </c>
      <c r="C862" s="92" t="s">
        <v>8</v>
      </c>
      <c r="D862" s="22" t="s">
        <v>26</v>
      </c>
      <c r="E862" s="27" t="str">
        <f>VLOOKUP(C862,Resources!B:D,3,FALSE)</f>
        <v>L</v>
      </c>
      <c r="F862" s="22">
        <v>1</v>
      </c>
      <c r="G862" s="22">
        <v>1</v>
      </c>
      <c r="H862" s="22">
        <f>H855/9</f>
        <v>2</v>
      </c>
      <c r="I862" s="22">
        <f>VLOOKUP(C862,Resources!B:G,6,FALSE)</f>
        <v>42</v>
      </c>
      <c r="J862" s="139">
        <f t="shared" si="1032"/>
        <v>84</v>
      </c>
      <c r="K862" s="139">
        <f t="shared" si="1033"/>
        <v>2</v>
      </c>
      <c r="L862" s="139">
        <f t="shared" si="1034"/>
        <v>0.22222222222222221</v>
      </c>
      <c r="M862" s="139">
        <f t="shared" si="1023"/>
        <v>84</v>
      </c>
      <c r="N862" s="139">
        <f t="shared" si="1024"/>
        <v>0</v>
      </c>
      <c r="O862" s="139">
        <f t="shared" si="1025"/>
        <v>0</v>
      </c>
      <c r="P862" s="139">
        <f t="shared" si="1026"/>
        <v>0</v>
      </c>
      <c r="Q862" s="139">
        <f t="shared" si="1035"/>
        <v>84</v>
      </c>
      <c r="R862" s="156">
        <v>53</v>
      </c>
      <c r="T862" s="247"/>
      <c r="U862"/>
      <c r="V862" s="277"/>
    </row>
    <row r="863" spans="1:22" s="98" customFormat="1" x14ac:dyDescent="0.35">
      <c r="A863" s="27">
        <v>118.2</v>
      </c>
      <c r="B863" s="92">
        <v>8</v>
      </c>
      <c r="C863" s="92" t="s">
        <v>127</v>
      </c>
      <c r="D863" s="22" t="s">
        <v>26</v>
      </c>
      <c r="E863" s="27" t="str">
        <f>VLOOKUP(C863,Resources!B:D,3,FALSE)</f>
        <v>S</v>
      </c>
      <c r="F863" s="22">
        <v>1</v>
      </c>
      <c r="G863" s="22">
        <v>1</v>
      </c>
      <c r="H863" s="97">
        <f>VLOOKUP($A863,'Model Inputs'!$A:$D,4,FALSE)</f>
        <v>500</v>
      </c>
      <c r="I863" s="22">
        <f>VLOOKUP(C863,Resources!B:G,6,FALSE)</f>
        <v>2.4500000000000002</v>
      </c>
      <c r="J863" s="139">
        <f t="shared" si="1032"/>
        <v>1225</v>
      </c>
      <c r="K863" s="139">
        <f t="shared" si="1033"/>
        <v>500</v>
      </c>
      <c r="L863" s="139">
        <f t="shared" si="1034"/>
        <v>55.555555555555557</v>
      </c>
      <c r="M863" s="139">
        <f t="shared" si="1023"/>
        <v>0</v>
      </c>
      <c r="N863" s="139">
        <f t="shared" si="1024"/>
        <v>0</v>
      </c>
      <c r="O863" s="139">
        <f t="shared" si="1025"/>
        <v>0</v>
      </c>
      <c r="P863" s="139">
        <f t="shared" si="1026"/>
        <v>1225</v>
      </c>
      <c r="Q863" s="139">
        <f t="shared" si="1035"/>
        <v>1225</v>
      </c>
      <c r="R863" s="156">
        <v>53</v>
      </c>
      <c r="T863" s="247"/>
      <c r="U863"/>
      <c r="V863" s="277"/>
    </row>
    <row r="864" spans="1:22" s="98" customFormat="1" x14ac:dyDescent="0.35">
      <c r="A864" s="28"/>
      <c r="B864" s="95"/>
      <c r="C864" s="20" t="s">
        <v>402</v>
      </c>
      <c r="D864" s="17"/>
      <c r="E864" s="28"/>
      <c r="F864" s="23"/>
      <c r="G864" s="23"/>
      <c r="H864" s="23"/>
      <c r="I864" s="23"/>
      <c r="J864" s="140"/>
      <c r="K864" s="140"/>
      <c r="L864" s="140"/>
      <c r="M864" s="140"/>
      <c r="N864" s="140"/>
      <c r="O864" s="140"/>
      <c r="P864" s="140"/>
      <c r="Q864" s="140"/>
      <c r="R864" s="157"/>
      <c r="T864" s="247"/>
      <c r="U864"/>
      <c r="V864" s="277"/>
    </row>
    <row r="865" spans="1:22" s="11" customFormat="1" x14ac:dyDescent="0.35">
      <c r="A865" s="26">
        <v>119</v>
      </c>
      <c r="B865" s="94" t="s">
        <v>279</v>
      </c>
      <c r="C865" s="14" t="s">
        <v>280</v>
      </c>
      <c r="D865" s="24" t="s">
        <v>23</v>
      </c>
      <c r="E865" s="21"/>
      <c r="F865" s="21"/>
      <c r="G865" s="21"/>
      <c r="H865" s="24">
        <v>1</v>
      </c>
      <c r="I865" s="15"/>
      <c r="J865" s="138">
        <f>SUBTOTAL(9,J867:J889)</f>
        <v>2127.1545723164704</v>
      </c>
      <c r="K865" s="138"/>
      <c r="L865" s="138">
        <f>ROUNDUP(MAX(L869:L875),0)+ROUNDUP(MAX(L879:L887),0)+ROUNDUP(H889/2000,0)</f>
        <v>3</v>
      </c>
      <c r="M865" s="138">
        <f t="shared" ref="M865:Q865" si="1036">SUBTOTAL(9,M867:M889)</f>
        <v>277.75751138628635</v>
      </c>
      <c r="N865" s="138">
        <f t="shared" si="1036"/>
        <v>1383.7184</v>
      </c>
      <c r="O865" s="138">
        <f t="shared" si="1036"/>
        <v>383.69466093018377</v>
      </c>
      <c r="P865" s="138">
        <f t="shared" si="1036"/>
        <v>81.983999999999995</v>
      </c>
      <c r="Q865" s="138">
        <f t="shared" si="1036"/>
        <v>2127.1545723164704</v>
      </c>
      <c r="R865" s="155"/>
      <c r="T865" s="247"/>
      <c r="U865"/>
      <c r="V865" s="277"/>
    </row>
    <row r="866" spans="1:22" s="98" customFormat="1" x14ac:dyDescent="0.35">
      <c r="A866" s="27">
        <v>119.1</v>
      </c>
      <c r="B866" s="92">
        <v>1</v>
      </c>
      <c r="C866" s="141" t="s">
        <v>676</v>
      </c>
      <c r="D866" s="16"/>
      <c r="E866" s="27"/>
      <c r="F866" s="22"/>
      <c r="G866" s="22"/>
      <c r="H866" s="97">
        <f>VLOOKUP($A866,'Model Inputs'!$A:$D,4,FALSE)</f>
        <v>4.88</v>
      </c>
      <c r="I866" s="22"/>
      <c r="J866" s="139"/>
      <c r="K866" s="139"/>
      <c r="L866" s="139"/>
      <c r="M866" s="139"/>
      <c r="N866" s="139"/>
      <c r="O866" s="139"/>
      <c r="P866" s="139"/>
      <c r="Q866" s="139"/>
      <c r="R866" s="156"/>
      <c r="T866" s="247"/>
      <c r="U866"/>
      <c r="V866" s="277"/>
    </row>
    <row r="867" spans="1:22" s="98" customFormat="1" ht="15" customHeight="1" x14ac:dyDescent="0.35">
      <c r="A867" s="27"/>
      <c r="B867" s="92">
        <v>2</v>
      </c>
      <c r="C867" s="19" t="s">
        <v>169</v>
      </c>
      <c r="D867" s="16" t="s">
        <v>54</v>
      </c>
      <c r="E867" s="27" t="str">
        <f>VLOOKUP(C867,Resources!B:D,3,FALSE)</f>
        <v>M</v>
      </c>
      <c r="F867" s="22">
        <v>1</v>
      </c>
      <c r="G867" s="22">
        <v>1</v>
      </c>
      <c r="H867" s="22">
        <f>H865*0.8*0.6*1.5</f>
        <v>0.72</v>
      </c>
      <c r="I867" s="22">
        <f>VLOOKUP(C867,Resources!B:G,6,FALSE)</f>
        <v>68.599999999999994</v>
      </c>
      <c r="J867" s="139">
        <f t="shared" ref="J867" si="1037">(H867/(G867/F867))*I867</f>
        <v>49.391999999999996</v>
      </c>
      <c r="K867" s="139">
        <f t="shared" ref="K867" si="1038">IF(E867="M",H867,(H867/(G867)*F867))</f>
        <v>0.72</v>
      </c>
      <c r="L867" s="139" t="str">
        <f>IF(E867="M"," ",K867/F867/Workhrs)</f>
        <v xml:space="preserve"> </v>
      </c>
      <c r="M867" s="139">
        <f t="shared" ref="M867:M873" si="1039">IF($E867="L",$J867,0)</f>
        <v>0</v>
      </c>
      <c r="N867" s="139">
        <f t="shared" ref="N867:N873" si="1040">IF($E867="M",$J867,0)</f>
        <v>49.391999999999996</v>
      </c>
      <c r="O867" s="139">
        <f t="shared" ref="O867:O873" si="1041">IF($E867="P",$J867,0)</f>
        <v>0</v>
      </c>
      <c r="P867" s="139">
        <f>IF($E867="S",$J867,0)</f>
        <v>0</v>
      </c>
      <c r="Q867" s="139">
        <f t="shared" ref="Q867" si="1042">SUM(M867:P867)</f>
        <v>49.391999999999996</v>
      </c>
      <c r="R867" s="156" t="s">
        <v>696</v>
      </c>
      <c r="T867" s="247"/>
      <c r="U867"/>
      <c r="V867" s="277"/>
    </row>
    <row r="868" spans="1:22" s="98" customFormat="1" ht="15" customHeight="1" x14ac:dyDescent="0.35">
      <c r="A868" s="27"/>
      <c r="B868" s="92">
        <v>3</v>
      </c>
      <c r="C868" s="19" t="s">
        <v>75</v>
      </c>
      <c r="D868" s="16" t="s">
        <v>54</v>
      </c>
      <c r="E868" s="27" t="str">
        <f>VLOOKUP(C868,Resources!B:D,3,FALSE)</f>
        <v>M</v>
      </c>
      <c r="F868" s="22">
        <v>1</v>
      </c>
      <c r="G868" s="22">
        <v>1</v>
      </c>
      <c r="H868" s="22">
        <f>H866*0.8*0.6*1.5</f>
        <v>3.5136000000000003</v>
      </c>
      <c r="I868" s="22">
        <f>VLOOKUP(C868,Resources!B:G,6,FALSE)</f>
        <v>24</v>
      </c>
      <c r="J868" s="139">
        <f t="shared" ref="J868:J871" si="1043">(H868/(G868/F868))*I868</f>
        <v>84.326400000000007</v>
      </c>
      <c r="K868" s="139">
        <f t="shared" ref="K868:K871" si="1044">IF(E868="M",H868,(H868/(G868)*F868))</f>
        <v>3.5136000000000003</v>
      </c>
      <c r="L868" s="139" t="str">
        <f>IF(E868="M"," ",K868/F868/Workhrs)</f>
        <v xml:space="preserve"> </v>
      </c>
      <c r="M868" s="139">
        <f t="shared" si="1039"/>
        <v>0</v>
      </c>
      <c r="N868" s="139">
        <f t="shared" si="1040"/>
        <v>84.326400000000007</v>
      </c>
      <c r="O868" s="139">
        <f t="shared" si="1041"/>
        <v>0</v>
      </c>
      <c r="P868" s="139">
        <f>IF($E868="S",$J868,0)</f>
        <v>0</v>
      </c>
      <c r="Q868" s="139">
        <f t="shared" ref="Q868:Q871" si="1045">SUM(M868:P868)</f>
        <v>84.326400000000007</v>
      </c>
      <c r="R868" s="156" t="s">
        <v>692</v>
      </c>
      <c r="T868" s="247"/>
      <c r="U868"/>
      <c r="V868" s="277"/>
    </row>
    <row r="869" spans="1:22" s="98" customFormat="1" x14ac:dyDescent="0.35">
      <c r="A869" s="27">
        <v>119.2</v>
      </c>
      <c r="B869" s="92">
        <v>4</v>
      </c>
      <c r="C869" s="19" t="s">
        <v>50</v>
      </c>
      <c r="D869" s="16" t="s">
        <v>26</v>
      </c>
      <c r="E869" s="27" t="str">
        <f>VLOOKUP(C869,Resources!B:D,3,FALSE)</f>
        <v>P</v>
      </c>
      <c r="F869" s="22">
        <v>1</v>
      </c>
      <c r="G869" s="97">
        <f>VLOOKUP($A869,'Model Inputs'!$A:$D,4,FALSE)</f>
        <v>0.97</v>
      </c>
      <c r="H869" s="22">
        <f>H865</f>
        <v>1</v>
      </c>
      <c r="I869" s="22">
        <f>VLOOKUP(C869,Resources!B:G,6,FALSE)</f>
        <v>135</v>
      </c>
      <c r="J869" s="139">
        <f t="shared" si="1043"/>
        <v>139.17525773195877</v>
      </c>
      <c r="K869" s="139">
        <f t="shared" si="1044"/>
        <v>1.0309278350515465</v>
      </c>
      <c r="L869" s="139">
        <f>IF(E869="M"," ",K869/F869/Workhrs)</f>
        <v>0.11454753722794961</v>
      </c>
      <c r="M869" s="139">
        <f t="shared" si="1039"/>
        <v>0</v>
      </c>
      <c r="N869" s="139">
        <f t="shared" si="1040"/>
        <v>0</v>
      </c>
      <c r="O869" s="139">
        <f t="shared" si="1041"/>
        <v>139.17525773195877</v>
      </c>
      <c r="P869" s="139">
        <f>IF($E869="S",$J869,0)</f>
        <v>0</v>
      </c>
      <c r="Q869" s="139">
        <f t="shared" si="1045"/>
        <v>139.17525773195877</v>
      </c>
      <c r="R869" s="156">
        <v>181</v>
      </c>
      <c r="T869" s="247"/>
      <c r="U869"/>
      <c r="V869" s="277"/>
    </row>
    <row r="870" spans="1:22" s="98" customFormat="1" x14ac:dyDescent="0.35">
      <c r="A870" s="27"/>
      <c r="B870" s="92">
        <v>5</v>
      </c>
      <c r="C870" s="19" t="s">
        <v>8</v>
      </c>
      <c r="D870" s="16" t="s">
        <v>26</v>
      </c>
      <c r="E870" s="27" t="str">
        <f>VLOOKUP(C870,Resources!B:D,3,FALSE)</f>
        <v>L</v>
      </c>
      <c r="F870" s="22">
        <v>3</v>
      </c>
      <c r="G870" s="22">
        <f>G869</f>
        <v>0.97</v>
      </c>
      <c r="H870" s="22">
        <f>H865</f>
        <v>1</v>
      </c>
      <c r="I870" s="22">
        <f>VLOOKUP(C870,Resources!B:G,6,FALSE)</f>
        <v>42</v>
      </c>
      <c r="J870" s="139">
        <f t="shared" si="1043"/>
        <v>129.89690721649484</v>
      </c>
      <c r="K870" s="139">
        <f t="shared" si="1044"/>
        <v>3.0927835051546397</v>
      </c>
      <c r="L870" s="139">
        <f>IF(E870="M"," ",K870/F870/Workhrs)</f>
        <v>0.11454753722794961</v>
      </c>
      <c r="M870" s="139">
        <f t="shared" si="1039"/>
        <v>129.89690721649484</v>
      </c>
      <c r="N870" s="139">
        <f t="shared" si="1040"/>
        <v>0</v>
      </c>
      <c r="O870" s="139">
        <f t="shared" si="1041"/>
        <v>0</v>
      </c>
      <c r="P870" s="139">
        <f>IF($E870="S",$J870,0)</f>
        <v>0</v>
      </c>
      <c r="Q870" s="139">
        <f t="shared" si="1045"/>
        <v>129.89690721649484</v>
      </c>
      <c r="R870" s="156">
        <v>181</v>
      </c>
      <c r="T870" s="247"/>
      <c r="U870"/>
      <c r="V870" s="277"/>
    </row>
    <row r="871" spans="1:22" s="98" customFormat="1" x14ac:dyDescent="0.35">
      <c r="A871" s="27"/>
      <c r="B871" s="92">
        <v>6</v>
      </c>
      <c r="C871" s="19" t="s">
        <v>83</v>
      </c>
      <c r="D871" s="16" t="s">
        <v>26</v>
      </c>
      <c r="E871" s="27" t="str">
        <f>VLOOKUP(C871,Resources!B:D,3,FALSE)</f>
        <v>P</v>
      </c>
      <c r="F871" s="22">
        <v>1</v>
      </c>
      <c r="G871" s="22">
        <f>G869</f>
        <v>0.97</v>
      </c>
      <c r="H871" s="22">
        <f>H865</f>
        <v>1</v>
      </c>
      <c r="I871" s="22">
        <f>VLOOKUP(C871,Resources!B:G,6,FALSE)</f>
        <v>3.5</v>
      </c>
      <c r="J871" s="139">
        <f t="shared" si="1043"/>
        <v>3.6082474226804129</v>
      </c>
      <c r="K871" s="139">
        <f t="shared" si="1044"/>
        <v>1.0309278350515465</v>
      </c>
      <c r="L871" s="139">
        <f>IF(E871="M"," ",K871/F871/Workhrs)</f>
        <v>0.11454753722794961</v>
      </c>
      <c r="M871" s="139">
        <f t="shared" si="1039"/>
        <v>0</v>
      </c>
      <c r="N871" s="139">
        <f t="shared" si="1040"/>
        <v>0</v>
      </c>
      <c r="O871" s="139">
        <f t="shared" si="1041"/>
        <v>3.6082474226804129</v>
      </c>
      <c r="P871" s="139">
        <f>IF($E871="S",$J871,0)</f>
        <v>0</v>
      </c>
      <c r="Q871" s="139">
        <f t="shared" si="1045"/>
        <v>3.6082474226804129</v>
      </c>
      <c r="R871" s="156">
        <v>181</v>
      </c>
      <c r="T871" s="247"/>
      <c r="U871"/>
      <c r="V871" s="277"/>
    </row>
    <row r="872" spans="1:22" s="98" customFormat="1" x14ac:dyDescent="0.35">
      <c r="A872" s="27"/>
      <c r="B872" s="92">
        <v>7</v>
      </c>
      <c r="C872" s="141" t="s">
        <v>677</v>
      </c>
      <c r="D872" s="16"/>
      <c r="E872" s="27"/>
      <c r="F872" s="22"/>
      <c r="G872" s="22"/>
      <c r="H872" s="22"/>
      <c r="I872" s="22"/>
      <c r="J872" s="139"/>
      <c r="K872" s="139"/>
      <c r="L872" s="139"/>
      <c r="M872" s="139"/>
      <c r="N872" s="139"/>
      <c r="O872" s="139"/>
      <c r="P872" s="139"/>
      <c r="Q872" s="139"/>
      <c r="R872" s="156"/>
      <c r="T872" s="247"/>
      <c r="U872"/>
      <c r="V872" s="277"/>
    </row>
    <row r="873" spans="1:22" s="98" customFormat="1" ht="15" customHeight="1" x14ac:dyDescent="0.35">
      <c r="A873" s="27"/>
      <c r="B873" s="92">
        <v>2</v>
      </c>
      <c r="C873" s="19" t="s">
        <v>407</v>
      </c>
      <c r="D873" s="16" t="s">
        <v>54</v>
      </c>
      <c r="E873" s="27" t="str">
        <f>VLOOKUP(C873,Resources!B:D,3,FALSE)</f>
        <v>M</v>
      </c>
      <c r="F873" s="22">
        <v>1</v>
      </c>
      <c r="G873" s="22">
        <v>1</v>
      </c>
      <c r="H873" s="22">
        <v>2</v>
      </c>
      <c r="I873" s="22">
        <f>VLOOKUP(C873,Resources!B:G,6,FALSE)</f>
        <v>625</v>
      </c>
      <c r="J873" s="139">
        <f t="shared" ref="J873" si="1046">(H873/(G873/F873))*I873</f>
        <v>1250</v>
      </c>
      <c r="K873" s="139">
        <f t="shared" ref="K873" si="1047">IF(E873="M",H873,(H873/(G873)*F873))</f>
        <v>2</v>
      </c>
      <c r="L873" s="139" t="str">
        <f>IF(E873="M"," ",K873/F873/Workhrs)</f>
        <v xml:space="preserve"> </v>
      </c>
      <c r="M873" s="139">
        <f t="shared" si="1039"/>
        <v>0</v>
      </c>
      <c r="N873" s="139">
        <f t="shared" si="1040"/>
        <v>1250</v>
      </c>
      <c r="O873" s="139">
        <f t="shared" si="1041"/>
        <v>0</v>
      </c>
      <c r="P873" s="139">
        <f>IF($E873="S",$J873,0)</f>
        <v>0</v>
      </c>
      <c r="Q873" s="139">
        <f t="shared" ref="Q873" si="1048">SUM(M873:P873)</f>
        <v>1250</v>
      </c>
      <c r="R873" s="156" t="s">
        <v>699</v>
      </c>
      <c r="T873" s="247"/>
      <c r="U873"/>
      <c r="V873" s="277"/>
    </row>
    <row r="874" spans="1:22" s="98" customFormat="1" x14ac:dyDescent="0.35">
      <c r="A874" s="27">
        <v>119.3</v>
      </c>
      <c r="B874" s="92">
        <v>8</v>
      </c>
      <c r="C874" s="19" t="s">
        <v>50</v>
      </c>
      <c r="D874" s="16" t="s">
        <v>26</v>
      </c>
      <c r="E874" s="27" t="str">
        <f>VLOOKUP(C874,Resources!B:D,3,FALSE)</f>
        <v>P</v>
      </c>
      <c r="F874" s="22">
        <v>1</v>
      </c>
      <c r="G874" s="97">
        <f>VLOOKUP($A874,'Model Inputs'!$A:$D,4,FALSE)</f>
        <v>1</v>
      </c>
      <c r="H874" s="22">
        <f>H865</f>
        <v>1</v>
      </c>
      <c r="I874" s="22">
        <f>VLOOKUP(C874,Resources!B:G,6,FALSE)</f>
        <v>135</v>
      </c>
      <c r="J874" s="139">
        <f t="shared" ref="J874:J875" si="1049">(H874/(G874/F874))*I874</f>
        <v>135</v>
      </c>
      <c r="K874" s="139">
        <f t="shared" ref="K874:K875" si="1050">IF(E874="M",H874,(H874/(G874)*F874))</f>
        <v>1</v>
      </c>
      <c r="L874" s="139">
        <f>IF(E874="M"," ",K874/F874/Workhrs)</f>
        <v>0.1111111111111111</v>
      </c>
      <c r="M874" s="139">
        <f t="shared" ref="M874:M875" si="1051">IF($E874="L",$J874,0)</f>
        <v>0</v>
      </c>
      <c r="N874" s="139">
        <f t="shared" ref="N874:N875" si="1052">IF($E874="M",$J874,0)</f>
        <v>0</v>
      </c>
      <c r="O874" s="139">
        <f t="shared" ref="O874:O875" si="1053">IF($E874="P",$J874,0)</f>
        <v>135</v>
      </c>
      <c r="P874" s="139">
        <f>IF($E874="S",$J874,0)</f>
        <v>0</v>
      </c>
      <c r="Q874" s="139">
        <f t="shared" ref="Q874:Q875" si="1054">SUM(M874:P874)</f>
        <v>135</v>
      </c>
      <c r="R874" s="156">
        <v>181</v>
      </c>
      <c r="T874" s="247"/>
      <c r="U874"/>
      <c r="V874" s="277"/>
    </row>
    <row r="875" spans="1:22" s="98" customFormat="1" x14ac:dyDescent="0.35">
      <c r="A875" s="27"/>
      <c r="B875" s="92">
        <v>9</v>
      </c>
      <c r="C875" s="19" t="s">
        <v>8</v>
      </c>
      <c r="D875" s="16" t="s">
        <v>26</v>
      </c>
      <c r="E875" s="27" t="str">
        <f>VLOOKUP(C875,Resources!B:D,3,FALSE)</f>
        <v>L</v>
      </c>
      <c r="F875" s="22">
        <v>3</v>
      </c>
      <c r="G875" s="22">
        <f>G874</f>
        <v>1</v>
      </c>
      <c r="H875" s="22">
        <f>H865</f>
        <v>1</v>
      </c>
      <c r="I875" s="22">
        <f>VLOOKUP(C875,Resources!B:G,6,FALSE)</f>
        <v>42</v>
      </c>
      <c r="J875" s="139">
        <f t="shared" si="1049"/>
        <v>126</v>
      </c>
      <c r="K875" s="139">
        <f t="shared" si="1050"/>
        <v>3</v>
      </c>
      <c r="L875" s="139">
        <f>IF(E875="M"," ",K875/F875/Workhrs)</f>
        <v>0.1111111111111111</v>
      </c>
      <c r="M875" s="139">
        <f t="shared" si="1051"/>
        <v>126</v>
      </c>
      <c r="N875" s="139">
        <f t="shared" si="1052"/>
        <v>0</v>
      </c>
      <c r="O875" s="139">
        <f t="shared" si="1053"/>
        <v>0</v>
      </c>
      <c r="P875" s="139">
        <f>IF($E875="S",$J875,0)</f>
        <v>0</v>
      </c>
      <c r="Q875" s="139">
        <f t="shared" si="1054"/>
        <v>126</v>
      </c>
      <c r="R875" s="156">
        <v>181</v>
      </c>
      <c r="T875" s="247"/>
      <c r="U875"/>
      <c r="V875" s="277"/>
    </row>
    <row r="876" spans="1:22" s="98" customFormat="1" x14ac:dyDescent="0.35">
      <c r="A876" s="27"/>
      <c r="B876" s="92">
        <v>10</v>
      </c>
      <c r="C876" s="141" t="s">
        <v>678</v>
      </c>
      <c r="D876" s="16"/>
      <c r="E876" s="27"/>
      <c r="F876" s="22"/>
      <c r="G876" s="22"/>
      <c r="H876" s="22"/>
      <c r="I876" s="22"/>
      <c r="J876" s="139"/>
      <c r="K876" s="139"/>
      <c r="L876" s="139"/>
      <c r="M876" s="139"/>
      <c r="N876" s="139"/>
      <c r="O876" s="139"/>
      <c r="P876" s="139"/>
      <c r="Q876" s="139"/>
      <c r="R876" s="156"/>
      <c r="T876" s="247"/>
      <c r="U876"/>
      <c r="V876" s="277"/>
    </row>
    <row r="877" spans="1:22" s="98" customFormat="1" ht="30" x14ac:dyDescent="0.35">
      <c r="A877" s="27">
        <v>119.4</v>
      </c>
      <c r="B877" s="92">
        <v>11</v>
      </c>
      <c r="C877" s="19" t="s">
        <v>62</v>
      </c>
      <c r="D877" s="16" t="s">
        <v>690</v>
      </c>
      <c r="E877" s="27"/>
      <c r="F877" s="22"/>
      <c r="G877" s="22"/>
      <c r="H877" s="97">
        <f>VLOOKUP($A877,'Model Inputs'!$A:$D,4,FALSE)</f>
        <v>2.98</v>
      </c>
      <c r="I877" s="22"/>
      <c r="J877" s="139"/>
      <c r="K877" s="139"/>
      <c r="L877" s="139"/>
      <c r="M877" s="139"/>
      <c r="N877" s="139"/>
      <c r="O877" s="139"/>
      <c r="P877" s="139"/>
      <c r="Q877" s="139"/>
      <c r="R877" s="156"/>
      <c r="T877" s="247"/>
      <c r="U877"/>
      <c r="V877" s="277"/>
    </row>
    <row r="878" spans="1:22" s="98" customFormat="1" ht="32.25" x14ac:dyDescent="0.35">
      <c r="A878" s="27"/>
      <c r="B878" s="92">
        <v>12</v>
      </c>
      <c r="C878" s="19" t="s">
        <v>672</v>
      </c>
      <c r="D878" s="16" t="s">
        <v>54</v>
      </c>
      <c r="E878" s="27"/>
      <c r="F878" s="22"/>
      <c r="G878" s="22"/>
      <c r="H878" s="22">
        <f>H877*GCF</f>
        <v>7.152000000000001</v>
      </c>
      <c r="I878" s="22"/>
      <c r="J878" s="139"/>
      <c r="K878" s="139"/>
      <c r="L878" s="139"/>
      <c r="M878" s="139"/>
      <c r="N878" s="139"/>
      <c r="O878" s="139"/>
      <c r="P878" s="139"/>
      <c r="Q878" s="139"/>
      <c r="R878" s="156"/>
      <c r="T878" s="247"/>
      <c r="U878"/>
      <c r="V878" s="277"/>
    </row>
    <row r="879" spans="1:22" s="98" customFormat="1" x14ac:dyDescent="0.35">
      <c r="A879" s="27">
        <v>119.5</v>
      </c>
      <c r="B879" s="92">
        <v>13</v>
      </c>
      <c r="C879" s="19" t="s">
        <v>63</v>
      </c>
      <c r="D879" s="16" t="s">
        <v>26</v>
      </c>
      <c r="E879" s="27" t="str">
        <f>VLOOKUP(C879,Resources!B:D,3,FALSE)</f>
        <v>P</v>
      </c>
      <c r="F879" s="22">
        <v>1</v>
      </c>
      <c r="G879" s="97">
        <f>VLOOKUP($A879,'Model Inputs'!$A:$D,4,FALSE)</f>
        <v>66.67</v>
      </c>
      <c r="H879" s="22">
        <f>H878</f>
        <v>7.152000000000001</v>
      </c>
      <c r="I879" s="22">
        <f>VLOOKUP(C879,Resources!B:G,6,FALSE)</f>
        <v>135</v>
      </c>
      <c r="J879" s="139">
        <f t="shared" ref="J879:J883" si="1055">(H879/(G879/F879))*I879</f>
        <v>14.482075896205192</v>
      </c>
      <c r="K879" s="139">
        <f t="shared" ref="K879:K883" si="1056">IF(E879="M",H879,(H879/(G879)*F879))</f>
        <v>0.1072746362681866</v>
      </c>
      <c r="L879" s="139">
        <f>IF(E879="M"," ",K879/F879/Workhrs)</f>
        <v>1.1919404029798512E-2</v>
      </c>
      <c r="M879" s="139">
        <f t="shared" ref="M879:M883" si="1057">IF($E879="L",$J879,0)</f>
        <v>0</v>
      </c>
      <c r="N879" s="139">
        <f t="shared" ref="N879:N883" si="1058">IF($E879="M",$J879,0)</f>
        <v>0</v>
      </c>
      <c r="O879" s="139">
        <f t="shared" ref="O879:O883" si="1059">IF($E879="P",$J879,0)</f>
        <v>14.482075896205192</v>
      </c>
      <c r="P879" s="139">
        <f>IF($E879="S",$J879,0)</f>
        <v>0</v>
      </c>
      <c r="Q879" s="139">
        <f t="shared" ref="Q879:Q883" si="1060">SUM(M879:P879)</f>
        <v>14.482075896205192</v>
      </c>
      <c r="R879" s="156">
        <v>62</v>
      </c>
      <c r="T879" s="247"/>
      <c r="U879"/>
      <c r="V879" s="277"/>
    </row>
    <row r="880" spans="1:22" s="98" customFormat="1" x14ac:dyDescent="0.35">
      <c r="A880" s="27"/>
      <c r="B880" s="92">
        <v>14</v>
      </c>
      <c r="C880" s="19" t="s">
        <v>64</v>
      </c>
      <c r="D880" s="16" t="s">
        <v>26</v>
      </c>
      <c r="E880" s="27" t="str">
        <f>VLOOKUP(C880,Resources!B:D,3,FALSE)</f>
        <v>P</v>
      </c>
      <c r="F880" s="22">
        <v>4</v>
      </c>
      <c r="G880" s="22">
        <f>G879</f>
        <v>66.67</v>
      </c>
      <c r="H880" s="22">
        <f>H878</f>
        <v>7.152000000000001</v>
      </c>
      <c r="I880" s="22">
        <f>VLOOKUP(C880,Resources!B:G,6,FALSE)</f>
        <v>145</v>
      </c>
      <c r="J880" s="139">
        <f t="shared" si="1055"/>
        <v>62.219289035548229</v>
      </c>
      <c r="K880" s="139">
        <f t="shared" si="1056"/>
        <v>0.42909854507274642</v>
      </c>
      <c r="L880" s="139">
        <f>IF(E880="M"," ",K880/F880/Workhrs)</f>
        <v>1.1919404029798512E-2</v>
      </c>
      <c r="M880" s="139">
        <f t="shared" si="1057"/>
        <v>0</v>
      </c>
      <c r="N880" s="139">
        <f t="shared" si="1058"/>
        <v>0</v>
      </c>
      <c r="O880" s="139">
        <f t="shared" si="1059"/>
        <v>62.219289035548229</v>
      </c>
      <c r="P880" s="139">
        <f>IF($E880="S",$J880,0)</f>
        <v>0</v>
      </c>
      <c r="Q880" s="139">
        <f t="shared" si="1060"/>
        <v>62.219289035548229</v>
      </c>
      <c r="R880" s="156">
        <v>62</v>
      </c>
      <c r="T880" s="247"/>
      <c r="U880"/>
      <c r="V880" s="277"/>
    </row>
    <row r="881" spans="1:22" s="98" customFormat="1" x14ac:dyDescent="0.35">
      <c r="A881" s="27"/>
      <c r="B881" s="92">
        <v>15</v>
      </c>
      <c r="C881" s="19" t="s">
        <v>52</v>
      </c>
      <c r="D881" s="16" t="s">
        <v>26</v>
      </c>
      <c r="E881" s="27" t="str">
        <f>VLOOKUP(C881,Resources!B:D,3,FALSE)</f>
        <v>P</v>
      </c>
      <c r="F881" s="22">
        <v>1</v>
      </c>
      <c r="G881" s="22">
        <f>G879</f>
        <v>66.67</v>
      </c>
      <c r="H881" s="22">
        <f>H878</f>
        <v>7.152000000000001</v>
      </c>
      <c r="I881" s="22">
        <f>VLOOKUP(C881,Resources!B:G,6,FALSE)</f>
        <v>100</v>
      </c>
      <c r="J881" s="139">
        <f t="shared" si="1055"/>
        <v>10.727463626818661</v>
      </c>
      <c r="K881" s="139">
        <f t="shared" si="1056"/>
        <v>0.1072746362681866</v>
      </c>
      <c r="L881" s="139">
        <f>IF(E881="M"," ",K881/F881/Workhrs)</f>
        <v>1.1919404029798512E-2</v>
      </c>
      <c r="M881" s="139">
        <f t="shared" si="1057"/>
        <v>0</v>
      </c>
      <c r="N881" s="139">
        <f t="shared" si="1058"/>
        <v>0</v>
      </c>
      <c r="O881" s="139">
        <f t="shared" si="1059"/>
        <v>10.727463626818661</v>
      </c>
      <c r="P881" s="139">
        <f>IF($E881="S",$J881,0)</f>
        <v>0</v>
      </c>
      <c r="Q881" s="139">
        <f t="shared" si="1060"/>
        <v>10.727463626818661</v>
      </c>
      <c r="R881" s="156">
        <v>62</v>
      </c>
      <c r="T881" s="247"/>
      <c r="U881"/>
      <c r="V881" s="277"/>
    </row>
    <row r="882" spans="1:22" s="98" customFormat="1" x14ac:dyDescent="0.35">
      <c r="A882" s="27"/>
      <c r="B882" s="92">
        <v>16</v>
      </c>
      <c r="C882" s="19" t="s">
        <v>106</v>
      </c>
      <c r="D882" s="16" t="s">
        <v>26</v>
      </c>
      <c r="E882" s="27" t="str">
        <f>VLOOKUP(C882,Resources!B:D,3,FALSE)</f>
        <v>P</v>
      </c>
      <c r="F882" s="22">
        <v>1</v>
      </c>
      <c r="G882" s="22">
        <f>G879</f>
        <v>66.67</v>
      </c>
      <c r="H882" s="22">
        <f>H878</f>
        <v>7.152000000000001</v>
      </c>
      <c r="I882" s="22">
        <f>VLOOKUP(C882,Resources!B:G,6,FALSE)</f>
        <v>55</v>
      </c>
      <c r="J882" s="139">
        <f t="shared" si="1055"/>
        <v>5.9001049947502633</v>
      </c>
      <c r="K882" s="139">
        <f t="shared" si="1056"/>
        <v>0.1072746362681866</v>
      </c>
      <c r="L882" s="139">
        <f>IF(E882="M"," ",K882/F882/Workhrs)</f>
        <v>1.1919404029798512E-2</v>
      </c>
      <c r="M882" s="139">
        <f t="shared" si="1057"/>
        <v>0</v>
      </c>
      <c r="N882" s="139">
        <f t="shared" si="1058"/>
        <v>0</v>
      </c>
      <c r="O882" s="139">
        <f t="shared" si="1059"/>
        <v>5.9001049947502633</v>
      </c>
      <c r="P882" s="139">
        <f>IF($E882="S",$J882,0)</f>
        <v>0</v>
      </c>
      <c r="Q882" s="139">
        <f t="shared" si="1060"/>
        <v>5.9001049947502633</v>
      </c>
      <c r="R882" s="156">
        <v>62</v>
      </c>
      <c r="T882" s="247"/>
      <c r="U882"/>
      <c r="V882" s="277"/>
    </row>
    <row r="883" spans="1:22" s="98" customFormat="1" x14ac:dyDescent="0.35">
      <c r="A883" s="27"/>
      <c r="B883" s="92">
        <v>17</v>
      </c>
      <c r="C883" s="19" t="s">
        <v>8</v>
      </c>
      <c r="D883" s="16" t="s">
        <v>26</v>
      </c>
      <c r="E883" s="27" t="str">
        <f>VLOOKUP(C883,Resources!B:D,3,FALSE)</f>
        <v>L</v>
      </c>
      <c r="F883" s="22">
        <v>3</v>
      </c>
      <c r="G883" s="22">
        <f>G879</f>
        <v>66.67</v>
      </c>
      <c r="H883" s="22">
        <f>H878</f>
        <v>7.152000000000001</v>
      </c>
      <c r="I883" s="22">
        <f>VLOOKUP(C883,Resources!B:G,6,FALSE)</f>
        <v>42</v>
      </c>
      <c r="J883" s="139">
        <f t="shared" si="1055"/>
        <v>13.516604169791512</v>
      </c>
      <c r="K883" s="139">
        <f t="shared" si="1056"/>
        <v>0.3218239088045598</v>
      </c>
      <c r="L883" s="139">
        <f>IF(E883="M"," ",K883/F883/Workhrs)</f>
        <v>1.1919404029798512E-2</v>
      </c>
      <c r="M883" s="139">
        <f t="shared" si="1057"/>
        <v>13.516604169791512</v>
      </c>
      <c r="N883" s="139">
        <f t="shared" si="1058"/>
        <v>0</v>
      </c>
      <c r="O883" s="139">
        <f t="shared" si="1059"/>
        <v>0</v>
      </c>
      <c r="P883" s="139">
        <f>IF($E883="S",$J883,0)</f>
        <v>0</v>
      </c>
      <c r="Q883" s="139">
        <f t="shared" si="1060"/>
        <v>13.516604169791512</v>
      </c>
      <c r="R883" s="156">
        <v>62</v>
      </c>
      <c r="T883" s="247"/>
      <c r="U883"/>
      <c r="V883" s="277"/>
    </row>
    <row r="884" spans="1:22" s="98" customFormat="1" x14ac:dyDescent="0.35">
      <c r="A884" s="27"/>
      <c r="B884" s="92">
        <v>18</v>
      </c>
      <c r="C884" s="19" t="s">
        <v>100</v>
      </c>
      <c r="D884" s="16" t="s">
        <v>110</v>
      </c>
      <c r="E884" s="27"/>
      <c r="F884" s="22"/>
      <c r="G884" s="22"/>
      <c r="H884" s="22"/>
      <c r="I884" s="22"/>
      <c r="J884" s="139"/>
      <c r="K884" s="139"/>
      <c r="L884" s="139"/>
      <c r="M884" s="139"/>
      <c r="N884" s="139"/>
      <c r="O884" s="139"/>
      <c r="P884" s="139"/>
      <c r="Q884" s="139"/>
      <c r="R884" s="156"/>
      <c r="T884" s="247"/>
      <c r="U884"/>
      <c r="V884" s="277"/>
    </row>
    <row r="885" spans="1:22" s="98" customFormat="1" x14ac:dyDescent="0.35">
      <c r="A885" s="27">
        <v>119.6</v>
      </c>
      <c r="B885" s="92">
        <v>19</v>
      </c>
      <c r="C885" s="19" t="s">
        <v>63</v>
      </c>
      <c r="D885" s="16" t="s">
        <v>26</v>
      </c>
      <c r="E885" s="27" t="str">
        <f>VLOOKUP(C885,Resources!B:D,3,FALSE)</f>
        <v>P</v>
      </c>
      <c r="F885" s="22">
        <v>1</v>
      </c>
      <c r="G885" s="97">
        <f>VLOOKUP($A885,'Model Inputs'!$A:$D,4,FALSE)</f>
        <v>300</v>
      </c>
      <c r="H885" s="22">
        <f>H877/0.15</f>
        <v>19.866666666666667</v>
      </c>
      <c r="I885" s="22">
        <f>VLOOKUP(C885,Resources!B:G,6,FALSE)</f>
        <v>135</v>
      </c>
      <c r="J885" s="139">
        <f t="shared" ref="J885:J887" si="1061">(H885/(G885/F885))*I885</f>
        <v>8.94</v>
      </c>
      <c r="K885" s="139">
        <f t="shared" ref="K885:K887" si="1062">IF(E885="M",H885,(H885/(G885)*F885))</f>
        <v>6.6222222222222224E-2</v>
      </c>
      <c r="L885" s="139">
        <f>IF(E885="M"," ",K885/F885/Workhrs)</f>
        <v>7.358024691358025E-3</v>
      </c>
      <c r="M885" s="139">
        <f t="shared" ref="M885:M887" si="1063">IF($E885="L",$J885,0)</f>
        <v>0</v>
      </c>
      <c r="N885" s="139">
        <f t="shared" ref="N885:N887" si="1064">IF($E885="M",$J885,0)</f>
        <v>0</v>
      </c>
      <c r="O885" s="139">
        <f t="shared" ref="O885:O887" si="1065">IF($E885="P",$J885,0)</f>
        <v>8.94</v>
      </c>
      <c r="P885" s="139">
        <f>IF($E885="S",$J885,0)</f>
        <v>0</v>
      </c>
      <c r="Q885" s="139">
        <f t="shared" ref="Q885:Q887" si="1066">SUM(M885:P885)</f>
        <v>8.94</v>
      </c>
      <c r="R885" s="156">
        <v>63</v>
      </c>
      <c r="T885" s="247"/>
      <c r="U885"/>
      <c r="V885" s="277"/>
    </row>
    <row r="886" spans="1:22" s="98" customFormat="1" x14ac:dyDescent="0.35">
      <c r="A886" s="27"/>
      <c r="B886" s="92">
        <v>20</v>
      </c>
      <c r="C886" s="19" t="s">
        <v>405</v>
      </c>
      <c r="D886" s="16" t="s">
        <v>26</v>
      </c>
      <c r="E886" s="27" t="str">
        <f>VLOOKUP(C886,Resources!B:D,3,FALSE)</f>
        <v>P</v>
      </c>
      <c r="F886" s="22">
        <v>1</v>
      </c>
      <c r="G886" s="22">
        <f>G885</f>
        <v>300</v>
      </c>
      <c r="H886" s="22">
        <f>H885</f>
        <v>19.866666666666667</v>
      </c>
      <c r="I886" s="22">
        <f>VLOOKUP(C886,Resources!B:G,6,FALSE)</f>
        <v>55</v>
      </c>
      <c r="J886" s="139">
        <f t="shared" si="1061"/>
        <v>3.6422222222222222</v>
      </c>
      <c r="K886" s="139">
        <f t="shared" si="1062"/>
        <v>6.6222222222222224E-2</v>
      </c>
      <c r="L886" s="139">
        <f>IF(E886="M"," ",K886/F886/Workhrs)</f>
        <v>7.358024691358025E-3</v>
      </c>
      <c r="M886" s="139">
        <f t="shared" si="1063"/>
        <v>0</v>
      </c>
      <c r="N886" s="139">
        <f t="shared" si="1064"/>
        <v>0</v>
      </c>
      <c r="O886" s="139">
        <f t="shared" si="1065"/>
        <v>3.6422222222222222</v>
      </c>
      <c r="P886" s="139">
        <f>IF($E886="S",$J886,0)</f>
        <v>0</v>
      </c>
      <c r="Q886" s="139">
        <f t="shared" si="1066"/>
        <v>3.6422222222222222</v>
      </c>
      <c r="R886" s="156">
        <v>63</v>
      </c>
      <c r="T886" s="247"/>
      <c r="U886"/>
      <c r="V886" s="277"/>
    </row>
    <row r="887" spans="1:22" s="98" customFormat="1" x14ac:dyDescent="0.35">
      <c r="A887" s="27"/>
      <c r="B887" s="92">
        <v>21</v>
      </c>
      <c r="C887" s="19" t="s">
        <v>8</v>
      </c>
      <c r="D887" s="16" t="s">
        <v>26</v>
      </c>
      <c r="E887" s="27" t="str">
        <f>VLOOKUP(C887,Resources!B:D,3,FALSE)</f>
        <v>L</v>
      </c>
      <c r="F887" s="22">
        <v>3</v>
      </c>
      <c r="G887" s="22">
        <f>G885</f>
        <v>300</v>
      </c>
      <c r="H887" s="22">
        <f>H885</f>
        <v>19.866666666666667</v>
      </c>
      <c r="I887" s="22">
        <f>VLOOKUP(C887,Resources!B:G,6,FALSE)</f>
        <v>42</v>
      </c>
      <c r="J887" s="139">
        <f t="shared" si="1061"/>
        <v>8.3439999999999994</v>
      </c>
      <c r="K887" s="139">
        <f t="shared" si="1062"/>
        <v>0.19866666666666666</v>
      </c>
      <c r="L887" s="139">
        <f>IF(E887="M"," ",K887/F887/Workhrs)</f>
        <v>7.358024691358025E-3</v>
      </c>
      <c r="M887" s="139">
        <f t="shared" si="1063"/>
        <v>8.3439999999999994</v>
      </c>
      <c r="N887" s="139">
        <f t="shared" si="1064"/>
        <v>0</v>
      </c>
      <c r="O887" s="139">
        <f t="shared" si="1065"/>
        <v>0</v>
      </c>
      <c r="P887" s="139">
        <f>IF($E887="S",$J887,0)</f>
        <v>0</v>
      </c>
      <c r="Q887" s="139">
        <f t="shared" si="1066"/>
        <v>8.3439999999999994</v>
      </c>
      <c r="R887" s="156">
        <v>63</v>
      </c>
      <c r="T887" s="247"/>
      <c r="U887"/>
      <c r="V887" s="277"/>
    </row>
    <row r="888" spans="1:22" s="98" customFormat="1" x14ac:dyDescent="0.35">
      <c r="A888" s="27">
        <v>119.7</v>
      </c>
      <c r="B888" s="92">
        <v>22</v>
      </c>
      <c r="C888" s="19" t="s">
        <v>680</v>
      </c>
      <c r="D888" s="16" t="s">
        <v>110</v>
      </c>
      <c r="E888" s="27"/>
      <c r="F888" s="22"/>
      <c r="G888" s="22"/>
      <c r="H888" s="97">
        <f>VLOOKUP($A888,'Model Inputs'!$A:$D,4,FALSE)</f>
        <v>19.52</v>
      </c>
      <c r="I888" s="22"/>
      <c r="J888" s="139"/>
      <c r="K888" s="139"/>
      <c r="L888" s="139"/>
      <c r="M888" s="139"/>
      <c r="N888" s="139"/>
      <c r="O888" s="139"/>
      <c r="P888" s="139"/>
      <c r="Q888" s="139"/>
      <c r="R888" s="156"/>
      <c r="T888" s="247"/>
      <c r="U888"/>
      <c r="V888" s="277"/>
    </row>
    <row r="889" spans="1:22" s="98" customFormat="1" x14ac:dyDescent="0.35">
      <c r="A889" s="27"/>
      <c r="B889" s="92">
        <v>23</v>
      </c>
      <c r="C889" s="19" t="s">
        <v>219</v>
      </c>
      <c r="D889" s="16" t="s">
        <v>110</v>
      </c>
      <c r="E889" s="27" t="str">
        <f>VLOOKUP(C889,Resources!B:D,3,FALSE)</f>
        <v>S</v>
      </c>
      <c r="F889" s="22">
        <v>1</v>
      </c>
      <c r="G889" s="22">
        <v>1</v>
      </c>
      <c r="H889" s="22">
        <f>H888*1.05</f>
        <v>20.495999999999999</v>
      </c>
      <c r="I889" s="22">
        <f>VLOOKUP(C889,Resources!B:G,6,FALSE)</f>
        <v>4</v>
      </c>
      <c r="J889" s="139">
        <f t="shared" ref="J889" si="1067">(H889/(G889/F889))*I889</f>
        <v>81.983999999999995</v>
      </c>
      <c r="K889" s="139">
        <f t="shared" ref="K889" si="1068">IF(E889="M",H889,(H889/(G889)*F889))</f>
        <v>20.495999999999999</v>
      </c>
      <c r="L889" s="139">
        <f>IF(E889="M"," ",K889/F889/Workhrs)</f>
        <v>2.277333333333333</v>
      </c>
      <c r="M889" s="139">
        <f t="shared" ref="M889" si="1069">IF($E889="L",$J889,0)</f>
        <v>0</v>
      </c>
      <c r="N889" s="139">
        <f t="shared" ref="N889" si="1070">IF($E889="M",$J889,0)</f>
        <v>0</v>
      </c>
      <c r="O889" s="139">
        <f>IF($E889="P",$J889,0)</f>
        <v>0</v>
      </c>
      <c r="P889" s="139">
        <f>IF($E889="S",$J889,0)</f>
        <v>81.983999999999995</v>
      </c>
      <c r="Q889" s="139">
        <f>SUM(M889:P889)</f>
        <v>81.983999999999995</v>
      </c>
      <c r="R889" s="156">
        <v>64</v>
      </c>
      <c r="T889" s="247"/>
      <c r="U889"/>
      <c r="V889" s="277"/>
    </row>
    <row r="890" spans="1:22" s="98" customFormat="1" x14ac:dyDescent="0.35">
      <c r="A890" s="28"/>
      <c r="B890" s="95"/>
      <c r="C890" s="20" t="s">
        <v>402</v>
      </c>
      <c r="D890" s="17"/>
      <c r="E890" s="28"/>
      <c r="F890" s="23"/>
      <c r="G890" s="23"/>
      <c r="H890" s="23"/>
      <c r="I890" s="23"/>
      <c r="J890" s="140"/>
      <c r="K890" s="140"/>
      <c r="L890" s="140"/>
      <c r="M890" s="140"/>
      <c r="N890" s="140"/>
      <c r="O890" s="140"/>
      <c r="P890" s="140"/>
      <c r="Q890" s="140"/>
      <c r="R890" s="157"/>
      <c r="T890" s="247"/>
      <c r="U890"/>
      <c r="V890" s="277"/>
    </row>
    <row r="891" spans="1:22" s="11" customFormat="1" x14ac:dyDescent="0.35">
      <c r="A891" s="26">
        <v>120</v>
      </c>
      <c r="B891" s="94" t="s">
        <v>281</v>
      </c>
      <c r="C891" s="14" t="s">
        <v>282</v>
      </c>
      <c r="D891" s="24" t="s">
        <v>23</v>
      </c>
      <c r="E891" s="21"/>
      <c r="F891" s="21"/>
      <c r="G891" s="21"/>
      <c r="H891" s="97">
        <f>VLOOKUP($A891,'Model Inputs'!$A:$D,4,FALSE)</f>
        <v>200</v>
      </c>
      <c r="I891" s="15"/>
      <c r="J891" s="138">
        <f>SUBTOTAL(9,J892:J893)</f>
        <v>9750</v>
      </c>
      <c r="K891" s="138"/>
      <c r="L891" s="138">
        <f>ROUNDUP(H891/50,0)</f>
        <v>4</v>
      </c>
      <c r="M891" s="138">
        <f t="shared" ref="M891:Q891" si="1071">SUBTOTAL(9,M892:M893)</f>
        <v>0</v>
      </c>
      <c r="N891" s="138">
        <f t="shared" si="1071"/>
        <v>4350</v>
      </c>
      <c r="O891" s="138">
        <f t="shared" si="1071"/>
        <v>0</v>
      </c>
      <c r="P891" s="138">
        <f t="shared" si="1071"/>
        <v>5400</v>
      </c>
      <c r="Q891" s="138">
        <f t="shared" si="1071"/>
        <v>9750</v>
      </c>
      <c r="R891" s="155"/>
      <c r="T891" s="247"/>
      <c r="U891"/>
      <c r="V891" s="277"/>
    </row>
    <row r="892" spans="1:22" s="98" customFormat="1" x14ac:dyDescent="0.35">
      <c r="A892" s="27"/>
      <c r="B892" s="92">
        <v>1</v>
      </c>
      <c r="C892" s="19" t="s">
        <v>125</v>
      </c>
      <c r="D892" s="16" t="s">
        <v>110</v>
      </c>
      <c r="E892" s="27" t="str">
        <f>VLOOKUP(C892,Resources!B:D,3,FALSE)</f>
        <v>S</v>
      </c>
      <c r="F892" s="22">
        <v>1</v>
      </c>
      <c r="G892" s="22">
        <v>1</v>
      </c>
      <c r="H892" s="22">
        <f>H891</f>
        <v>200</v>
      </c>
      <c r="I892" s="22">
        <f>VLOOKUP(C892,Resources!B:G,6,FALSE)</f>
        <v>27</v>
      </c>
      <c r="J892" s="139">
        <f t="shared" ref="J892" si="1072">(H892/(G892/F892))*I892</f>
        <v>5400</v>
      </c>
      <c r="K892" s="139">
        <f t="shared" ref="K892" si="1073">IF(E892="M",H892,(H892/(G892)*F892))</f>
        <v>200</v>
      </c>
      <c r="L892" s="139"/>
      <c r="M892" s="139">
        <f t="shared" ref="M892:M893" si="1074">IF($E892="L",$J892,0)</f>
        <v>0</v>
      </c>
      <c r="N892" s="139">
        <f t="shared" ref="N892:N893" si="1075">IF($E892="M",$J892,0)</f>
        <v>0</v>
      </c>
      <c r="O892" s="139">
        <f>IF($E892="P",$J892,0)</f>
        <v>0</v>
      </c>
      <c r="P892" s="139">
        <f>IF($E892="S",$J892,0)</f>
        <v>5400</v>
      </c>
      <c r="Q892" s="139">
        <f>SUM(M892:P892)</f>
        <v>5400</v>
      </c>
      <c r="R892" s="156">
        <v>71</v>
      </c>
      <c r="T892" s="247"/>
      <c r="U892"/>
      <c r="V892" s="277"/>
    </row>
    <row r="893" spans="1:22" s="98" customFormat="1" x14ac:dyDescent="0.35">
      <c r="A893" s="27"/>
      <c r="B893" s="92">
        <v>2</v>
      </c>
      <c r="C893" s="19" t="s">
        <v>177</v>
      </c>
      <c r="D893" s="16" t="s">
        <v>690</v>
      </c>
      <c r="E893" s="27" t="str">
        <f>VLOOKUP(C893,Resources!B:D,3,FALSE)</f>
        <v>M</v>
      </c>
      <c r="F893" s="22">
        <v>1</v>
      </c>
      <c r="G893" s="22">
        <v>1</v>
      </c>
      <c r="H893" s="22">
        <f>H892*0.125</f>
        <v>25</v>
      </c>
      <c r="I893" s="22">
        <f>VLOOKUP(C893,Resources!B:G,6,FALSE)</f>
        <v>174</v>
      </c>
      <c r="J893" s="139">
        <f t="shared" ref="J893" si="1076">(H893/(G893/F893))*I893</f>
        <v>4350</v>
      </c>
      <c r="K893" s="139">
        <f t="shared" ref="K893" si="1077">IF(E893="M",H893,(H893/(G893)*F893))</f>
        <v>25</v>
      </c>
      <c r="L893" s="139" t="str">
        <f>IF(E893="M"," ",K893/F893/Workhrs)</f>
        <v xml:space="preserve"> </v>
      </c>
      <c r="M893" s="139">
        <f t="shared" si="1074"/>
        <v>0</v>
      </c>
      <c r="N893" s="139">
        <f t="shared" si="1075"/>
        <v>4350</v>
      </c>
      <c r="O893" s="139">
        <f>IF($E893="P",$J893,0)</f>
        <v>0</v>
      </c>
      <c r="P893" s="139">
        <f>IF($E893="S",$J893,0)</f>
        <v>0</v>
      </c>
      <c r="Q893" s="139">
        <f>SUM(M893:P893)</f>
        <v>4350</v>
      </c>
      <c r="R893" s="156" t="s">
        <v>697</v>
      </c>
      <c r="T893" s="247"/>
      <c r="U893"/>
      <c r="V893" s="277"/>
    </row>
    <row r="894" spans="1:22" s="98" customFormat="1" x14ac:dyDescent="0.35">
      <c r="A894" s="28"/>
      <c r="B894" s="95"/>
      <c r="C894" s="20" t="s">
        <v>402</v>
      </c>
      <c r="D894" s="17"/>
      <c r="E894" s="28"/>
      <c r="F894" s="23"/>
      <c r="G894" s="23"/>
      <c r="H894" s="23"/>
      <c r="I894" s="23"/>
      <c r="J894" s="140"/>
      <c r="K894" s="140"/>
      <c r="L894" s="140"/>
      <c r="M894" s="140"/>
      <c r="N894" s="140"/>
      <c r="O894" s="140"/>
      <c r="P894" s="140"/>
      <c r="Q894" s="140"/>
      <c r="R894" s="157"/>
      <c r="T894" s="247"/>
      <c r="U894"/>
      <c r="V894" s="277"/>
    </row>
    <row r="895" spans="1:22" s="11" customFormat="1" x14ac:dyDescent="0.35">
      <c r="A895" s="26">
        <v>121</v>
      </c>
      <c r="B895" s="94" t="s">
        <v>283</v>
      </c>
      <c r="C895" s="14" t="s">
        <v>284</v>
      </c>
      <c r="D895" s="24" t="s">
        <v>23</v>
      </c>
      <c r="E895" s="21"/>
      <c r="F895" s="21"/>
      <c r="G895" s="21"/>
      <c r="H895" s="97">
        <f>VLOOKUP($A895,'Model Inputs'!$A:$D,4,FALSE)</f>
        <v>2</v>
      </c>
      <c r="I895" s="15"/>
      <c r="J895" s="138">
        <f>SUBTOTAL(9,J896:J897)</f>
        <v>2270</v>
      </c>
      <c r="K895" s="138"/>
      <c r="L895" s="138">
        <f>H895</f>
        <v>2</v>
      </c>
      <c r="M895" s="138">
        <f t="shared" ref="M895:Q895" si="1078">SUBTOTAL(9,M896:M897)</f>
        <v>0</v>
      </c>
      <c r="N895" s="138">
        <f t="shared" si="1078"/>
        <v>870</v>
      </c>
      <c r="O895" s="138">
        <f t="shared" si="1078"/>
        <v>0</v>
      </c>
      <c r="P895" s="138">
        <f t="shared" si="1078"/>
        <v>1400</v>
      </c>
      <c r="Q895" s="138">
        <f t="shared" si="1078"/>
        <v>2270</v>
      </c>
      <c r="R895" s="155"/>
      <c r="T895" s="247"/>
      <c r="U895"/>
      <c r="V895" s="277"/>
    </row>
    <row r="896" spans="1:22" s="98" customFormat="1" x14ac:dyDescent="0.35">
      <c r="A896" s="27"/>
      <c r="B896" s="92">
        <v>22</v>
      </c>
      <c r="C896" s="19" t="s">
        <v>177</v>
      </c>
      <c r="D896" s="16" t="s">
        <v>690</v>
      </c>
      <c r="E896" s="27" t="str">
        <f>VLOOKUP(C896,Resources!B:D,3,FALSE)</f>
        <v>M</v>
      </c>
      <c r="F896" s="22">
        <v>1</v>
      </c>
      <c r="G896" s="22">
        <v>1</v>
      </c>
      <c r="H896" s="22">
        <f>H895*2.5</f>
        <v>5</v>
      </c>
      <c r="I896" s="22">
        <f>VLOOKUP(C896,Resources!B:G,6,FALSE)</f>
        <v>174</v>
      </c>
      <c r="J896" s="139">
        <f t="shared" ref="J896" si="1079">(H896/(G896/F896))*I896</f>
        <v>870</v>
      </c>
      <c r="K896" s="139">
        <f t="shared" ref="K896" si="1080">IF(E896="M",H896,(H896/(G896)*F896))</f>
        <v>5</v>
      </c>
      <c r="L896" s="139" t="str">
        <f>IF(E896="M"," ",K896/F896/Workhrs)</f>
        <v xml:space="preserve"> </v>
      </c>
      <c r="M896" s="139">
        <f t="shared" ref="M896:M897" si="1081">IF($E896="L",$J896,0)</f>
        <v>0</v>
      </c>
      <c r="N896" s="139">
        <f t="shared" ref="N896:N897" si="1082">IF($E896="M",$J896,0)</f>
        <v>870</v>
      </c>
      <c r="O896" s="139">
        <f>IF($E896="P",$J896,0)</f>
        <v>0</v>
      </c>
      <c r="P896" s="139">
        <f>IF($E896="S",$J896,0)</f>
        <v>0</v>
      </c>
      <c r="Q896" s="139">
        <f>SUM(M896:P896)</f>
        <v>870</v>
      </c>
      <c r="R896" s="156" t="s">
        <v>697</v>
      </c>
      <c r="T896" s="247"/>
      <c r="U896"/>
      <c r="V896" s="277"/>
    </row>
    <row r="897" spans="1:22" s="98" customFormat="1" x14ac:dyDescent="0.35">
      <c r="A897" s="27"/>
      <c r="B897" s="92">
        <v>23</v>
      </c>
      <c r="C897" s="19" t="s">
        <v>617</v>
      </c>
      <c r="D897" s="16" t="s">
        <v>23</v>
      </c>
      <c r="E897" s="27" t="str">
        <f>VLOOKUP(C897,Resources!B:D,3,FALSE)</f>
        <v>S</v>
      </c>
      <c r="F897" s="22">
        <v>1</v>
      </c>
      <c r="G897" s="22">
        <v>1</v>
      </c>
      <c r="H897" s="22">
        <f>H895</f>
        <v>2</v>
      </c>
      <c r="I897" s="22">
        <f>VLOOKUP(C897,Resources!B:G,6,FALSE)</f>
        <v>700</v>
      </c>
      <c r="J897" s="139">
        <f t="shared" ref="J897" si="1083">(H897/(G897/F897))*I897</f>
        <v>1400</v>
      </c>
      <c r="K897" s="139">
        <f t="shared" ref="K897" si="1084">IF(E897="M",H897,(H897/(G897)*F897))</f>
        <v>2</v>
      </c>
      <c r="L897" s="139"/>
      <c r="M897" s="139">
        <f t="shared" si="1081"/>
        <v>0</v>
      </c>
      <c r="N897" s="139">
        <f t="shared" si="1082"/>
        <v>0</v>
      </c>
      <c r="O897" s="139">
        <f>IF($E897="P",$J897,0)</f>
        <v>0</v>
      </c>
      <c r="P897" s="139">
        <f>IF($E897="S",$J897,0)</f>
        <v>1400</v>
      </c>
      <c r="Q897" s="139">
        <f>SUM(M897:P897)</f>
        <v>1400</v>
      </c>
      <c r="R897" s="156">
        <v>71</v>
      </c>
      <c r="T897" s="247"/>
      <c r="U897"/>
      <c r="V897" s="277"/>
    </row>
    <row r="898" spans="1:22" s="98" customFormat="1" x14ac:dyDescent="0.35">
      <c r="A898" s="28"/>
      <c r="B898" s="95"/>
      <c r="C898" s="20" t="s">
        <v>402</v>
      </c>
      <c r="D898" s="17"/>
      <c r="E898" s="28"/>
      <c r="F898" s="23"/>
      <c r="G898" s="23"/>
      <c r="H898" s="23"/>
      <c r="I898" s="23"/>
      <c r="J898" s="140"/>
      <c r="K898" s="140"/>
      <c r="L898" s="140"/>
      <c r="M898" s="140"/>
      <c r="N898" s="140"/>
      <c r="O898" s="140"/>
      <c r="P898" s="140"/>
      <c r="Q898" s="140"/>
      <c r="R898" s="157"/>
      <c r="T898" s="247"/>
      <c r="U898"/>
      <c r="V898" s="277"/>
    </row>
    <row r="899" spans="1:22" s="11" customFormat="1" x14ac:dyDescent="0.35">
      <c r="A899" s="26">
        <v>122</v>
      </c>
      <c r="B899" s="94" t="s">
        <v>285</v>
      </c>
      <c r="C899" s="14" t="s">
        <v>410</v>
      </c>
      <c r="D899" s="24" t="s">
        <v>23</v>
      </c>
      <c r="E899" s="21"/>
      <c r="F899" s="21"/>
      <c r="G899" s="21"/>
      <c r="H899" s="97">
        <f>VLOOKUP($A899,'Model Inputs'!$A:$D,4,FALSE)</f>
        <v>33.799999999999997</v>
      </c>
      <c r="I899" s="15"/>
      <c r="J899" s="138">
        <f>SUBTOTAL(9,J900:J910)</f>
        <v>3117.6134293429345</v>
      </c>
      <c r="K899" s="138"/>
      <c r="L899" s="138">
        <f>ROUNDUP((MAX(L900:L903)+MAX(L906:L910)),0)</f>
        <v>1</v>
      </c>
      <c r="M899" s="138">
        <f t="shared" ref="M899:Q899" si="1085">SUBTOTAL(9,M900:M910)</f>
        <v>590.58426642664267</v>
      </c>
      <c r="N899" s="138">
        <f t="shared" si="1085"/>
        <v>0</v>
      </c>
      <c r="O899" s="138">
        <f t="shared" si="1085"/>
        <v>2527.0291629162916</v>
      </c>
      <c r="P899" s="138">
        <f t="shared" si="1085"/>
        <v>0</v>
      </c>
      <c r="Q899" s="138">
        <f t="shared" si="1085"/>
        <v>3117.6134293429345</v>
      </c>
      <c r="R899" s="155"/>
      <c r="T899" s="247"/>
      <c r="U899"/>
      <c r="V899" s="277"/>
    </row>
    <row r="900" spans="1:22" s="98" customFormat="1" x14ac:dyDescent="0.35">
      <c r="A900" s="27">
        <v>122.1</v>
      </c>
      <c r="B900" s="92">
        <v>1</v>
      </c>
      <c r="C900" s="19" t="s">
        <v>50</v>
      </c>
      <c r="D900" s="16" t="s">
        <v>26</v>
      </c>
      <c r="E900" s="27" t="str">
        <f>VLOOKUP(C900,Resources!B:D,3,FALSE)</f>
        <v>P</v>
      </c>
      <c r="F900" s="22">
        <v>1</v>
      </c>
      <c r="G900" s="97">
        <f>VLOOKUP($A900,'Model Inputs'!$A:$D,4,FALSE)</f>
        <v>10</v>
      </c>
      <c r="H900" s="22">
        <f>H899</f>
        <v>33.799999999999997</v>
      </c>
      <c r="I900" s="22">
        <f>VLOOKUP(C900,Resources!B:G,6,FALSE)</f>
        <v>135</v>
      </c>
      <c r="J900" s="139">
        <f t="shared" ref="J900:J903" si="1086">(H900/(G900/F900))*I900</f>
        <v>456.3</v>
      </c>
      <c r="K900" s="139">
        <f t="shared" ref="K900:K903" si="1087">IF(E900="M",H900,(H900/(G900)*F900))</f>
        <v>3.38</v>
      </c>
      <c r="L900" s="139">
        <f>IF(E900="M"," ",K900/F900/Workhrs)</f>
        <v>0.37555555555555553</v>
      </c>
      <c r="M900" s="139">
        <f t="shared" ref="M900:M903" si="1088">IF($E900="L",$J900,0)</f>
        <v>0</v>
      </c>
      <c r="N900" s="139">
        <f t="shared" ref="N900:N903" si="1089">IF($E900="M",$J900,0)</f>
        <v>0</v>
      </c>
      <c r="O900" s="139">
        <f t="shared" ref="O900:O903" si="1090">IF($E900="P",$J900,0)</f>
        <v>456.3</v>
      </c>
      <c r="P900" s="139">
        <f>IF($E900="S",$J900,0)</f>
        <v>0</v>
      </c>
      <c r="Q900" s="139">
        <f t="shared" ref="Q900:Q903" si="1091">SUM(M900:P900)</f>
        <v>456.3</v>
      </c>
      <c r="R900" s="156">
        <v>53</v>
      </c>
      <c r="T900" s="247"/>
      <c r="U900"/>
      <c r="V900" s="277"/>
    </row>
    <row r="901" spans="1:22" s="98" customFormat="1" x14ac:dyDescent="0.35">
      <c r="A901" s="27"/>
      <c r="B901" s="92">
        <v>2</v>
      </c>
      <c r="C901" s="19" t="s">
        <v>51</v>
      </c>
      <c r="D901" s="16" t="s">
        <v>26</v>
      </c>
      <c r="E901" s="27" t="str">
        <f>VLOOKUP(C901,Resources!B:D,3,FALSE)</f>
        <v>P</v>
      </c>
      <c r="F901" s="22">
        <v>1</v>
      </c>
      <c r="G901" s="22">
        <f>G900</f>
        <v>10</v>
      </c>
      <c r="H901" s="22">
        <f>H899</f>
        <v>33.799999999999997</v>
      </c>
      <c r="I901" s="22">
        <f>VLOOKUP(C901,Resources!B:G,6,FALSE)</f>
        <v>95</v>
      </c>
      <c r="J901" s="139">
        <f t="shared" si="1086"/>
        <v>321.09999999999997</v>
      </c>
      <c r="K901" s="139">
        <f t="shared" si="1087"/>
        <v>3.38</v>
      </c>
      <c r="L901" s="139">
        <f>IF(E901="M"," ",K901/F901/Workhrs)</f>
        <v>0.37555555555555553</v>
      </c>
      <c r="M901" s="139">
        <f t="shared" si="1088"/>
        <v>0</v>
      </c>
      <c r="N901" s="139">
        <f t="shared" si="1089"/>
        <v>0</v>
      </c>
      <c r="O901" s="139">
        <f t="shared" si="1090"/>
        <v>321.09999999999997</v>
      </c>
      <c r="P901" s="139">
        <f>IF($E901="S",$J901,0)</f>
        <v>0</v>
      </c>
      <c r="Q901" s="139">
        <f t="shared" si="1091"/>
        <v>321.09999999999997</v>
      </c>
      <c r="R901" s="156">
        <v>53</v>
      </c>
      <c r="T901" s="247"/>
      <c r="U901"/>
      <c r="V901" s="277"/>
    </row>
    <row r="902" spans="1:22" s="98" customFormat="1" x14ac:dyDescent="0.35">
      <c r="A902" s="27"/>
      <c r="B902" s="92">
        <v>3</v>
      </c>
      <c r="C902" s="19" t="s">
        <v>8</v>
      </c>
      <c r="D902" s="16" t="s">
        <v>26</v>
      </c>
      <c r="E902" s="27" t="str">
        <f>VLOOKUP(C902,Resources!B:D,3,FALSE)</f>
        <v>L</v>
      </c>
      <c r="F902" s="22">
        <v>2</v>
      </c>
      <c r="G902" s="22">
        <f>G900</f>
        <v>10</v>
      </c>
      <c r="H902" s="22">
        <f>H899</f>
        <v>33.799999999999997</v>
      </c>
      <c r="I902" s="22">
        <f>VLOOKUP(C902,Resources!B:G,6,FALSE)</f>
        <v>42</v>
      </c>
      <c r="J902" s="139">
        <f t="shared" si="1086"/>
        <v>283.92</v>
      </c>
      <c r="K902" s="139">
        <f t="shared" si="1087"/>
        <v>6.76</v>
      </c>
      <c r="L902" s="139">
        <f>IF(E902="M"," ",K902/F902/Workhrs)</f>
        <v>0.37555555555555553</v>
      </c>
      <c r="M902" s="139">
        <f t="shared" si="1088"/>
        <v>283.92</v>
      </c>
      <c r="N902" s="139">
        <f t="shared" si="1089"/>
        <v>0</v>
      </c>
      <c r="O902" s="139">
        <f t="shared" si="1090"/>
        <v>0</v>
      </c>
      <c r="P902" s="139">
        <f>IF($E902="S",$J902,0)</f>
        <v>0</v>
      </c>
      <c r="Q902" s="139">
        <f t="shared" si="1091"/>
        <v>283.92</v>
      </c>
      <c r="R902" s="156">
        <v>53</v>
      </c>
      <c r="T902" s="247"/>
      <c r="U902"/>
      <c r="V902" s="277"/>
    </row>
    <row r="903" spans="1:22" s="98" customFormat="1" x14ac:dyDescent="0.35">
      <c r="A903" s="27"/>
      <c r="B903" s="92">
        <v>4</v>
      </c>
      <c r="C903" s="19" t="s">
        <v>52</v>
      </c>
      <c r="D903" s="16" t="s">
        <v>26</v>
      </c>
      <c r="E903" s="27" t="str">
        <f>VLOOKUP(C903,Resources!B:D,3,FALSE)</f>
        <v>P</v>
      </c>
      <c r="F903" s="22">
        <v>1</v>
      </c>
      <c r="G903" s="22">
        <f>G900</f>
        <v>10</v>
      </c>
      <c r="H903" s="22">
        <f>H899</f>
        <v>33.799999999999997</v>
      </c>
      <c r="I903" s="22">
        <f>VLOOKUP(C903,Resources!B:G,6,FALSE)</f>
        <v>100</v>
      </c>
      <c r="J903" s="139">
        <f t="shared" si="1086"/>
        <v>338</v>
      </c>
      <c r="K903" s="139">
        <f t="shared" si="1087"/>
        <v>3.38</v>
      </c>
      <c r="L903" s="139">
        <f>IF(E903="M"," ",K903/F903/Workhrs)</f>
        <v>0.37555555555555553</v>
      </c>
      <c r="M903" s="139">
        <f t="shared" si="1088"/>
        <v>0</v>
      </c>
      <c r="N903" s="139">
        <f t="shared" si="1089"/>
        <v>0</v>
      </c>
      <c r="O903" s="139">
        <f t="shared" si="1090"/>
        <v>338</v>
      </c>
      <c r="P903" s="139">
        <f>IF($E903="S",$J903,0)</f>
        <v>0</v>
      </c>
      <c r="Q903" s="139">
        <f t="shared" si="1091"/>
        <v>338</v>
      </c>
      <c r="R903" s="156">
        <v>53</v>
      </c>
      <c r="T903" s="247"/>
      <c r="U903"/>
      <c r="V903" s="277"/>
    </row>
    <row r="904" spans="1:22" s="98" customFormat="1" ht="30" x14ac:dyDescent="0.35">
      <c r="A904" s="28"/>
      <c r="B904" s="95">
        <v>5</v>
      </c>
      <c r="C904" s="20" t="s">
        <v>62</v>
      </c>
      <c r="D904" s="17"/>
      <c r="E904" s="28"/>
      <c r="F904" s="23"/>
      <c r="G904" s="23"/>
      <c r="H904" s="23"/>
      <c r="I904" s="23"/>
      <c r="J904" s="140"/>
      <c r="K904" s="140"/>
      <c r="L904" s="140"/>
      <c r="M904" s="140"/>
      <c r="N904" s="140"/>
      <c r="O904" s="140"/>
      <c r="P904" s="140"/>
      <c r="Q904" s="140"/>
      <c r="R904" s="157"/>
      <c r="T904" s="247"/>
      <c r="U904"/>
      <c r="V904" s="277"/>
    </row>
    <row r="905" spans="1:22" s="98" customFormat="1" ht="18" customHeight="1" x14ac:dyDescent="0.35">
      <c r="A905" s="27"/>
      <c r="B905" s="92">
        <v>6</v>
      </c>
      <c r="C905" s="19" t="s">
        <v>665</v>
      </c>
      <c r="D905" s="16" t="s">
        <v>54</v>
      </c>
      <c r="E905" s="27"/>
      <c r="F905" s="22"/>
      <c r="G905" s="22"/>
      <c r="H905" s="22">
        <f>H899*GCF</f>
        <v>81.12</v>
      </c>
      <c r="I905" s="22"/>
      <c r="J905" s="139"/>
      <c r="K905" s="139"/>
      <c r="L905" s="139"/>
      <c r="M905" s="139"/>
      <c r="N905" s="139"/>
      <c r="O905" s="139"/>
      <c r="P905" s="139"/>
      <c r="Q905" s="139"/>
      <c r="R905" s="156"/>
      <c r="T905" s="247"/>
      <c r="U905"/>
      <c r="V905" s="277"/>
    </row>
    <row r="906" spans="1:22" s="98" customFormat="1" x14ac:dyDescent="0.35">
      <c r="A906" s="27">
        <v>122.2</v>
      </c>
      <c r="B906" s="92">
        <v>7</v>
      </c>
      <c r="C906" s="19" t="s">
        <v>63</v>
      </c>
      <c r="D906" s="16" t="s">
        <v>26</v>
      </c>
      <c r="E906" s="27" t="str">
        <f>VLOOKUP(C906,Resources!B:D,3,FALSE)</f>
        <v>P</v>
      </c>
      <c r="F906" s="22">
        <v>1</v>
      </c>
      <c r="G906" s="97">
        <f>VLOOKUP($A906,'Model Inputs'!$A:$D,4,FALSE)</f>
        <v>33.33</v>
      </c>
      <c r="H906" s="22">
        <f>H905</f>
        <v>81.12</v>
      </c>
      <c r="I906" s="22">
        <f>VLOOKUP(C906,Resources!B:G,6,FALSE)</f>
        <v>135</v>
      </c>
      <c r="J906" s="139">
        <f t="shared" ref="J906:J910" si="1092">(H906/(G906/F906))*I906</f>
        <v>328.5688568856886</v>
      </c>
      <c r="K906" s="139">
        <f t="shared" ref="K906:K910" si="1093">IF(E906="M",H906,(H906/(G906)*F906))</f>
        <v>2.4338433843384339</v>
      </c>
      <c r="L906" s="139">
        <f>IF(E906="M"," ",K906/F906/Workhrs)</f>
        <v>0.27042704270427043</v>
      </c>
      <c r="M906" s="139">
        <f t="shared" ref="M906:M910" si="1094">IF($E906="L",$J906,0)</f>
        <v>0</v>
      </c>
      <c r="N906" s="139">
        <f t="shared" ref="N906:N910" si="1095">IF($E906="M",$J906,0)</f>
        <v>0</v>
      </c>
      <c r="O906" s="139">
        <f t="shared" ref="O906:O910" si="1096">IF($E906="P",$J906,0)</f>
        <v>328.5688568856886</v>
      </c>
      <c r="P906" s="139">
        <f>IF($E906="S",$J906,0)</f>
        <v>0</v>
      </c>
      <c r="Q906" s="139">
        <f t="shared" ref="Q906:Q910" si="1097">SUM(M906:P906)</f>
        <v>328.5688568856886</v>
      </c>
      <c r="R906" s="156">
        <v>62</v>
      </c>
      <c r="T906" s="247"/>
      <c r="U906"/>
      <c r="V906" s="277"/>
    </row>
    <row r="907" spans="1:22" s="98" customFormat="1" x14ac:dyDescent="0.35">
      <c r="A907" s="27"/>
      <c r="B907" s="92">
        <v>8</v>
      </c>
      <c r="C907" s="19" t="s">
        <v>64</v>
      </c>
      <c r="D907" s="16" t="s">
        <v>26</v>
      </c>
      <c r="E907" s="27" t="str">
        <f>VLOOKUP(C907,Resources!B:D,3,FALSE)</f>
        <v>P</v>
      </c>
      <c r="F907" s="22">
        <v>2</v>
      </c>
      <c r="G907" s="22">
        <f>G906</f>
        <v>33.33</v>
      </c>
      <c r="H907" s="22">
        <f>H905</f>
        <v>81.12</v>
      </c>
      <c r="I907" s="22">
        <f>VLOOKUP(C907,Resources!B:G,6,FALSE)</f>
        <v>145</v>
      </c>
      <c r="J907" s="139">
        <f t="shared" si="1092"/>
        <v>705.81458145814588</v>
      </c>
      <c r="K907" s="139">
        <f t="shared" si="1093"/>
        <v>4.8676867686768679</v>
      </c>
      <c r="L907" s="139">
        <f>IF(E907="M"," ",K907/F907/Workhrs)</f>
        <v>0.27042704270427043</v>
      </c>
      <c r="M907" s="139">
        <f t="shared" si="1094"/>
        <v>0</v>
      </c>
      <c r="N907" s="139">
        <f t="shared" si="1095"/>
        <v>0</v>
      </c>
      <c r="O907" s="139">
        <f t="shared" si="1096"/>
        <v>705.81458145814588</v>
      </c>
      <c r="P907" s="139">
        <f>IF($E907="S",$J907,0)</f>
        <v>0</v>
      </c>
      <c r="Q907" s="139">
        <f t="shared" si="1097"/>
        <v>705.81458145814588</v>
      </c>
      <c r="R907" s="156">
        <v>62</v>
      </c>
      <c r="T907" s="247"/>
      <c r="U907"/>
      <c r="V907" s="277"/>
    </row>
    <row r="908" spans="1:22" s="98" customFormat="1" x14ac:dyDescent="0.35">
      <c r="A908" s="27"/>
      <c r="B908" s="92">
        <v>9</v>
      </c>
      <c r="C908" s="19" t="s">
        <v>52</v>
      </c>
      <c r="D908" s="16" t="s">
        <v>26</v>
      </c>
      <c r="E908" s="27" t="str">
        <f>VLOOKUP(C908,Resources!B:D,3,FALSE)</f>
        <v>P</v>
      </c>
      <c r="F908" s="22">
        <v>1</v>
      </c>
      <c r="G908" s="22">
        <f>G906</f>
        <v>33.33</v>
      </c>
      <c r="H908" s="22">
        <f>H905</f>
        <v>81.12</v>
      </c>
      <c r="I908" s="22">
        <f>VLOOKUP(C908,Resources!B:G,6,FALSE)</f>
        <v>100</v>
      </c>
      <c r="J908" s="139">
        <f t="shared" si="1092"/>
        <v>243.3843384338434</v>
      </c>
      <c r="K908" s="139">
        <f t="shared" si="1093"/>
        <v>2.4338433843384339</v>
      </c>
      <c r="L908" s="139">
        <f>IF(E908="M"," ",K908/F908/Workhrs)</f>
        <v>0.27042704270427043</v>
      </c>
      <c r="M908" s="139">
        <f t="shared" si="1094"/>
        <v>0</v>
      </c>
      <c r="N908" s="139">
        <f t="shared" si="1095"/>
        <v>0</v>
      </c>
      <c r="O908" s="139">
        <f t="shared" si="1096"/>
        <v>243.3843384338434</v>
      </c>
      <c r="P908" s="139">
        <f>IF($E908="S",$J908,0)</f>
        <v>0</v>
      </c>
      <c r="Q908" s="139">
        <f t="shared" si="1097"/>
        <v>243.3843384338434</v>
      </c>
      <c r="R908" s="156">
        <v>62</v>
      </c>
      <c r="T908" s="247"/>
      <c r="U908"/>
      <c r="V908" s="277"/>
    </row>
    <row r="909" spans="1:22" s="98" customFormat="1" x14ac:dyDescent="0.35">
      <c r="A909" s="27"/>
      <c r="B909" s="92">
        <v>10</v>
      </c>
      <c r="C909" s="19" t="s">
        <v>106</v>
      </c>
      <c r="D909" s="16" t="s">
        <v>26</v>
      </c>
      <c r="E909" s="27" t="str">
        <f>VLOOKUP(C909,Resources!B:D,3,FALSE)</f>
        <v>P</v>
      </c>
      <c r="F909" s="22">
        <v>1</v>
      </c>
      <c r="G909" s="22">
        <f>G906</f>
        <v>33.33</v>
      </c>
      <c r="H909" s="22">
        <f>H905</f>
        <v>81.12</v>
      </c>
      <c r="I909" s="22">
        <f>VLOOKUP(C909,Resources!B:G,6,FALSE)</f>
        <v>55</v>
      </c>
      <c r="J909" s="139">
        <f t="shared" si="1092"/>
        <v>133.86138613861388</v>
      </c>
      <c r="K909" s="139">
        <f t="shared" si="1093"/>
        <v>2.4338433843384339</v>
      </c>
      <c r="L909" s="139">
        <f>IF(E909="M"," ",K909/F909/Workhrs)</f>
        <v>0.27042704270427043</v>
      </c>
      <c r="M909" s="139">
        <f t="shared" si="1094"/>
        <v>0</v>
      </c>
      <c r="N909" s="139">
        <f t="shared" si="1095"/>
        <v>0</v>
      </c>
      <c r="O909" s="139">
        <f t="shared" si="1096"/>
        <v>133.86138613861388</v>
      </c>
      <c r="P909" s="139">
        <f>IF($E909="S",$J909,0)</f>
        <v>0</v>
      </c>
      <c r="Q909" s="139">
        <f t="shared" si="1097"/>
        <v>133.86138613861388</v>
      </c>
      <c r="R909" s="156">
        <v>62</v>
      </c>
      <c r="T909" s="247"/>
      <c r="U909"/>
      <c r="V909" s="277"/>
    </row>
    <row r="910" spans="1:22" s="98" customFormat="1" x14ac:dyDescent="0.35">
      <c r="A910" s="27"/>
      <c r="B910" s="92">
        <v>11</v>
      </c>
      <c r="C910" s="19" t="s">
        <v>8</v>
      </c>
      <c r="D910" s="16" t="s">
        <v>26</v>
      </c>
      <c r="E910" s="27" t="str">
        <f>VLOOKUP(C910,Resources!B:D,3,FALSE)</f>
        <v>L</v>
      </c>
      <c r="F910" s="22">
        <v>3</v>
      </c>
      <c r="G910" s="22">
        <f>G906</f>
        <v>33.33</v>
      </c>
      <c r="H910" s="22">
        <f>H905</f>
        <v>81.12</v>
      </c>
      <c r="I910" s="22">
        <f>VLOOKUP(C910,Resources!B:G,6,FALSE)</f>
        <v>42</v>
      </c>
      <c r="J910" s="139">
        <f t="shared" si="1092"/>
        <v>306.66426642664271</v>
      </c>
      <c r="K910" s="139">
        <f t="shared" si="1093"/>
        <v>7.3015301530153014</v>
      </c>
      <c r="L910" s="139">
        <f>IF(E910="M"," ",K910/F910/Workhrs)</f>
        <v>0.27042704270427043</v>
      </c>
      <c r="M910" s="139">
        <f t="shared" si="1094"/>
        <v>306.66426642664271</v>
      </c>
      <c r="N910" s="139">
        <f t="shared" si="1095"/>
        <v>0</v>
      </c>
      <c r="O910" s="139">
        <f t="shared" si="1096"/>
        <v>0</v>
      </c>
      <c r="P910" s="139">
        <f>IF($E910="S",$J910,0)</f>
        <v>0</v>
      </c>
      <c r="Q910" s="139">
        <f t="shared" si="1097"/>
        <v>306.66426642664271</v>
      </c>
      <c r="R910" s="156">
        <v>62</v>
      </c>
      <c r="T910" s="247"/>
      <c r="U910"/>
      <c r="V910" s="277"/>
    </row>
    <row r="911" spans="1:22" s="98" customFormat="1" x14ac:dyDescent="0.35">
      <c r="A911" s="28"/>
      <c r="B911" s="95"/>
      <c r="C911" s="20" t="s">
        <v>402</v>
      </c>
      <c r="D911" s="17"/>
      <c r="E911" s="28"/>
      <c r="F911" s="23"/>
      <c r="G911" s="23"/>
      <c r="H911" s="23"/>
      <c r="I911" s="23"/>
      <c r="J911" s="140"/>
      <c r="K911" s="140"/>
      <c r="L911" s="140"/>
      <c r="M911" s="140"/>
      <c r="N911" s="140"/>
      <c r="O911" s="140"/>
      <c r="P911" s="140"/>
      <c r="Q911" s="140"/>
      <c r="R911" s="157"/>
      <c r="T911" s="247"/>
      <c r="U911"/>
      <c r="V911" s="277"/>
    </row>
    <row r="912" spans="1:22" s="11" customFormat="1" x14ac:dyDescent="0.35">
      <c r="A912" s="26">
        <v>123</v>
      </c>
      <c r="B912" s="94" t="s">
        <v>286</v>
      </c>
      <c r="C912" s="14" t="s">
        <v>287</v>
      </c>
      <c r="D912" s="24" t="s">
        <v>23</v>
      </c>
      <c r="E912" s="21"/>
      <c r="F912" s="21"/>
      <c r="G912" s="21"/>
      <c r="H912" s="24">
        <v>1</v>
      </c>
      <c r="I912" s="15"/>
      <c r="J912" s="138"/>
      <c r="K912" s="138"/>
      <c r="L912" s="138"/>
      <c r="M912" s="138"/>
      <c r="N912" s="138"/>
      <c r="O912" s="138"/>
      <c r="P912" s="138"/>
      <c r="Q912" s="138"/>
      <c r="R912" s="155"/>
      <c r="T912" s="247"/>
      <c r="U912"/>
      <c r="V912" s="277"/>
    </row>
    <row r="913" spans="1:22" s="11" customFormat="1" x14ac:dyDescent="0.35">
      <c r="A913" s="26">
        <v>124</v>
      </c>
      <c r="B913" s="94" t="s">
        <v>288</v>
      </c>
      <c r="C913" s="14" t="s">
        <v>289</v>
      </c>
      <c r="D913" s="24" t="s">
        <v>23</v>
      </c>
      <c r="E913" s="21"/>
      <c r="F913" s="21"/>
      <c r="G913" s="21"/>
      <c r="H913" s="97">
        <f>VLOOKUP($A913,'Model Inputs'!$A:$D,4,FALSE)</f>
        <v>18</v>
      </c>
      <c r="I913" s="15"/>
      <c r="J913" s="138">
        <f>SUBTOTAL(9,J914:J918)</f>
        <v>8991.2997299729977</v>
      </c>
      <c r="K913" s="138"/>
      <c r="L913" s="138">
        <f>ROUNDUP((MAX(L914:L916)+L917),0)</f>
        <v>6</v>
      </c>
      <c r="M913" s="138">
        <f t="shared" ref="M913:Q913" si="1098">SUBTOTAL(9,M914:M918)</f>
        <v>34.023402340234021</v>
      </c>
      <c r="N913" s="138">
        <f t="shared" si="1098"/>
        <v>6264</v>
      </c>
      <c r="O913" s="138">
        <f t="shared" si="1098"/>
        <v>263.27632763276324</v>
      </c>
      <c r="P913" s="138">
        <f t="shared" si="1098"/>
        <v>2430</v>
      </c>
      <c r="Q913" s="138">
        <f t="shared" si="1098"/>
        <v>8991.2997299729977</v>
      </c>
      <c r="R913" s="155"/>
      <c r="T913" s="247"/>
      <c r="U913"/>
      <c r="V913" s="277"/>
    </row>
    <row r="914" spans="1:22" s="98" customFormat="1" x14ac:dyDescent="0.35">
      <c r="A914" s="27">
        <v>124.1</v>
      </c>
      <c r="B914" s="92">
        <v>1</v>
      </c>
      <c r="C914" s="19" t="s">
        <v>50</v>
      </c>
      <c r="D914" s="16" t="s">
        <v>26</v>
      </c>
      <c r="E914" s="27" t="str">
        <f>VLOOKUP(C914,Resources!B:D,3,FALSE)</f>
        <v>P</v>
      </c>
      <c r="F914" s="22">
        <v>1</v>
      </c>
      <c r="G914" s="97">
        <f>VLOOKUP($A914,'Model Inputs'!$A:$D,4,FALSE)</f>
        <v>22.22</v>
      </c>
      <c r="H914" s="22">
        <f>H913</f>
        <v>18</v>
      </c>
      <c r="I914" s="22">
        <f>VLOOKUP(C914,Resources!B:G,6,FALSE)</f>
        <v>135</v>
      </c>
      <c r="J914" s="139">
        <f t="shared" ref="J914:J916" si="1099">(H914/(G914/F914))*I914</f>
        <v>109.36093609360935</v>
      </c>
      <c r="K914" s="139">
        <f t="shared" ref="K914:K916" si="1100">IF(E914="M",H914,(H914/(G914)*F914))</f>
        <v>0.81008100810081007</v>
      </c>
      <c r="L914" s="139">
        <f>H914/Workhrs</f>
        <v>2</v>
      </c>
      <c r="M914" s="139">
        <f t="shared" ref="M914:M916" si="1101">IF($E914="L",$J914,0)</f>
        <v>0</v>
      </c>
      <c r="N914" s="139">
        <f t="shared" ref="N914:N916" si="1102">IF($E914="M",$J914,0)</f>
        <v>0</v>
      </c>
      <c r="O914" s="139">
        <f t="shared" ref="O914:O916" si="1103">IF($E914="P",$J914,0)</f>
        <v>109.36093609360935</v>
      </c>
      <c r="P914" s="139">
        <f>IF($E914="S",$J914,0)</f>
        <v>0</v>
      </c>
      <c r="Q914" s="139">
        <f t="shared" ref="Q914:Q916" si="1104">SUM(M914:P914)</f>
        <v>109.36093609360935</v>
      </c>
      <c r="R914" s="156">
        <v>53</v>
      </c>
      <c r="T914" s="247"/>
      <c r="U914"/>
      <c r="V914" s="277"/>
    </row>
    <row r="915" spans="1:22" s="98" customFormat="1" x14ac:dyDescent="0.35">
      <c r="A915" s="27"/>
      <c r="B915" s="92">
        <v>2</v>
      </c>
      <c r="C915" s="19" t="s">
        <v>51</v>
      </c>
      <c r="D915" s="16" t="s">
        <v>26</v>
      </c>
      <c r="E915" s="27" t="str">
        <f>VLOOKUP(C915,Resources!B:D,3,FALSE)</f>
        <v>P</v>
      </c>
      <c r="F915" s="22">
        <v>2</v>
      </c>
      <c r="G915" s="22">
        <f>G914</f>
        <v>22.22</v>
      </c>
      <c r="H915" s="22">
        <f>H913</f>
        <v>18</v>
      </c>
      <c r="I915" s="22">
        <f>VLOOKUP(C915,Resources!B:G,6,FALSE)</f>
        <v>95</v>
      </c>
      <c r="J915" s="139">
        <f t="shared" si="1099"/>
        <v>153.91539153915392</v>
      </c>
      <c r="K915" s="139">
        <f t="shared" si="1100"/>
        <v>1.6201620162016201</v>
      </c>
      <c r="L915" s="139">
        <f>H915/Workhrs</f>
        <v>2</v>
      </c>
      <c r="M915" s="139">
        <f t="shared" si="1101"/>
        <v>0</v>
      </c>
      <c r="N915" s="139">
        <f t="shared" si="1102"/>
        <v>0</v>
      </c>
      <c r="O915" s="139">
        <f t="shared" si="1103"/>
        <v>153.91539153915392</v>
      </c>
      <c r="P915" s="139">
        <f>IF($E915="S",$J915,0)</f>
        <v>0</v>
      </c>
      <c r="Q915" s="139">
        <f t="shared" si="1104"/>
        <v>153.91539153915392</v>
      </c>
      <c r="R915" s="156">
        <v>53</v>
      </c>
      <c r="T915" s="247"/>
      <c r="U915"/>
      <c r="V915" s="277"/>
    </row>
    <row r="916" spans="1:22" s="98" customFormat="1" x14ac:dyDescent="0.35">
      <c r="A916" s="27"/>
      <c r="B916" s="92">
        <v>3</v>
      </c>
      <c r="C916" s="19" t="s">
        <v>8</v>
      </c>
      <c r="D916" s="16" t="s">
        <v>26</v>
      </c>
      <c r="E916" s="27" t="str">
        <f>VLOOKUP(C916,Resources!B:D,3,FALSE)</f>
        <v>L</v>
      </c>
      <c r="F916" s="22">
        <v>1</v>
      </c>
      <c r="G916" s="22">
        <f>G914</f>
        <v>22.22</v>
      </c>
      <c r="H916" s="22">
        <f>H913</f>
        <v>18</v>
      </c>
      <c r="I916" s="22">
        <f>VLOOKUP(C916,Resources!B:G,6,FALSE)</f>
        <v>42</v>
      </c>
      <c r="J916" s="139">
        <f t="shared" si="1099"/>
        <v>34.023402340234021</v>
      </c>
      <c r="K916" s="139">
        <f t="shared" si="1100"/>
        <v>0.81008100810081007</v>
      </c>
      <c r="L916" s="139">
        <f>H916/Workhrs</f>
        <v>2</v>
      </c>
      <c r="M916" s="139">
        <f t="shared" si="1101"/>
        <v>34.023402340234021</v>
      </c>
      <c r="N916" s="139">
        <f t="shared" si="1102"/>
        <v>0</v>
      </c>
      <c r="O916" s="139">
        <f t="shared" si="1103"/>
        <v>0</v>
      </c>
      <c r="P916" s="139">
        <f>IF($E916="S",$J916,0)</f>
        <v>0</v>
      </c>
      <c r="Q916" s="139">
        <f t="shared" si="1104"/>
        <v>34.023402340234021</v>
      </c>
      <c r="R916" s="156">
        <v>53</v>
      </c>
      <c r="T916" s="247"/>
      <c r="U916"/>
      <c r="V916" s="277"/>
    </row>
    <row r="917" spans="1:22" s="98" customFormat="1" x14ac:dyDescent="0.35">
      <c r="A917" s="27"/>
      <c r="B917" s="92">
        <v>1</v>
      </c>
      <c r="C917" s="19" t="s">
        <v>125</v>
      </c>
      <c r="D917" s="16" t="s">
        <v>110</v>
      </c>
      <c r="E917" s="27" t="str">
        <f>VLOOKUP(C917,Resources!B:D,3,FALSE)</f>
        <v>S</v>
      </c>
      <c r="F917" s="22">
        <v>1</v>
      </c>
      <c r="G917" s="22">
        <v>1</v>
      </c>
      <c r="H917" s="22">
        <f>H913*5</f>
        <v>90</v>
      </c>
      <c r="I917" s="22">
        <f>VLOOKUP(C917,Resources!B:G,6,FALSE)</f>
        <v>27</v>
      </c>
      <c r="J917" s="139">
        <f t="shared" ref="J917:J918" si="1105">(H917/(G917/F917))*I917</f>
        <v>2430</v>
      </c>
      <c r="K917" s="139">
        <f t="shared" ref="K917:K918" si="1106">IF(E917="M",H917,(H917/(G917)*F917))</f>
        <v>90</v>
      </c>
      <c r="L917" s="139">
        <f>H917/(Workhrs*3)</f>
        <v>3.3333333333333335</v>
      </c>
      <c r="M917" s="139">
        <f t="shared" ref="M917:M918" si="1107">IF($E917="L",$J917,0)</f>
        <v>0</v>
      </c>
      <c r="N917" s="139">
        <f t="shared" ref="N917:N918" si="1108">IF($E917="M",$J917,0)</f>
        <v>0</v>
      </c>
      <c r="O917" s="139">
        <f>IF($E917="P",$J917,0)</f>
        <v>0</v>
      </c>
      <c r="P917" s="139">
        <f>IF($E917="S",$J917,0)</f>
        <v>2430</v>
      </c>
      <c r="Q917" s="139">
        <f>SUM(M917:P917)</f>
        <v>2430</v>
      </c>
      <c r="R917" s="156">
        <v>71</v>
      </c>
      <c r="T917" s="247"/>
      <c r="U917"/>
      <c r="V917" s="277"/>
    </row>
    <row r="918" spans="1:22" s="98" customFormat="1" x14ac:dyDescent="0.35">
      <c r="A918" s="27"/>
      <c r="B918" s="92">
        <v>2</v>
      </c>
      <c r="C918" s="19" t="s">
        <v>177</v>
      </c>
      <c r="D918" s="16" t="s">
        <v>690</v>
      </c>
      <c r="E918" s="27" t="str">
        <f>VLOOKUP(C918,Resources!B:D,3,FALSE)</f>
        <v>M</v>
      </c>
      <c r="F918" s="22">
        <v>1</v>
      </c>
      <c r="G918" s="22">
        <v>1</v>
      </c>
      <c r="H918" s="22">
        <f>H913*2</f>
        <v>36</v>
      </c>
      <c r="I918" s="22">
        <f>VLOOKUP(C918,Resources!B:G,6,FALSE)</f>
        <v>174</v>
      </c>
      <c r="J918" s="139">
        <f t="shared" si="1105"/>
        <v>6264</v>
      </c>
      <c r="K918" s="139">
        <f t="shared" si="1106"/>
        <v>36</v>
      </c>
      <c r="L918" s="139" t="str">
        <f>IF(E918="M"," ",K918/F918/Workhrs)</f>
        <v xml:space="preserve"> </v>
      </c>
      <c r="M918" s="139">
        <f t="shared" si="1107"/>
        <v>0</v>
      </c>
      <c r="N918" s="139">
        <f t="shared" si="1108"/>
        <v>6264</v>
      </c>
      <c r="O918" s="139">
        <f>IF($E918="P",$J918,0)</f>
        <v>0</v>
      </c>
      <c r="P918" s="139">
        <f>IF($E918="S",$J918,0)</f>
        <v>0</v>
      </c>
      <c r="Q918" s="139">
        <f>SUM(M918:P918)</f>
        <v>6264</v>
      </c>
      <c r="R918" s="156" t="s">
        <v>697</v>
      </c>
      <c r="T918" s="247"/>
      <c r="U918"/>
      <c r="V918" s="277"/>
    </row>
    <row r="919" spans="1:22" s="98" customFormat="1" x14ac:dyDescent="0.35">
      <c r="A919" s="28"/>
      <c r="B919" s="95"/>
      <c r="C919" s="20" t="s">
        <v>402</v>
      </c>
      <c r="D919" s="17"/>
      <c r="E919" s="28"/>
      <c r="F919" s="23"/>
      <c r="G919" s="23"/>
      <c r="H919" s="23"/>
      <c r="I919" s="23"/>
      <c r="J919" s="140"/>
      <c r="K919" s="140"/>
      <c r="L919" s="140"/>
      <c r="M919" s="140"/>
      <c r="N919" s="140"/>
      <c r="O919" s="140"/>
      <c r="P919" s="140"/>
      <c r="Q919" s="140"/>
      <c r="R919" s="157"/>
      <c r="T919" s="247"/>
      <c r="U919"/>
      <c r="V919" s="277"/>
    </row>
    <row r="920" spans="1:22" s="11" customFormat="1" x14ac:dyDescent="0.35">
      <c r="A920" s="26">
        <v>125</v>
      </c>
      <c r="B920" s="94" t="s">
        <v>290</v>
      </c>
      <c r="C920" s="14" t="s">
        <v>291</v>
      </c>
      <c r="D920" s="24" t="s">
        <v>23</v>
      </c>
      <c r="E920" s="21"/>
      <c r="F920" s="21"/>
      <c r="G920" s="21"/>
      <c r="H920" s="97">
        <f>VLOOKUP($A920,'Model Inputs'!$A:$D,4,FALSE)</f>
        <v>200</v>
      </c>
      <c r="I920" s="15"/>
      <c r="J920" s="138">
        <f>SUBTOTAL(9,J921:J923)</f>
        <v>3303.3303330333033</v>
      </c>
      <c r="K920" s="138"/>
      <c r="L920" s="138">
        <f>ROUND(MAX(L921:L923),0)</f>
        <v>1</v>
      </c>
      <c r="M920" s="138">
        <f t="shared" ref="M920:Q920" si="1109">SUBTOTAL(9,M921:M923)</f>
        <v>378.03780378037806</v>
      </c>
      <c r="N920" s="138">
        <f t="shared" si="1109"/>
        <v>0</v>
      </c>
      <c r="O920" s="138">
        <f t="shared" si="1109"/>
        <v>2925.2925292529253</v>
      </c>
      <c r="P920" s="138">
        <f t="shared" si="1109"/>
        <v>0</v>
      </c>
      <c r="Q920" s="138">
        <f t="shared" si="1109"/>
        <v>3303.3303330333033</v>
      </c>
      <c r="R920" s="155"/>
      <c r="T920" s="247"/>
      <c r="U920"/>
      <c r="V920" s="277"/>
    </row>
    <row r="921" spans="1:22" s="98" customFormat="1" x14ac:dyDescent="0.35">
      <c r="A921" s="27">
        <v>125.1</v>
      </c>
      <c r="B921" s="92">
        <v>1</v>
      </c>
      <c r="C921" s="19" t="s">
        <v>50</v>
      </c>
      <c r="D921" s="16" t="s">
        <v>26</v>
      </c>
      <c r="E921" s="27" t="str">
        <f>VLOOKUP(C921,Resources!B:D,3,FALSE)</f>
        <v>P</v>
      </c>
      <c r="F921" s="22">
        <v>1</v>
      </c>
      <c r="G921" s="97">
        <f>VLOOKUP($A921,'Model Inputs'!$A:$D,4,FALSE)</f>
        <v>22.22</v>
      </c>
      <c r="H921" s="22">
        <f>H920</f>
        <v>200</v>
      </c>
      <c r="I921" s="22">
        <f>VLOOKUP(C921,Resources!B:G,6,FALSE)</f>
        <v>135</v>
      </c>
      <c r="J921" s="139">
        <f t="shared" ref="J921:J923" si="1110">(H921/(G921/F921))*I921</f>
        <v>1215.121512151215</v>
      </c>
      <c r="K921" s="139">
        <f t="shared" ref="K921:K923" si="1111">IF(E921="M",H921,(H921/(G921)*F921))</f>
        <v>9.0009000900090008</v>
      </c>
      <c r="L921" s="139">
        <f>IF(E921="M"," ",K921/F921/Workhrs)</f>
        <v>1.000100010001</v>
      </c>
      <c r="M921" s="139">
        <f t="shared" ref="M921:M923" si="1112">IF($E921="L",$J921,0)</f>
        <v>0</v>
      </c>
      <c r="N921" s="139">
        <f t="shared" ref="N921:N923" si="1113">IF($E921="M",$J921,0)</f>
        <v>0</v>
      </c>
      <c r="O921" s="139">
        <f t="shared" ref="O921:O923" si="1114">IF($E921="P",$J921,0)</f>
        <v>1215.121512151215</v>
      </c>
      <c r="P921" s="139">
        <f>IF($E921="S",$J921,0)</f>
        <v>0</v>
      </c>
      <c r="Q921" s="139">
        <f t="shared" ref="Q921:Q923" si="1115">SUM(M921:P921)</f>
        <v>1215.121512151215</v>
      </c>
      <c r="R921" s="156">
        <v>53</v>
      </c>
      <c r="T921" s="247"/>
      <c r="U921"/>
      <c r="V921" s="277"/>
    </row>
    <row r="922" spans="1:22" s="98" customFormat="1" x14ac:dyDescent="0.35">
      <c r="A922" s="27"/>
      <c r="B922" s="92">
        <v>2</v>
      </c>
      <c r="C922" s="19" t="s">
        <v>51</v>
      </c>
      <c r="D922" s="16" t="s">
        <v>26</v>
      </c>
      <c r="E922" s="27" t="str">
        <f>VLOOKUP(C922,Resources!B:D,3,FALSE)</f>
        <v>P</v>
      </c>
      <c r="F922" s="22">
        <v>2</v>
      </c>
      <c r="G922" s="22">
        <f>G921</f>
        <v>22.22</v>
      </c>
      <c r="H922" s="22">
        <f>H920</f>
        <v>200</v>
      </c>
      <c r="I922" s="22">
        <f>VLOOKUP(C922,Resources!B:G,6,FALSE)</f>
        <v>95</v>
      </c>
      <c r="J922" s="139">
        <f t="shared" si="1110"/>
        <v>1710.17101710171</v>
      </c>
      <c r="K922" s="139">
        <f t="shared" si="1111"/>
        <v>18.001800180018002</v>
      </c>
      <c r="L922" s="139">
        <f>IF(E922="M"," ",K922/F922/Workhrs)</f>
        <v>1.000100010001</v>
      </c>
      <c r="M922" s="139">
        <f t="shared" si="1112"/>
        <v>0</v>
      </c>
      <c r="N922" s="139">
        <f t="shared" si="1113"/>
        <v>0</v>
      </c>
      <c r="O922" s="139">
        <f t="shared" si="1114"/>
        <v>1710.17101710171</v>
      </c>
      <c r="P922" s="139">
        <f>IF($E922="S",$J922,0)</f>
        <v>0</v>
      </c>
      <c r="Q922" s="139">
        <f t="shared" si="1115"/>
        <v>1710.17101710171</v>
      </c>
      <c r="R922" s="156">
        <v>53</v>
      </c>
      <c r="T922" s="247"/>
      <c r="U922"/>
      <c r="V922" s="277"/>
    </row>
    <row r="923" spans="1:22" s="98" customFormat="1" x14ac:dyDescent="0.35">
      <c r="A923" s="27"/>
      <c r="B923" s="92">
        <v>3</v>
      </c>
      <c r="C923" s="19" t="s">
        <v>8</v>
      </c>
      <c r="D923" s="16" t="s">
        <v>26</v>
      </c>
      <c r="E923" s="27" t="str">
        <f>VLOOKUP(C923,Resources!B:D,3,FALSE)</f>
        <v>L</v>
      </c>
      <c r="F923" s="22">
        <v>1</v>
      </c>
      <c r="G923" s="22">
        <f>G921</f>
        <v>22.22</v>
      </c>
      <c r="H923" s="22">
        <f>H920</f>
        <v>200</v>
      </c>
      <c r="I923" s="22">
        <f>VLOOKUP(C923,Resources!B:G,6,FALSE)</f>
        <v>42</v>
      </c>
      <c r="J923" s="139">
        <f t="shared" si="1110"/>
        <v>378.03780378037806</v>
      </c>
      <c r="K923" s="139">
        <f t="shared" si="1111"/>
        <v>9.0009000900090008</v>
      </c>
      <c r="L923" s="139">
        <f>IF(E923="M"," ",K923/F923/Workhrs)</f>
        <v>1.000100010001</v>
      </c>
      <c r="M923" s="139">
        <f t="shared" si="1112"/>
        <v>378.03780378037806</v>
      </c>
      <c r="N923" s="139">
        <f t="shared" si="1113"/>
        <v>0</v>
      </c>
      <c r="O923" s="139">
        <f t="shared" si="1114"/>
        <v>0</v>
      </c>
      <c r="P923" s="139">
        <f>IF($E923="S",$J923,0)</f>
        <v>0</v>
      </c>
      <c r="Q923" s="139">
        <f t="shared" si="1115"/>
        <v>378.03780378037806</v>
      </c>
      <c r="R923" s="156">
        <v>53</v>
      </c>
      <c r="T923" s="247"/>
      <c r="U923"/>
      <c r="V923" s="277"/>
    </row>
    <row r="924" spans="1:22" s="98" customFormat="1" x14ac:dyDescent="0.35">
      <c r="A924" s="28"/>
      <c r="B924" s="95"/>
      <c r="C924" s="20" t="s">
        <v>402</v>
      </c>
      <c r="D924" s="17"/>
      <c r="E924" s="28"/>
      <c r="F924" s="23"/>
      <c r="G924" s="23"/>
      <c r="H924" s="23"/>
      <c r="I924" s="23"/>
      <c r="J924" s="140"/>
      <c r="K924" s="140"/>
      <c r="L924" s="140"/>
      <c r="M924" s="140"/>
      <c r="N924" s="140"/>
      <c r="O924" s="140"/>
      <c r="P924" s="140"/>
      <c r="Q924" s="140"/>
      <c r="R924" s="157"/>
      <c r="T924" s="247"/>
      <c r="U924"/>
      <c r="V924" s="277"/>
    </row>
    <row r="925" spans="1:22" s="11" customFormat="1" x14ac:dyDescent="0.35">
      <c r="A925" s="26">
        <v>126</v>
      </c>
      <c r="B925" s="94" t="s">
        <v>292</v>
      </c>
      <c r="C925" s="14" t="s">
        <v>293</v>
      </c>
      <c r="D925" s="24" t="s">
        <v>23</v>
      </c>
      <c r="E925" s="21"/>
      <c r="F925" s="21"/>
      <c r="G925" s="21"/>
      <c r="H925" s="97">
        <f>VLOOKUP($A925,'Model Inputs'!$A:$D,4,FALSE)</f>
        <v>2</v>
      </c>
      <c r="I925" s="15">
        <v>3000</v>
      </c>
      <c r="J925" s="138">
        <f>SUBTOTAL(9,J926:J930)</f>
        <v>2641.590909090909</v>
      </c>
      <c r="K925" s="138"/>
      <c r="L925" s="138">
        <f>ROUNDUP(MAX(L927:L930),0)</f>
        <v>1</v>
      </c>
      <c r="M925" s="138">
        <f t="shared" ref="M925" si="1116">SUBTOTAL(9,M926:M930)</f>
        <v>509.09090909090907</v>
      </c>
      <c r="N925" s="138">
        <f t="shared" ref="N925" si="1117">SUBTOTAL(9,N926:N930)</f>
        <v>132.5</v>
      </c>
      <c r="O925" s="138">
        <f t="shared" ref="O925" si="1118">SUBTOTAL(9,O926:O930)</f>
        <v>2000</v>
      </c>
      <c r="P925" s="138">
        <f t="shared" ref="P925" si="1119">SUBTOTAL(9,P926:P930)</f>
        <v>0</v>
      </c>
      <c r="Q925" s="138">
        <f t="shared" ref="Q925" si="1120">SUBTOTAL(9,Q926:Q930)</f>
        <v>2641.590909090909</v>
      </c>
      <c r="R925" s="155"/>
      <c r="T925" s="247"/>
      <c r="U925"/>
      <c r="V925" s="277"/>
    </row>
    <row r="926" spans="1:22" s="98" customFormat="1" x14ac:dyDescent="0.35">
      <c r="A926" s="27"/>
      <c r="B926" s="92">
        <v>1</v>
      </c>
      <c r="C926" s="19" t="s">
        <v>503</v>
      </c>
      <c r="D926" s="16" t="s">
        <v>26</v>
      </c>
      <c r="E926" s="27" t="str">
        <f>VLOOKUP(C926,Resources!B:D,3,FALSE)</f>
        <v>M</v>
      </c>
      <c r="F926" s="22">
        <v>1</v>
      </c>
      <c r="G926" s="22">
        <v>1</v>
      </c>
      <c r="H926" s="22">
        <f>H925*2.5</f>
        <v>5</v>
      </c>
      <c r="I926" s="22">
        <f>VLOOKUP(C926,Resources!B:G,6,FALSE)</f>
        <v>26.5</v>
      </c>
      <c r="J926" s="139">
        <f>(H926/(G926/F926))*I926</f>
        <v>132.5</v>
      </c>
      <c r="K926" s="139">
        <f t="shared" ref="K926:K930" si="1121">IF(E926="M",H926,(H926/(G926)*F926))</f>
        <v>5</v>
      </c>
      <c r="L926" s="139" t="str">
        <f>IF(E926="M"," ",K926/F926/Workhrs)</f>
        <v xml:space="preserve"> </v>
      </c>
      <c r="M926" s="139">
        <f t="shared" ref="M926:M930" si="1122">IF($E926="L",$J926,0)</f>
        <v>0</v>
      </c>
      <c r="N926" s="139">
        <f t="shared" ref="N926:N930" si="1123">IF($E926="M",$J926,0)</f>
        <v>132.5</v>
      </c>
      <c r="O926" s="139">
        <f t="shared" ref="O926:O930" si="1124">IF($E926="P",$J926,0)</f>
        <v>0</v>
      </c>
      <c r="P926" s="139">
        <f>IF($E926="S",$J926,0)</f>
        <v>0</v>
      </c>
      <c r="Q926" s="139">
        <f t="shared" ref="Q926:Q930" si="1125">SUM(M926:P926)</f>
        <v>132.5</v>
      </c>
      <c r="R926" s="156">
        <v>53</v>
      </c>
      <c r="T926" s="247"/>
      <c r="U926"/>
      <c r="V926" s="277"/>
    </row>
    <row r="927" spans="1:22" s="98" customFormat="1" x14ac:dyDescent="0.35">
      <c r="A927" s="27">
        <v>126.1</v>
      </c>
      <c r="B927" s="92">
        <v>1</v>
      </c>
      <c r="C927" s="19" t="s">
        <v>50</v>
      </c>
      <c r="D927" s="16" t="s">
        <v>26</v>
      </c>
      <c r="E927" s="27" t="str">
        <f>VLOOKUP(C927,Resources!B:D,3,FALSE)</f>
        <v>P</v>
      </c>
      <c r="F927" s="22">
        <v>1</v>
      </c>
      <c r="G927" s="97">
        <f>VLOOKUP($A927,'Model Inputs'!$A:$D,4,FALSE)</f>
        <v>0.33</v>
      </c>
      <c r="H927" s="22">
        <f>H925</f>
        <v>2</v>
      </c>
      <c r="I927" s="22">
        <f>VLOOKUP(C927,Resources!B:G,6,FALSE)</f>
        <v>135</v>
      </c>
      <c r="J927" s="139">
        <f t="shared" ref="J927:J930" si="1126">(H927/(G927/F927))*I927</f>
        <v>818.18181818181813</v>
      </c>
      <c r="K927" s="139">
        <f t="shared" si="1121"/>
        <v>6.0606060606060606</v>
      </c>
      <c r="L927" s="139">
        <f>IF(E927="M"," ",K927/F927/Workhrs)</f>
        <v>0.67340067340067344</v>
      </c>
      <c r="M927" s="139">
        <f t="shared" si="1122"/>
        <v>0</v>
      </c>
      <c r="N927" s="139">
        <f t="shared" si="1123"/>
        <v>0</v>
      </c>
      <c r="O927" s="139">
        <f t="shared" si="1124"/>
        <v>818.18181818181813</v>
      </c>
      <c r="P927" s="139">
        <f>IF($E927="S",$J927,0)</f>
        <v>0</v>
      </c>
      <c r="Q927" s="139">
        <f t="shared" si="1125"/>
        <v>818.18181818181813</v>
      </c>
      <c r="R927" s="156">
        <v>53</v>
      </c>
      <c r="T927" s="247"/>
      <c r="U927"/>
      <c r="V927" s="277"/>
    </row>
    <row r="928" spans="1:22" s="98" customFormat="1" x14ac:dyDescent="0.35">
      <c r="A928" s="27"/>
      <c r="B928" s="92">
        <v>2</v>
      </c>
      <c r="C928" s="19" t="s">
        <v>51</v>
      </c>
      <c r="D928" s="16" t="s">
        <v>26</v>
      </c>
      <c r="E928" s="27" t="str">
        <f>VLOOKUP(C928,Resources!B:D,3,FALSE)</f>
        <v>P</v>
      </c>
      <c r="F928" s="22">
        <v>1</v>
      </c>
      <c r="G928" s="22">
        <f>G927</f>
        <v>0.33</v>
      </c>
      <c r="H928" s="22">
        <f>H925</f>
        <v>2</v>
      </c>
      <c r="I928" s="22">
        <f>VLOOKUP(C928,Resources!B:G,6,FALSE)</f>
        <v>95</v>
      </c>
      <c r="J928" s="139">
        <f t="shared" si="1126"/>
        <v>575.75757575757575</v>
      </c>
      <c r="K928" s="139">
        <f t="shared" si="1121"/>
        <v>6.0606060606060606</v>
      </c>
      <c r="L928" s="139">
        <f>IF(E928="M"," ",K928/F928/Workhrs)</f>
        <v>0.67340067340067344</v>
      </c>
      <c r="M928" s="139">
        <f t="shared" si="1122"/>
        <v>0</v>
      </c>
      <c r="N928" s="139">
        <f t="shared" si="1123"/>
        <v>0</v>
      </c>
      <c r="O928" s="139">
        <f t="shared" si="1124"/>
        <v>575.75757575757575</v>
      </c>
      <c r="P928" s="139">
        <f>IF($E928="S",$J928,0)</f>
        <v>0</v>
      </c>
      <c r="Q928" s="139">
        <f t="shared" si="1125"/>
        <v>575.75757575757575</v>
      </c>
      <c r="R928" s="156">
        <v>53</v>
      </c>
      <c r="T928" s="247"/>
      <c r="U928"/>
      <c r="V928" s="277"/>
    </row>
    <row r="929" spans="1:22" s="98" customFormat="1" x14ac:dyDescent="0.35">
      <c r="A929" s="27"/>
      <c r="B929" s="92">
        <v>3</v>
      </c>
      <c r="C929" s="19" t="s">
        <v>8</v>
      </c>
      <c r="D929" s="16" t="s">
        <v>26</v>
      </c>
      <c r="E929" s="27" t="str">
        <f>VLOOKUP(C929,Resources!B:D,3,FALSE)</f>
        <v>L</v>
      </c>
      <c r="F929" s="22">
        <v>2</v>
      </c>
      <c r="G929" s="22">
        <f>G927</f>
        <v>0.33</v>
      </c>
      <c r="H929" s="22">
        <f>H925</f>
        <v>2</v>
      </c>
      <c r="I929" s="22">
        <f>VLOOKUP(C929,Resources!B:G,6,FALSE)</f>
        <v>42</v>
      </c>
      <c r="J929" s="139">
        <f t="shared" si="1126"/>
        <v>509.09090909090907</v>
      </c>
      <c r="K929" s="139">
        <f t="shared" si="1121"/>
        <v>12.121212121212121</v>
      </c>
      <c r="L929" s="139">
        <f>IF(E929="M"," ",K929/F929/Workhrs)</f>
        <v>0.67340067340067344</v>
      </c>
      <c r="M929" s="139">
        <f t="shared" si="1122"/>
        <v>509.09090909090907</v>
      </c>
      <c r="N929" s="139">
        <f t="shared" si="1123"/>
        <v>0</v>
      </c>
      <c r="O929" s="139">
        <f t="shared" si="1124"/>
        <v>0</v>
      </c>
      <c r="P929" s="139">
        <f>IF($E929="S",$J929,0)</f>
        <v>0</v>
      </c>
      <c r="Q929" s="139">
        <f t="shared" si="1125"/>
        <v>509.09090909090907</v>
      </c>
      <c r="R929" s="156">
        <v>53</v>
      </c>
      <c r="T929" s="247"/>
      <c r="U929"/>
      <c r="V929" s="277"/>
    </row>
    <row r="930" spans="1:22" s="98" customFormat="1" x14ac:dyDescent="0.35">
      <c r="A930" s="27"/>
      <c r="B930" s="92">
        <v>4</v>
      </c>
      <c r="C930" s="19" t="s">
        <v>52</v>
      </c>
      <c r="D930" s="16" t="s">
        <v>26</v>
      </c>
      <c r="E930" s="27" t="str">
        <f>VLOOKUP(C930,Resources!B:D,3,FALSE)</f>
        <v>P</v>
      </c>
      <c r="F930" s="22">
        <v>1</v>
      </c>
      <c r="G930" s="22">
        <f>G927</f>
        <v>0.33</v>
      </c>
      <c r="H930" s="22">
        <f>H925</f>
        <v>2</v>
      </c>
      <c r="I930" s="22">
        <f>VLOOKUP(C930,Resources!B:G,6,FALSE)</f>
        <v>100</v>
      </c>
      <c r="J930" s="139">
        <f t="shared" si="1126"/>
        <v>606.06060606060601</v>
      </c>
      <c r="K930" s="139">
        <f t="shared" si="1121"/>
        <v>6.0606060606060606</v>
      </c>
      <c r="L930" s="139">
        <f>IF(E930="M"," ",K930/F930/Workhrs)</f>
        <v>0.67340067340067344</v>
      </c>
      <c r="M930" s="139">
        <f t="shared" si="1122"/>
        <v>0</v>
      </c>
      <c r="N930" s="139">
        <f t="shared" si="1123"/>
        <v>0</v>
      </c>
      <c r="O930" s="139">
        <f t="shared" si="1124"/>
        <v>606.06060606060601</v>
      </c>
      <c r="P930" s="139">
        <f>IF($E930="S",$J930,0)</f>
        <v>0</v>
      </c>
      <c r="Q930" s="139">
        <f t="shared" si="1125"/>
        <v>606.06060606060601</v>
      </c>
      <c r="R930" s="156">
        <v>53</v>
      </c>
      <c r="T930" s="247"/>
      <c r="U930"/>
      <c r="V930" s="277"/>
    </row>
    <row r="931" spans="1:22" s="98" customFormat="1" x14ac:dyDescent="0.35">
      <c r="A931" s="28"/>
      <c r="B931" s="95"/>
      <c r="C931" s="20" t="s">
        <v>402</v>
      </c>
      <c r="D931" s="17"/>
      <c r="E931" s="28"/>
      <c r="F931" s="23"/>
      <c r="G931" s="23"/>
      <c r="H931" s="23"/>
      <c r="I931" s="23"/>
      <c r="J931" s="140"/>
      <c r="K931" s="140"/>
      <c r="L931" s="140"/>
      <c r="M931" s="140"/>
      <c r="N931" s="140"/>
      <c r="O931" s="140"/>
      <c r="P931" s="140"/>
      <c r="Q931" s="140"/>
      <c r="R931" s="157"/>
      <c r="T931" s="247"/>
      <c r="U931"/>
      <c r="V931" s="277"/>
    </row>
    <row r="932" spans="1:22" s="11" customFormat="1" x14ac:dyDescent="0.35">
      <c r="A932" s="26">
        <v>127</v>
      </c>
      <c r="B932" s="94" t="s">
        <v>294</v>
      </c>
      <c r="C932" s="14" t="s">
        <v>295</v>
      </c>
      <c r="D932" s="24" t="s">
        <v>45</v>
      </c>
      <c r="E932" s="29"/>
      <c r="F932" s="21"/>
      <c r="G932" s="21"/>
      <c r="H932" s="24">
        <v>2.4</v>
      </c>
      <c r="I932" s="15"/>
      <c r="J932" s="138">
        <f>SUBTOTAL(9,J934:J949)</f>
        <v>3181.7675555555556</v>
      </c>
      <c r="K932" s="138"/>
      <c r="L932" s="138">
        <f>ROUNDUP((L938+1),0)+ROUNDUP(MAX(L943:L949),0)</f>
        <v>3</v>
      </c>
      <c r="M932" s="138">
        <f t="shared" ref="M932:Q932" si="1127">SUBTOTAL(9,M934:M949)</f>
        <v>756</v>
      </c>
      <c r="N932" s="138">
        <f t="shared" si="1127"/>
        <v>1190.2675555555556</v>
      </c>
      <c r="O932" s="138">
        <f t="shared" si="1127"/>
        <v>1127.5</v>
      </c>
      <c r="P932" s="138">
        <f t="shared" si="1127"/>
        <v>108</v>
      </c>
      <c r="Q932" s="138">
        <f t="shared" si="1127"/>
        <v>3181.7675555555556</v>
      </c>
      <c r="R932" s="155"/>
      <c r="T932" s="247"/>
      <c r="U932"/>
      <c r="V932" s="277"/>
    </row>
    <row r="933" spans="1:22" s="98" customFormat="1" x14ac:dyDescent="0.35">
      <c r="A933" s="27">
        <v>127.1</v>
      </c>
      <c r="B933" s="92">
        <v>2</v>
      </c>
      <c r="C933" s="19" t="s">
        <v>704</v>
      </c>
      <c r="D933" s="16" t="s">
        <v>110</v>
      </c>
      <c r="E933" s="27"/>
      <c r="F933" s="22"/>
      <c r="G933" s="22"/>
      <c r="H933" s="97">
        <f>VLOOKUP($A933,'Model Inputs'!$A:$D,4,FALSE)</f>
        <v>4</v>
      </c>
      <c r="I933" s="22"/>
      <c r="J933" s="139"/>
      <c r="K933" s="139"/>
      <c r="L933" s="139"/>
      <c r="M933" s="139"/>
      <c r="N933" s="139"/>
      <c r="O933" s="139"/>
      <c r="P933" s="139"/>
      <c r="Q933" s="139"/>
      <c r="R933" s="156"/>
      <c r="T933" s="247"/>
      <c r="U933"/>
      <c r="V933" s="277"/>
    </row>
    <row r="934" spans="1:22" s="98" customFormat="1" x14ac:dyDescent="0.35">
      <c r="A934" s="27"/>
      <c r="B934" s="92">
        <v>3</v>
      </c>
      <c r="C934" s="19" t="s">
        <v>75</v>
      </c>
      <c r="D934" s="16" t="s">
        <v>54</v>
      </c>
      <c r="E934" s="27" t="str">
        <f>VLOOKUP(C934,Resources!B:D,3,FALSE)</f>
        <v>M</v>
      </c>
      <c r="F934" s="22">
        <v>1</v>
      </c>
      <c r="G934" s="22">
        <v>1</v>
      </c>
      <c r="H934" s="22">
        <f>H933*0.1</f>
        <v>0.4</v>
      </c>
      <c r="I934" s="22">
        <f>VLOOKUP(C934,Resources!B:G,6,FALSE)</f>
        <v>24</v>
      </c>
      <c r="J934" s="139">
        <f t="shared" ref="J934:J938" si="1128">(H934/(G934/F934))*I934</f>
        <v>9.6000000000000014</v>
      </c>
      <c r="K934" s="139">
        <f t="shared" ref="K934:K938" si="1129">IF(E934="M",H934,(H934/(G934)*F934))</f>
        <v>0.4</v>
      </c>
      <c r="L934" s="139" t="str">
        <f>IF(E934="M"," ",K934/F934/Workhrs)</f>
        <v xml:space="preserve"> </v>
      </c>
      <c r="M934" s="139">
        <f t="shared" ref="M934:M938" si="1130">IF($E934="L",$J934,0)</f>
        <v>0</v>
      </c>
      <c r="N934" s="139">
        <f t="shared" ref="N934:N938" si="1131">IF($E934="M",$J934,0)</f>
        <v>9.6000000000000014</v>
      </c>
      <c r="O934" s="139">
        <f t="shared" ref="O934:O938" si="1132">IF($E934="P",$J934,0)</f>
        <v>0</v>
      </c>
      <c r="P934" s="139">
        <f>IF($E934="S",$J934,0)</f>
        <v>0</v>
      </c>
      <c r="Q934" s="139">
        <f t="shared" ref="Q934:Q938" si="1133">SUM(M934:P934)</f>
        <v>9.6000000000000014</v>
      </c>
      <c r="R934" s="156" t="s">
        <v>692</v>
      </c>
      <c r="T934" s="247"/>
      <c r="U934"/>
      <c r="V934" s="277"/>
    </row>
    <row r="935" spans="1:22" s="98" customFormat="1" x14ac:dyDescent="0.35">
      <c r="A935" s="27"/>
      <c r="B935" s="92">
        <v>4</v>
      </c>
      <c r="C935" s="19" t="s">
        <v>120</v>
      </c>
      <c r="D935" s="16" t="s">
        <v>110</v>
      </c>
      <c r="E935" s="27" t="str">
        <f>VLOOKUP(C935,Resources!B:D,3,FALSE)</f>
        <v>M</v>
      </c>
      <c r="F935" s="22">
        <v>1</v>
      </c>
      <c r="G935" s="22">
        <v>1</v>
      </c>
      <c r="H935" s="22">
        <f>H933*1.2</f>
        <v>4.8</v>
      </c>
      <c r="I935" s="22">
        <f>VLOOKUP(C935,Resources!B:G,6,FALSE)</f>
        <v>9.1</v>
      </c>
      <c r="J935" s="139">
        <f t="shared" si="1128"/>
        <v>43.68</v>
      </c>
      <c r="K935" s="139">
        <f t="shared" si="1129"/>
        <v>4.8</v>
      </c>
      <c r="L935" s="139" t="str">
        <f>IF(E935="M"," ",K935/F935/Workhrs)</f>
        <v xml:space="preserve"> </v>
      </c>
      <c r="M935" s="139">
        <f t="shared" si="1130"/>
        <v>0</v>
      </c>
      <c r="N935" s="139">
        <f t="shared" si="1131"/>
        <v>43.68</v>
      </c>
      <c r="O935" s="139">
        <f t="shared" si="1132"/>
        <v>0</v>
      </c>
      <c r="P935" s="139">
        <f>IF($E935="S",$J935,0)</f>
        <v>0</v>
      </c>
      <c r="Q935" s="139">
        <f t="shared" si="1133"/>
        <v>43.68</v>
      </c>
      <c r="R935" s="156" t="s">
        <v>695</v>
      </c>
      <c r="T935" s="247"/>
      <c r="U935"/>
      <c r="V935" s="277"/>
    </row>
    <row r="936" spans="1:22" s="98" customFormat="1" x14ac:dyDescent="0.35">
      <c r="A936" s="27"/>
      <c r="B936" s="92">
        <v>5</v>
      </c>
      <c r="C936" s="19" t="s">
        <v>124</v>
      </c>
      <c r="D936" s="16" t="s">
        <v>23</v>
      </c>
      <c r="E936" s="27" t="str">
        <f>VLOOKUP(C936,Resources!B:D,3,FALSE)</f>
        <v>M</v>
      </c>
      <c r="F936" s="22">
        <v>1</v>
      </c>
      <c r="G936" s="22">
        <v>1</v>
      </c>
      <c r="H936" s="22">
        <f>H933/0.9</f>
        <v>4.4444444444444446</v>
      </c>
      <c r="I936" s="22">
        <f>VLOOKUP(C936,Resources!B:G,6,FALSE)</f>
        <v>0.8</v>
      </c>
      <c r="J936" s="139">
        <f t="shared" si="1128"/>
        <v>3.5555555555555558</v>
      </c>
      <c r="K936" s="139">
        <f t="shared" si="1129"/>
        <v>4.4444444444444446</v>
      </c>
      <c r="L936" s="139" t="str">
        <f>IF(E936="M"," ",K936/F936/Workhrs)</f>
        <v xml:space="preserve"> </v>
      </c>
      <c r="M936" s="139">
        <f t="shared" si="1130"/>
        <v>0</v>
      </c>
      <c r="N936" s="139">
        <f t="shared" si="1131"/>
        <v>3.5555555555555558</v>
      </c>
      <c r="O936" s="139">
        <f t="shared" si="1132"/>
        <v>0</v>
      </c>
      <c r="P936" s="139">
        <f>IF($E936="S",$J936,0)</f>
        <v>0</v>
      </c>
      <c r="Q936" s="139">
        <f t="shared" si="1133"/>
        <v>3.5555555555555558</v>
      </c>
      <c r="R936" s="156" t="s">
        <v>695</v>
      </c>
      <c r="T936" s="247"/>
      <c r="U936"/>
      <c r="V936" s="277"/>
    </row>
    <row r="937" spans="1:22" s="98" customFormat="1" x14ac:dyDescent="0.35">
      <c r="A937" s="27"/>
      <c r="B937" s="92">
        <v>6</v>
      </c>
      <c r="C937" s="19" t="s">
        <v>177</v>
      </c>
      <c r="D937" s="16" t="s">
        <v>74</v>
      </c>
      <c r="E937" s="27" t="str">
        <f>VLOOKUP(C937,Resources!B:D,3,FALSE)</f>
        <v>M</v>
      </c>
      <c r="F937" s="22">
        <v>1</v>
      </c>
      <c r="G937" s="22">
        <v>1</v>
      </c>
      <c r="H937" s="22">
        <f>H933*0.22*1.1</f>
        <v>0.96800000000000008</v>
      </c>
      <c r="I937" s="22">
        <f>VLOOKUP(C937,Resources!B:G,6,FALSE)</f>
        <v>174</v>
      </c>
      <c r="J937" s="139">
        <f t="shared" si="1128"/>
        <v>168.43200000000002</v>
      </c>
      <c r="K937" s="139">
        <f t="shared" si="1129"/>
        <v>0.96800000000000008</v>
      </c>
      <c r="L937" s="139" t="str">
        <f>IF(E937="M"," ",K937/F937/Workhrs)</f>
        <v xml:space="preserve"> </v>
      </c>
      <c r="M937" s="139">
        <f t="shared" si="1130"/>
        <v>0</v>
      </c>
      <c r="N937" s="139">
        <f t="shared" si="1131"/>
        <v>168.43200000000002</v>
      </c>
      <c r="O937" s="139">
        <f t="shared" si="1132"/>
        <v>0</v>
      </c>
      <c r="P937" s="139">
        <f>IF($E937="S",$J937,0)</f>
        <v>0</v>
      </c>
      <c r="Q937" s="139">
        <f t="shared" si="1133"/>
        <v>168.43200000000002</v>
      </c>
      <c r="R937" s="156" t="s">
        <v>697</v>
      </c>
      <c r="T937" s="247"/>
      <c r="U937"/>
      <c r="V937" s="277"/>
    </row>
    <row r="938" spans="1:22" s="98" customFormat="1" x14ac:dyDescent="0.35">
      <c r="A938" s="27"/>
      <c r="B938" s="92">
        <v>7</v>
      </c>
      <c r="C938" s="19" t="s">
        <v>125</v>
      </c>
      <c r="D938" s="16" t="s">
        <v>110</v>
      </c>
      <c r="E938" s="27" t="str">
        <f>VLOOKUP(C938,Resources!B:D,3,FALSE)</f>
        <v>S</v>
      </c>
      <c r="F938" s="22">
        <v>1</v>
      </c>
      <c r="G938" s="22">
        <v>1</v>
      </c>
      <c r="H938" s="22">
        <f>H933</f>
        <v>4</v>
      </c>
      <c r="I938" s="22">
        <f>VLOOKUP(C938,Resources!B:G,6,FALSE)</f>
        <v>27</v>
      </c>
      <c r="J938" s="139">
        <f t="shared" si="1128"/>
        <v>108</v>
      </c>
      <c r="K938" s="139">
        <f t="shared" si="1129"/>
        <v>4</v>
      </c>
      <c r="L938" s="139">
        <f>IF(E938="M"," ",K938/F938/Workhrs)</f>
        <v>0.44444444444444442</v>
      </c>
      <c r="M938" s="139">
        <f t="shared" si="1130"/>
        <v>0</v>
      </c>
      <c r="N938" s="139">
        <f t="shared" si="1131"/>
        <v>0</v>
      </c>
      <c r="O938" s="139">
        <f t="shared" si="1132"/>
        <v>0</v>
      </c>
      <c r="P938" s="139">
        <f>IF($E938="S",$J938,0)</f>
        <v>108</v>
      </c>
      <c r="Q938" s="139">
        <f t="shared" si="1133"/>
        <v>108</v>
      </c>
      <c r="R938" s="156">
        <v>182</v>
      </c>
      <c r="T938" s="247"/>
      <c r="U938"/>
      <c r="V938" s="277"/>
    </row>
    <row r="939" spans="1:22" s="98" customFormat="1" x14ac:dyDescent="0.35">
      <c r="A939" s="28"/>
      <c r="B939" s="95">
        <v>8</v>
      </c>
      <c r="C939" s="20" t="s">
        <v>402</v>
      </c>
      <c r="D939" s="17"/>
      <c r="E939" s="28"/>
      <c r="F939" s="23"/>
      <c r="G939" s="23"/>
      <c r="H939" s="23"/>
      <c r="I939" s="23"/>
      <c r="J939" s="140"/>
      <c r="K939" s="140"/>
      <c r="L939" s="140"/>
      <c r="M939" s="140"/>
      <c r="N939" s="140"/>
      <c r="O939" s="140"/>
      <c r="P939" s="140"/>
      <c r="Q939" s="140"/>
      <c r="R939" s="157"/>
      <c r="T939" s="247"/>
      <c r="U939"/>
      <c r="V939" s="277"/>
    </row>
    <row r="940" spans="1:22" s="98" customFormat="1" x14ac:dyDescent="0.35">
      <c r="A940" s="27">
        <v>127.2</v>
      </c>
      <c r="B940" s="92">
        <v>2</v>
      </c>
      <c r="C940" s="19" t="s">
        <v>703</v>
      </c>
      <c r="D940" s="16" t="s">
        <v>707</v>
      </c>
      <c r="E940" s="27"/>
      <c r="F940" s="22"/>
      <c r="G940" s="22"/>
      <c r="H940" s="97">
        <f>VLOOKUP($A940,'Model Inputs'!$A:$D,4,FALSE)</f>
        <v>2</v>
      </c>
      <c r="I940" s="22"/>
      <c r="J940" s="139"/>
      <c r="K940" s="139"/>
      <c r="L940" s="139"/>
      <c r="M940" s="139"/>
      <c r="N940" s="139"/>
      <c r="O940" s="139"/>
      <c r="P940" s="139"/>
      <c r="Q940" s="139"/>
      <c r="R940" s="156"/>
      <c r="T940" s="247"/>
      <c r="U940"/>
      <c r="V940" s="277"/>
    </row>
    <row r="941" spans="1:22" s="98" customFormat="1" x14ac:dyDescent="0.35">
      <c r="A941" s="27">
        <v>127.3</v>
      </c>
      <c r="B941" s="92">
        <v>3</v>
      </c>
      <c r="C941" s="19" t="s">
        <v>702</v>
      </c>
      <c r="D941" s="16" t="s">
        <v>690</v>
      </c>
      <c r="E941" s="27"/>
      <c r="F941" s="22"/>
      <c r="G941" s="22"/>
      <c r="H941" s="97">
        <f>VLOOKUP($A941,'Model Inputs'!$A:$D,4,FALSE)</f>
        <v>15</v>
      </c>
      <c r="I941" s="22"/>
      <c r="J941" s="139"/>
      <c r="K941" s="139"/>
      <c r="L941" s="139"/>
      <c r="M941" s="139"/>
      <c r="N941" s="139"/>
      <c r="O941" s="139"/>
      <c r="P941" s="139"/>
      <c r="Q941" s="139"/>
      <c r="R941" s="156"/>
      <c r="T941" s="247"/>
      <c r="U941"/>
      <c r="V941" s="277"/>
    </row>
    <row r="942" spans="1:22" s="98" customFormat="1" x14ac:dyDescent="0.35">
      <c r="A942" s="27"/>
      <c r="B942" s="92">
        <v>4</v>
      </c>
      <c r="C942" s="19" t="s">
        <v>193</v>
      </c>
      <c r="D942" s="16" t="s">
        <v>45</v>
      </c>
      <c r="E942" s="27" t="str">
        <f>VLOOKUP(C942,Resources!B:D,3,FALSE)</f>
        <v>M</v>
      </c>
      <c r="F942" s="22">
        <v>1</v>
      </c>
      <c r="G942" s="22">
        <v>1</v>
      </c>
      <c r="H942" s="22">
        <f>H940*1.2</f>
        <v>2.4</v>
      </c>
      <c r="I942" s="22">
        <f>VLOOKUP(C942,Resources!B:G,6,FALSE)</f>
        <v>387.5</v>
      </c>
      <c r="J942" s="139">
        <f t="shared" ref="J942:J949" si="1134">(H942/(G942/F942))*I942</f>
        <v>930</v>
      </c>
      <c r="K942" s="139">
        <f t="shared" ref="K942:K949" si="1135">IF(E942="M",H942,(H942/(G942)*F942))</f>
        <v>2.4</v>
      </c>
      <c r="L942" s="139" t="str">
        <f t="shared" ref="L942:L949" si="1136">IF(E942="M"," ",K942/F942/Workhrs)</f>
        <v xml:space="preserve"> </v>
      </c>
      <c r="M942" s="139">
        <f t="shared" ref="M942:M949" si="1137">IF($E942="L",$J942,0)</f>
        <v>0</v>
      </c>
      <c r="N942" s="139">
        <f t="shared" ref="N942:N949" si="1138">IF($E942="M",$J942,0)</f>
        <v>930</v>
      </c>
      <c r="O942" s="139">
        <f t="shared" ref="O942:O949" si="1139">IF($E942="P",$J942,0)</f>
        <v>0</v>
      </c>
      <c r="P942" s="139">
        <f t="shared" ref="P942:P949" si="1140">IF($E942="S",$J942,0)</f>
        <v>0</v>
      </c>
      <c r="Q942" s="139">
        <f t="shared" ref="Q942:Q949" si="1141">SUM(M942:P942)</f>
        <v>930</v>
      </c>
      <c r="R942" s="156" t="s">
        <v>698</v>
      </c>
      <c r="T942" s="247"/>
      <c r="U942"/>
      <c r="V942" s="277"/>
    </row>
    <row r="943" spans="1:22" s="98" customFormat="1" x14ac:dyDescent="0.35">
      <c r="A943" s="27">
        <v>127.4</v>
      </c>
      <c r="B943" s="92">
        <v>5</v>
      </c>
      <c r="C943" s="19" t="s">
        <v>50</v>
      </c>
      <c r="D943" s="16" t="s">
        <v>26</v>
      </c>
      <c r="E943" s="27" t="str">
        <f>VLOOKUP(C943,Resources!B:D,3,FALSE)</f>
        <v>P</v>
      </c>
      <c r="F943" s="22">
        <v>1</v>
      </c>
      <c r="G943" s="97">
        <f>VLOOKUP($A943,'Model Inputs'!$A:$D,4,FALSE)</f>
        <v>2</v>
      </c>
      <c r="H943" s="22">
        <f>H940</f>
        <v>2</v>
      </c>
      <c r="I943" s="22">
        <f>VLOOKUP(C943,Resources!B:G,6,FALSE)</f>
        <v>135</v>
      </c>
      <c r="J943" s="139">
        <f t="shared" si="1134"/>
        <v>135</v>
      </c>
      <c r="K943" s="139">
        <f t="shared" si="1135"/>
        <v>1</v>
      </c>
      <c r="L943" s="139">
        <f t="shared" si="1136"/>
        <v>0.1111111111111111</v>
      </c>
      <c r="M943" s="139">
        <f t="shared" si="1137"/>
        <v>0</v>
      </c>
      <c r="N943" s="139">
        <f t="shared" si="1138"/>
        <v>0</v>
      </c>
      <c r="O943" s="139">
        <f t="shared" si="1139"/>
        <v>135</v>
      </c>
      <c r="P943" s="139">
        <f t="shared" si="1140"/>
        <v>0</v>
      </c>
      <c r="Q943" s="139">
        <f t="shared" si="1141"/>
        <v>135</v>
      </c>
      <c r="R943" s="156">
        <v>181</v>
      </c>
      <c r="T943" s="247"/>
      <c r="U943"/>
      <c r="V943" s="277"/>
    </row>
    <row r="944" spans="1:22" s="98" customFormat="1" x14ac:dyDescent="0.35">
      <c r="A944" s="27"/>
      <c r="B944" s="92">
        <v>6</v>
      </c>
      <c r="C944" s="19" t="s">
        <v>8</v>
      </c>
      <c r="D944" s="16" t="s">
        <v>26</v>
      </c>
      <c r="E944" s="27" t="str">
        <f>VLOOKUP(C944,Resources!B:D,3,FALSE)</f>
        <v>L</v>
      </c>
      <c r="F944" s="22">
        <v>3</v>
      </c>
      <c r="G944" s="22">
        <f>G943</f>
        <v>2</v>
      </c>
      <c r="H944" s="22">
        <f>H940</f>
        <v>2</v>
      </c>
      <c r="I944" s="22">
        <f>VLOOKUP(C944,Resources!B:G,6,FALSE)</f>
        <v>42</v>
      </c>
      <c r="J944" s="139">
        <f t="shared" si="1134"/>
        <v>126</v>
      </c>
      <c r="K944" s="139">
        <f t="shared" si="1135"/>
        <v>3</v>
      </c>
      <c r="L944" s="139">
        <f t="shared" si="1136"/>
        <v>0.1111111111111111</v>
      </c>
      <c r="M944" s="139">
        <f t="shared" si="1137"/>
        <v>126</v>
      </c>
      <c r="N944" s="139">
        <f t="shared" si="1138"/>
        <v>0</v>
      </c>
      <c r="O944" s="139">
        <f t="shared" si="1139"/>
        <v>0</v>
      </c>
      <c r="P944" s="139">
        <f t="shared" si="1140"/>
        <v>0</v>
      </c>
      <c r="Q944" s="139">
        <f t="shared" si="1141"/>
        <v>126</v>
      </c>
      <c r="R944" s="156">
        <v>181</v>
      </c>
      <c r="T944" s="247"/>
      <c r="U944"/>
      <c r="V944" s="277"/>
    </row>
    <row r="945" spans="1:22" s="98" customFormat="1" x14ac:dyDescent="0.35">
      <c r="A945" s="27"/>
      <c r="B945" s="92">
        <v>7</v>
      </c>
      <c r="C945" s="19" t="s">
        <v>194</v>
      </c>
      <c r="D945" s="16" t="s">
        <v>45</v>
      </c>
      <c r="E945" s="27" t="str">
        <f>VLOOKUP(C945,Resources!B:D,3,FALSE)</f>
        <v>M</v>
      </c>
      <c r="F945" s="22">
        <v>1</v>
      </c>
      <c r="G945" s="22">
        <v>1</v>
      </c>
      <c r="H945" s="22">
        <f>H940*3.5</f>
        <v>7</v>
      </c>
      <c r="I945" s="22">
        <f>VLOOKUP(C945,Resources!B:G,6,FALSE)</f>
        <v>5</v>
      </c>
      <c r="J945" s="139">
        <f t="shared" si="1134"/>
        <v>35</v>
      </c>
      <c r="K945" s="139">
        <f t="shared" si="1135"/>
        <v>7</v>
      </c>
      <c r="L945" s="139" t="str">
        <f t="shared" si="1136"/>
        <v xml:space="preserve"> </v>
      </c>
      <c r="M945" s="139">
        <f t="shared" si="1137"/>
        <v>0</v>
      </c>
      <c r="N945" s="139">
        <f t="shared" si="1138"/>
        <v>35</v>
      </c>
      <c r="O945" s="139">
        <f t="shared" si="1139"/>
        <v>0</v>
      </c>
      <c r="P945" s="139">
        <f t="shared" si="1140"/>
        <v>0</v>
      </c>
      <c r="Q945" s="139">
        <f t="shared" si="1141"/>
        <v>35</v>
      </c>
      <c r="R945" s="156">
        <v>181</v>
      </c>
      <c r="T945" s="247"/>
      <c r="U945"/>
      <c r="V945" s="277"/>
    </row>
    <row r="946" spans="1:22" s="98" customFormat="1" x14ac:dyDescent="0.35">
      <c r="A946" s="27">
        <v>127.5</v>
      </c>
      <c r="B946" s="92">
        <v>8</v>
      </c>
      <c r="C946" s="19" t="s">
        <v>47</v>
      </c>
      <c r="D946" s="16" t="s">
        <v>26</v>
      </c>
      <c r="E946" s="27" t="str">
        <f>VLOOKUP(C946,Resources!B:D,3,FALSE)</f>
        <v>P</v>
      </c>
      <c r="F946" s="22">
        <v>1</v>
      </c>
      <c r="G946" s="97">
        <f>VLOOKUP($A946,'Model Inputs'!$A:$D,4,FALSE)</f>
        <v>3</v>
      </c>
      <c r="H946" s="22">
        <f>H941</f>
        <v>15</v>
      </c>
      <c r="I946" s="22">
        <f>VLOOKUP(C946,Resources!B:G,6,FALSE)</f>
        <v>95</v>
      </c>
      <c r="J946" s="139">
        <f t="shared" si="1134"/>
        <v>475</v>
      </c>
      <c r="K946" s="139">
        <f t="shared" si="1135"/>
        <v>5</v>
      </c>
      <c r="L946" s="139">
        <f t="shared" si="1136"/>
        <v>0.55555555555555558</v>
      </c>
      <c r="M946" s="139">
        <f t="shared" si="1137"/>
        <v>0</v>
      </c>
      <c r="N946" s="139">
        <f t="shared" si="1138"/>
        <v>0</v>
      </c>
      <c r="O946" s="139">
        <f t="shared" si="1139"/>
        <v>475</v>
      </c>
      <c r="P946" s="139">
        <f t="shared" si="1140"/>
        <v>0</v>
      </c>
      <c r="Q946" s="139">
        <f t="shared" si="1141"/>
        <v>475</v>
      </c>
      <c r="R946" s="156">
        <v>181</v>
      </c>
      <c r="T946" s="247"/>
      <c r="U946"/>
      <c r="V946" s="277"/>
    </row>
    <row r="947" spans="1:22" s="98" customFormat="1" x14ac:dyDescent="0.35">
      <c r="A947" s="27"/>
      <c r="B947" s="92">
        <v>9</v>
      </c>
      <c r="C947" s="19" t="s">
        <v>8</v>
      </c>
      <c r="D947" s="16" t="s">
        <v>26</v>
      </c>
      <c r="E947" s="27" t="str">
        <f>VLOOKUP(C947,Resources!B:D,3,FALSE)</f>
        <v>L</v>
      </c>
      <c r="F947" s="22">
        <v>3</v>
      </c>
      <c r="G947" s="22">
        <f>G946</f>
        <v>3</v>
      </c>
      <c r="H947" s="22">
        <f>H941</f>
        <v>15</v>
      </c>
      <c r="I947" s="22">
        <f>VLOOKUP(C947,Resources!B:G,6,FALSE)</f>
        <v>42</v>
      </c>
      <c r="J947" s="139">
        <f t="shared" si="1134"/>
        <v>630</v>
      </c>
      <c r="K947" s="139">
        <f t="shared" si="1135"/>
        <v>15</v>
      </c>
      <c r="L947" s="139">
        <f t="shared" si="1136"/>
        <v>0.55555555555555558</v>
      </c>
      <c r="M947" s="139">
        <f t="shared" si="1137"/>
        <v>630</v>
      </c>
      <c r="N947" s="139">
        <f t="shared" si="1138"/>
        <v>0</v>
      </c>
      <c r="O947" s="139">
        <f t="shared" si="1139"/>
        <v>0</v>
      </c>
      <c r="P947" s="139">
        <f t="shared" si="1140"/>
        <v>0</v>
      </c>
      <c r="Q947" s="139">
        <f t="shared" si="1141"/>
        <v>630</v>
      </c>
      <c r="R947" s="156">
        <v>181</v>
      </c>
      <c r="T947" s="247"/>
      <c r="U947"/>
      <c r="V947" s="277"/>
    </row>
    <row r="948" spans="1:22" s="98" customFormat="1" x14ac:dyDescent="0.35">
      <c r="A948" s="27"/>
      <c r="B948" s="92">
        <v>10</v>
      </c>
      <c r="C948" s="19" t="s">
        <v>83</v>
      </c>
      <c r="D948" s="16" t="s">
        <v>26</v>
      </c>
      <c r="E948" s="27" t="str">
        <f>VLOOKUP(C948,Resources!B:D,3,FALSE)</f>
        <v>P</v>
      </c>
      <c r="F948" s="22">
        <v>1</v>
      </c>
      <c r="G948" s="22">
        <f>G946</f>
        <v>3</v>
      </c>
      <c r="H948" s="22">
        <f>H941</f>
        <v>15</v>
      </c>
      <c r="I948" s="22">
        <f>VLOOKUP(C948,Resources!B:G,6,FALSE)</f>
        <v>3.5</v>
      </c>
      <c r="J948" s="139">
        <f t="shared" si="1134"/>
        <v>17.5</v>
      </c>
      <c r="K948" s="139">
        <f t="shared" si="1135"/>
        <v>5</v>
      </c>
      <c r="L948" s="139">
        <f t="shared" si="1136"/>
        <v>0.55555555555555558</v>
      </c>
      <c r="M948" s="139">
        <f t="shared" si="1137"/>
        <v>0</v>
      </c>
      <c r="N948" s="139">
        <f t="shared" si="1138"/>
        <v>0</v>
      </c>
      <c r="O948" s="139">
        <f t="shared" si="1139"/>
        <v>17.5</v>
      </c>
      <c r="P948" s="139">
        <f t="shared" si="1140"/>
        <v>0</v>
      </c>
      <c r="Q948" s="139">
        <f t="shared" si="1141"/>
        <v>17.5</v>
      </c>
      <c r="R948" s="156">
        <v>181</v>
      </c>
      <c r="T948" s="247"/>
      <c r="U948"/>
      <c r="V948" s="277"/>
    </row>
    <row r="949" spans="1:22" s="98" customFormat="1" x14ac:dyDescent="0.35">
      <c r="A949" s="27"/>
      <c r="B949" s="92">
        <v>11</v>
      </c>
      <c r="C949" s="19" t="s">
        <v>52</v>
      </c>
      <c r="D949" s="16" t="s">
        <v>26</v>
      </c>
      <c r="E949" s="27" t="str">
        <f>VLOOKUP(C949,Resources!B:D,3,FALSE)</f>
        <v>P</v>
      </c>
      <c r="F949" s="22">
        <v>1</v>
      </c>
      <c r="G949" s="22">
        <f>G946</f>
        <v>3</v>
      </c>
      <c r="H949" s="22">
        <f>H941</f>
        <v>15</v>
      </c>
      <c r="I949" s="22">
        <f>VLOOKUP(C949,Resources!B:G,6,FALSE)</f>
        <v>100</v>
      </c>
      <c r="J949" s="139">
        <f t="shared" si="1134"/>
        <v>500</v>
      </c>
      <c r="K949" s="139">
        <f t="shared" si="1135"/>
        <v>5</v>
      </c>
      <c r="L949" s="139">
        <f t="shared" si="1136"/>
        <v>0.55555555555555558</v>
      </c>
      <c r="M949" s="139">
        <f t="shared" si="1137"/>
        <v>0</v>
      </c>
      <c r="N949" s="139">
        <f t="shared" si="1138"/>
        <v>0</v>
      </c>
      <c r="O949" s="139">
        <f t="shared" si="1139"/>
        <v>500</v>
      </c>
      <c r="P949" s="139">
        <f t="shared" si="1140"/>
        <v>0</v>
      </c>
      <c r="Q949" s="139">
        <f t="shared" si="1141"/>
        <v>500</v>
      </c>
      <c r="R949" s="156">
        <v>181</v>
      </c>
      <c r="T949" s="247"/>
      <c r="U949"/>
      <c r="V949" s="277"/>
    </row>
    <row r="950" spans="1:22" s="98" customFormat="1" x14ac:dyDescent="0.35">
      <c r="A950" s="28"/>
      <c r="B950" s="95">
        <v>12</v>
      </c>
      <c r="C950" s="20" t="s">
        <v>402</v>
      </c>
      <c r="D950" s="17"/>
      <c r="E950" s="28"/>
      <c r="F950" s="23"/>
      <c r="G950" s="23"/>
      <c r="H950" s="23"/>
      <c r="I950" s="23"/>
      <c r="J950" s="140"/>
      <c r="K950" s="140"/>
      <c r="L950" s="140"/>
      <c r="M950" s="140"/>
      <c r="N950" s="140"/>
      <c r="O950" s="140"/>
      <c r="P950" s="140"/>
      <c r="Q950" s="140"/>
      <c r="R950" s="157"/>
      <c r="T950" s="247"/>
      <c r="U950"/>
      <c r="V950" s="277"/>
    </row>
    <row r="951" spans="1:22" s="11" customFormat="1" x14ac:dyDescent="0.35">
      <c r="A951" s="26">
        <v>128</v>
      </c>
      <c r="B951" s="94" t="s">
        <v>296</v>
      </c>
      <c r="C951" s="14" t="s">
        <v>297</v>
      </c>
      <c r="D951" s="24" t="s">
        <v>247</v>
      </c>
      <c r="E951" s="29"/>
      <c r="F951" s="21"/>
      <c r="G951" s="21"/>
      <c r="H951" s="97">
        <f>VLOOKUP($A951,'Model Inputs'!$A:$D,4,FALSE)</f>
        <v>75</v>
      </c>
      <c r="I951" s="15"/>
      <c r="J951" s="138">
        <f>SUBTOTAL(9,J952:J954)</f>
        <v>1238.7488748874887</v>
      </c>
      <c r="K951" s="138"/>
      <c r="L951" s="138">
        <f>ROUNDUP(MAX(L952:L954),0)</f>
        <v>1</v>
      </c>
      <c r="M951" s="138">
        <f t="shared" ref="M951:Q951" si="1142">SUBTOTAL(9,M952:M954)</f>
        <v>141.76417641764175</v>
      </c>
      <c r="N951" s="138">
        <f t="shared" si="1142"/>
        <v>0</v>
      </c>
      <c r="O951" s="138">
        <f t="shared" si="1142"/>
        <v>1096.984698469847</v>
      </c>
      <c r="P951" s="138">
        <f t="shared" si="1142"/>
        <v>0</v>
      </c>
      <c r="Q951" s="138">
        <f t="shared" si="1142"/>
        <v>1238.7488748874887</v>
      </c>
      <c r="R951" s="155"/>
      <c r="T951" s="247"/>
      <c r="U951"/>
      <c r="V951" s="277"/>
    </row>
    <row r="952" spans="1:22" s="98" customFormat="1" x14ac:dyDescent="0.35">
      <c r="A952" s="27">
        <v>128.1</v>
      </c>
      <c r="B952" s="92">
        <v>1</v>
      </c>
      <c r="C952" s="19" t="s">
        <v>50</v>
      </c>
      <c r="D952" s="16" t="s">
        <v>26</v>
      </c>
      <c r="E952" s="27" t="str">
        <f>VLOOKUP(C952,Resources!B:D,3,FALSE)</f>
        <v>P</v>
      </c>
      <c r="F952" s="22">
        <v>1</v>
      </c>
      <c r="G952" s="97">
        <f>VLOOKUP($A952,'Model Inputs'!$A:$D,4,FALSE)</f>
        <v>22.22</v>
      </c>
      <c r="H952" s="22">
        <f>H951</f>
        <v>75</v>
      </c>
      <c r="I952" s="22">
        <f>VLOOKUP(C952,Resources!B:G,6,FALSE)</f>
        <v>135</v>
      </c>
      <c r="J952" s="139">
        <f t="shared" ref="J952:J954" si="1143">(H952/(G952/F952))*I952</f>
        <v>455.67056705670569</v>
      </c>
      <c r="K952" s="139">
        <f t="shared" ref="K952:K954" si="1144">IF(E952="M",H952,(H952/(G952)*F952))</f>
        <v>3.3753375337533753</v>
      </c>
      <c r="L952" s="139">
        <f>IF(E952="M"," ",K952/F952/Workhrs)</f>
        <v>0.37503750375037503</v>
      </c>
      <c r="M952" s="139">
        <f t="shared" ref="M952:M954" si="1145">IF($E952="L",$J952,0)</f>
        <v>0</v>
      </c>
      <c r="N952" s="139">
        <f t="shared" ref="N952:N954" si="1146">IF($E952="M",$J952,0)</f>
        <v>0</v>
      </c>
      <c r="O952" s="139">
        <f t="shared" ref="O952:O954" si="1147">IF($E952="P",$J952,0)</f>
        <v>455.67056705670569</v>
      </c>
      <c r="P952" s="139">
        <f>IF($E952="S",$J952,0)</f>
        <v>0</v>
      </c>
      <c r="Q952" s="139">
        <f t="shared" ref="Q952:Q954" si="1148">SUM(M952:P952)</f>
        <v>455.67056705670569</v>
      </c>
      <c r="R952" s="156">
        <v>53</v>
      </c>
      <c r="T952" s="247"/>
      <c r="U952"/>
      <c r="V952" s="277"/>
    </row>
    <row r="953" spans="1:22" s="98" customFormat="1" x14ac:dyDescent="0.35">
      <c r="A953" s="27"/>
      <c r="B953" s="92">
        <v>2</v>
      </c>
      <c r="C953" s="19" t="s">
        <v>51</v>
      </c>
      <c r="D953" s="16" t="s">
        <v>26</v>
      </c>
      <c r="E953" s="27" t="str">
        <f>VLOOKUP(C953,Resources!B:D,3,FALSE)</f>
        <v>P</v>
      </c>
      <c r="F953" s="22">
        <v>2</v>
      </c>
      <c r="G953" s="22">
        <f>G952</f>
        <v>22.22</v>
      </c>
      <c r="H953" s="22">
        <f>H951</f>
        <v>75</v>
      </c>
      <c r="I953" s="22">
        <f>VLOOKUP(C953,Resources!B:G,6,FALSE)</f>
        <v>95</v>
      </c>
      <c r="J953" s="139">
        <f t="shared" si="1143"/>
        <v>641.31413141314135</v>
      </c>
      <c r="K953" s="139">
        <f t="shared" si="1144"/>
        <v>6.7506750675067506</v>
      </c>
      <c r="L953" s="139">
        <f>IF(E953="M"," ",K953/F953/Workhrs)</f>
        <v>0.37503750375037503</v>
      </c>
      <c r="M953" s="139">
        <f t="shared" si="1145"/>
        <v>0</v>
      </c>
      <c r="N953" s="139">
        <f t="shared" si="1146"/>
        <v>0</v>
      </c>
      <c r="O953" s="139">
        <f t="shared" si="1147"/>
        <v>641.31413141314135</v>
      </c>
      <c r="P953" s="139">
        <f>IF($E953="S",$J953,0)</f>
        <v>0</v>
      </c>
      <c r="Q953" s="139">
        <f t="shared" si="1148"/>
        <v>641.31413141314135</v>
      </c>
      <c r="R953" s="156">
        <v>53</v>
      </c>
      <c r="T953" s="247"/>
      <c r="U953"/>
      <c r="V953" s="277"/>
    </row>
    <row r="954" spans="1:22" s="98" customFormat="1" x14ac:dyDescent="0.35">
      <c r="A954" s="27"/>
      <c r="B954" s="92">
        <v>3</v>
      </c>
      <c r="C954" s="19" t="s">
        <v>8</v>
      </c>
      <c r="D954" s="16" t="s">
        <v>26</v>
      </c>
      <c r="E954" s="27" t="str">
        <f>VLOOKUP(C954,Resources!B:D,3,FALSE)</f>
        <v>L</v>
      </c>
      <c r="F954" s="22">
        <v>1</v>
      </c>
      <c r="G954" s="22">
        <f>G952</f>
        <v>22.22</v>
      </c>
      <c r="H954" s="22">
        <f>H951</f>
        <v>75</v>
      </c>
      <c r="I954" s="22">
        <f>VLOOKUP(C954,Resources!B:G,6,FALSE)</f>
        <v>42</v>
      </c>
      <c r="J954" s="139">
        <f t="shared" si="1143"/>
        <v>141.76417641764175</v>
      </c>
      <c r="K954" s="139">
        <f t="shared" si="1144"/>
        <v>3.3753375337533753</v>
      </c>
      <c r="L954" s="139">
        <f>IF(E954="M"," ",K954/F954/Workhrs)</f>
        <v>0.37503750375037503</v>
      </c>
      <c r="M954" s="139">
        <f t="shared" si="1145"/>
        <v>141.76417641764175</v>
      </c>
      <c r="N954" s="139">
        <f t="shared" si="1146"/>
        <v>0</v>
      </c>
      <c r="O954" s="139">
        <f t="shared" si="1147"/>
        <v>0</v>
      </c>
      <c r="P954" s="139">
        <f>IF($E954="S",$J954,0)</f>
        <v>0</v>
      </c>
      <c r="Q954" s="139">
        <f t="shared" si="1148"/>
        <v>141.76417641764175</v>
      </c>
      <c r="R954" s="156">
        <v>53</v>
      </c>
      <c r="T954" s="247"/>
      <c r="U954"/>
      <c r="V954" s="277"/>
    </row>
    <row r="955" spans="1:22" s="98" customFormat="1" x14ac:dyDescent="0.35">
      <c r="A955" s="28"/>
      <c r="B955" s="95"/>
      <c r="C955" s="20" t="s">
        <v>402</v>
      </c>
      <c r="D955" s="17"/>
      <c r="E955" s="28"/>
      <c r="F955" s="23"/>
      <c r="G955" s="23"/>
      <c r="H955" s="23"/>
      <c r="I955" s="23"/>
      <c r="J955" s="140"/>
      <c r="K955" s="140"/>
      <c r="L955" s="140"/>
      <c r="M955" s="140"/>
      <c r="N955" s="140"/>
      <c r="O955" s="140"/>
      <c r="P955" s="140"/>
      <c r="Q955" s="140"/>
      <c r="R955" s="157"/>
      <c r="T955" s="247"/>
      <c r="U955"/>
      <c r="V955" s="277"/>
    </row>
    <row r="956" spans="1:22" x14ac:dyDescent="0.35">
      <c r="A956" s="25"/>
      <c r="B956" s="93" t="s">
        <v>0</v>
      </c>
      <c r="C956" s="18" t="s">
        <v>1</v>
      </c>
      <c r="D956" s="12" t="s">
        <v>3</v>
      </c>
      <c r="E956" s="25"/>
      <c r="F956" s="13" t="s">
        <v>4</v>
      </c>
      <c r="G956" s="13" t="s">
        <v>5</v>
      </c>
      <c r="H956" s="13" t="s">
        <v>6</v>
      </c>
      <c r="I956" s="13" t="s">
        <v>7</v>
      </c>
      <c r="J956" s="137"/>
      <c r="K956" s="137"/>
      <c r="L956" s="137"/>
      <c r="M956" s="137" t="s">
        <v>8</v>
      </c>
      <c r="N956" s="137" t="s">
        <v>9</v>
      </c>
      <c r="O956" s="137" t="s">
        <v>10</v>
      </c>
      <c r="P956" s="137" t="s">
        <v>11</v>
      </c>
      <c r="Q956" s="137" t="s">
        <v>12</v>
      </c>
      <c r="R956" s="154"/>
    </row>
    <row r="957" spans="1:22" ht="30" x14ac:dyDescent="0.35">
      <c r="A957" s="26">
        <v>9001</v>
      </c>
      <c r="B957" s="94" t="s">
        <v>245</v>
      </c>
      <c r="C957" s="14" t="s">
        <v>246</v>
      </c>
      <c r="D957" s="15" t="s">
        <v>247</v>
      </c>
      <c r="E957" s="24"/>
      <c r="F957" s="21"/>
      <c r="G957" s="21"/>
      <c r="H957" s="97">
        <f>VLOOKUP($A957,'Model Inputs'!$A:$D,4,FALSE)</f>
        <v>1</v>
      </c>
      <c r="I957" s="21"/>
      <c r="J957" s="138">
        <f>SUBTOTAL(9,J958)</f>
        <v>33500</v>
      </c>
      <c r="K957" s="138"/>
      <c r="L957" s="138"/>
      <c r="M957" s="138">
        <f>SUBTOTAL(9,M958)</f>
        <v>33500</v>
      </c>
      <c r="N957" s="138">
        <f t="shared" ref="N957" si="1149">SUBTOTAL(9,N958)</f>
        <v>0</v>
      </c>
      <c r="O957" s="138">
        <f t="shared" ref="O957" si="1150">SUBTOTAL(9,O958)</f>
        <v>0</v>
      </c>
      <c r="P957" s="138">
        <f t="shared" ref="P957" si="1151">SUBTOTAL(9,P958)</f>
        <v>0</v>
      </c>
      <c r="Q957" s="138">
        <f t="shared" ref="Q957" si="1152">SUBTOTAL(9,Q958)</f>
        <v>33500</v>
      </c>
      <c r="R957" s="155"/>
    </row>
    <row r="958" spans="1:22" x14ac:dyDescent="0.35">
      <c r="A958" s="27"/>
      <c r="B958" s="92">
        <v>1</v>
      </c>
      <c r="C958" s="19" t="s">
        <v>30</v>
      </c>
      <c r="D958" s="16" t="s">
        <v>19</v>
      </c>
      <c r="E958" s="27" t="str">
        <f>VLOOKUP(C958,Resources!B:D,3,FALSE)</f>
        <v>L</v>
      </c>
      <c r="F958" s="22">
        <v>1</v>
      </c>
      <c r="G958" s="22">
        <v>1</v>
      </c>
      <c r="H958" s="22">
        <f>H957*10</f>
        <v>10</v>
      </c>
      <c r="I958" s="22">
        <f>VLOOKUP(C958,Resources!B:G,6,FALSE)</f>
        <v>3350</v>
      </c>
      <c r="J958" s="139">
        <f t="shared" ref="J958" si="1153">(H958/(G958/F958))*I958</f>
        <v>33500</v>
      </c>
      <c r="K958" s="139">
        <f t="shared" ref="K958" si="1154">IF(E958="M",H958,(H958/(G958)*F958))</f>
        <v>10</v>
      </c>
      <c r="L958" s="139">
        <f>IF(E958="M"," ",H958/(G958*F958))</f>
        <v>10</v>
      </c>
      <c r="M958" s="139">
        <f t="shared" ref="M958" si="1155">IF($E958="L",$J958,0)</f>
        <v>33500</v>
      </c>
      <c r="N958" s="139">
        <f t="shared" ref="N958" si="1156">IF($E958="M",$J958,0)</f>
        <v>0</v>
      </c>
      <c r="O958" s="139">
        <f>IF($E958="P",$J958,0)</f>
        <v>0</v>
      </c>
      <c r="P958" s="139">
        <f>IF($E958="S",$J958,0)</f>
        <v>0</v>
      </c>
      <c r="Q958" s="139">
        <f>SUM(M958:P958)</f>
        <v>33500</v>
      </c>
      <c r="R958" s="156">
        <v>902</v>
      </c>
    </row>
    <row r="959" spans="1:22" x14ac:dyDescent="0.35">
      <c r="A959" s="29"/>
      <c r="B959" s="96"/>
      <c r="C959" s="11" t="s">
        <v>402</v>
      </c>
      <c r="D959" s="11"/>
      <c r="E959" s="29"/>
      <c r="F959" s="23"/>
      <c r="G959" s="23"/>
      <c r="H959" s="23"/>
      <c r="I959" s="23"/>
    </row>
    <row r="960" spans="1:22" ht="30" x14ac:dyDescent="0.35">
      <c r="A960" s="26">
        <v>9002</v>
      </c>
      <c r="B960" s="94" t="s">
        <v>248</v>
      </c>
      <c r="C960" s="14" t="s">
        <v>249</v>
      </c>
      <c r="D960" s="15" t="s">
        <v>247</v>
      </c>
      <c r="E960" s="24"/>
      <c r="F960" s="21"/>
      <c r="G960" s="21"/>
      <c r="H960" s="97">
        <f>VLOOKUP($A960,'Model Inputs'!$A:$D,4,FALSE)</f>
        <v>1</v>
      </c>
      <c r="I960" s="21"/>
      <c r="J960" s="138">
        <f>SUBTOTAL(9,J961)</f>
        <v>16250</v>
      </c>
      <c r="K960" s="138"/>
      <c r="L960" s="138"/>
      <c r="M960" s="138">
        <f>SUBTOTAL(9,M961)</f>
        <v>0</v>
      </c>
      <c r="N960" s="138">
        <f t="shared" ref="N960" si="1157">SUBTOTAL(9,N961)</f>
        <v>0</v>
      </c>
      <c r="O960" s="138">
        <f t="shared" ref="O960" si="1158">SUBTOTAL(9,O961)</f>
        <v>16250</v>
      </c>
      <c r="P960" s="138">
        <f t="shared" ref="P960" si="1159">SUBTOTAL(9,P961)</f>
        <v>0</v>
      </c>
      <c r="Q960" s="138">
        <f t="shared" ref="Q960" si="1160">SUBTOTAL(9,Q961)</f>
        <v>16250</v>
      </c>
      <c r="R960" s="155"/>
    </row>
    <row r="961" spans="1:18" x14ac:dyDescent="0.35">
      <c r="A961" s="27"/>
      <c r="B961" s="92">
        <v>1</v>
      </c>
      <c r="C961" s="19" t="s">
        <v>249</v>
      </c>
      <c r="D961" s="16" t="s">
        <v>19</v>
      </c>
      <c r="E961" s="27" t="str">
        <f>VLOOKUP(C961,Resources!B:D,3,FALSE)</f>
        <v>P</v>
      </c>
      <c r="F961" s="22">
        <v>1</v>
      </c>
      <c r="G961" s="22">
        <v>1</v>
      </c>
      <c r="H961" s="22">
        <f>H960*13</f>
        <v>13</v>
      </c>
      <c r="I961" s="22">
        <f>VLOOKUP(C961,Resources!B:G,6,FALSE)</f>
        <v>1250</v>
      </c>
      <c r="J961" s="139">
        <f t="shared" ref="J961" si="1161">(H961/(G961/F961))*I961</f>
        <v>16250</v>
      </c>
      <c r="K961" s="139">
        <f t="shared" ref="K961" si="1162">IF(E961="M",H961,(H961/(G961)*F961))</f>
        <v>13</v>
      </c>
      <c r="L961" s="139">
        <f>IF(E961="M"," ",H961/(G961*F961))</f>
        <v>13</v>
      </c>
      <c r="M961" s="139">
        <f t="shared" ref="M961" si="1163">IF($E961="L",$J961,0)</f>
        <v>0</v>
      </c>
      <c r="N961" s="139">
        <f t="shared" ref="N961" si="1164">IF($E961="M",$J961,0)</f>
        <v>0</v>
      </c>
      <c r="O961" s="139">
        <f>IF($E961="P",$J961,0)</f>
        <v>16250</v>
      </c>
      <c r="P961" s="139">
        <f>IF($E961="S",$J961,0)</f>
        <v>0</v>
      </c>
      <c r="Q961" s="139">
        <f>SUM(M961:P961)</f>
        <v>16250</v>
      </c>
      <c r="R961" s="156">
        <v>903</v>
      </c>
    </row>
    <row r="962" spans="1:18" x14ac:dyDescent="0.35">
      <c r="A962" s="29"/>
      <c r="B962" s="96"/>
      <c r="C962" s="11" t="s">
        <v>402</v>
      </c>
      <c r="D962" s="11"/>
      <c r="E962" s="29"/>
      <c r="F962" s="23"/>
      <c r="G962" s="23"/>
      <c r="H962" s="23"/>
      <c r="I962" s="23"/>
    </row>
    <row r="963" spans="1:18" ht="30" x14ac:dyDescent="0.35">
      <c r="A963" s="26">
        <v>9003</v>
      </c>
      <c r="B963" s="94" t="s">
        <v>250</v>
      </c>
      <c r="C963" s="14" t="s">
        <v>251</v>
      </c>
      <c r="D963" s="15" t="s">
        <v>247</v>
      </c>
      <c r="E963" s="24"/>
      <c r="F963" s="21"/>
      <c r="G963" s="21"/>
      <c r="H963" s="97">
        <f>VLOOKUP($A963,'Model Inputs'!$A:$D,4,FALSE)</f>
        <v>1</v>
      </c>
      <c r="I963" s="21"/>
      <c r="J963" s="138">
        <f>SUBTOTAL(9,J964)</f>
        <v>12000</v>
      </c>
      <c r="K963" s="138"/>
      <c r="L963" s="138"/>
      <c r="M963" s="138">
        <f>SUBTOTAL(9,M964)</f>
        <v>0</v>
      </c>
      <c r="N963" s="138">
        <f t="shared" ref="N963" si="1165">SUBTOTAL(9,N964)</f>
        <v>0</v>
      </c>
      <c r="O963" s="138">
        <f t="shared" ref="O963" si="1166">SUBTOTAL(9,O964)</f>
        <v>0</v>
      </c>
      <c r="P963" s="138">
        <f t="shared" ref="P963" si="1167">SUBTOTAL(9,P964)</f>
        <v>12000</v>
      </c>
      <c r="Q963" s="138">
        <f t="shared" ref="Q963" si="1168">SUBTOTAL(9,Q964)</f>
        <v>12000</v>
      </c>
      <c r="R963" s="155"/>
    </row>
    <row r="964" spans="1:18" x14ac:dyDescent="0.35">
      <c r="A964" s="27"/>
      <c r="B964" s="92">
        <v>1</v>
      </c>
      <c r="C964" s="19" t="s">
        <v>252</v>
      </c>
      <c r="D964" s="16" t="s">
        <v>253</v>
      </c>
      <c r="E964" s="27" t="str">
        <f>VLOOKUP(C964,Resources!B:D,3,FALSE)</f>
        <v>S</v>
      </c>
      <c r="F964" s="22">
        <v>1</v>
      </c>
      <c r="G964" s="22">
        <v>1</v>
      </c>
      <c r="H964" s="22">
        <f>H963*12000</f>
        <v>12000</v>
      </c>
      <c r="I964" s="22">
        <f>VLOOKUP(C964,Resources!B:G,6,FALSE)</f>
        <v>1</v>
      </c>
      <c r="J964" s="139">
        <f t="shared" ref="J964" si="1169">(H964/(G964/F964))*I964</f>
        <v>12000</v>
      </c>
      <c r="K964" s="139">
        <f t="shared" ref="K964" si="1170">IF(E964="M",H964,(H964/(G964)*F964))</f>
        <v>12000</v>
      </c>
      <c r="L964" s="139">
        <f>IF(E964="M"," ",H964/(G964*F964))</f>
        <v>12000</v>
      </c>
      <c r="M964" s="139">
        <f t="shared" ref="M964" si="1171">IF($E964="L",$J964,0)</f>
        <v>0</v>
      </c>
      <c r="N964" s="139">
        <f t="shared" ref="N964" si="1172">IF($E964="M",$J964,0)</f>
        <v>0</v>
      </c>
      <c r="O964" s="139">
        <f>IF($E964="P",$J964,0)</f>
        <v>0</v>
      </c>
      <c r="P964" s="139">
        <f>IF($E964="S",$J964,0)</f>
        <v>12000</v>
      </c>
      <c r="Q964" s="139">
        <f>SUM(M964:P964)</f>
        <v>12000</v>
      </c>
      <c r="R964" s="156">
        <v>904</v>
      </c>
    </row>
    <row r="965" spans="1:18" x14ac:dyDescent="0.35">
      <c r="A965" s="29"/>
      <c r="B965" s="96"/>
      <c r="C965" s="11" t="s">
        <v>402</v>
      </c>
      <c r="D965" s="11"/>
      <c r="E965" s="29"/>
      <c r="F965" s="23"/>
      <c r="G965" s="23"/>
      <c r="H965" s="23"/>
      <c r="I965" s="23"/>
    </row>
    <row r="966" spans="1:18" ht="30" x14ac:dyDescent="0.35">
      <c r="A966" s="26">
        <v>9004</v>
      </c>
      <c r="B966" s="94" t="s">
        <v>254</v>
      </c>
      <c r="C966" s="14" t="s">
        <v>255</v>
      </c>
      <c r="D966" s="15" t="s">
        <v>247</v>
      </c>
      <c r="E966" s="24"/>
      <c r="F966" s="21"/>
      <c r="G966" s="21"/>
      <c r="H966" s="97">
        <f>VLOOKUP($A966,'Model Inputs'!$A:$D,4,FALSE)</f>
        <v>1</v>
      </c>
      <c r="I966" s="21"/>
      <c r="J966" s="138">
        <f>SUBTOTAL(9,J967)</f>
        <v>13500</v>
      </c>
      <c r="K966" s="138"/>
      <c r="L966" s="138"/>
      <c r="M966" s="138">
        <f>SUBTOTAL(9,M967)</f>
        <v>0</v>
      </c>
      <c r="N966" s="138">
        <f t="shared" ref="N966" si="1173">SUBTOTAL(9,N967)</f>
        <v>0</v>
      </c>
      <c r="O966" s="138">
        <f t="shared" ref="O966" si="1174">SUBTOTAL(9,O967)</f>
        <v>0</v>
      </c>
      <c r="P966" s="138">
        <f t="shared" ref="P966" si="1175">SUBTOTAL(9,P967)</f>
        <v>13500</v>
      </c>
      <c r="Q966" s="138">
        <f t="shared" ref="Q966" si="1176">SUBTOTAL(9,Q967)</f>
        <v>13500</v>
      </c>
      <c r="R966" s="155"/>
    </row>
    <row r="967" spans="1:18" x14ac:dyDescent="0.35">
      <c r="A967" s="27"/>
      <c r="B967" s="92">
        <v>1</v>
      </c>
      <c r="C967" s="19" t="s">
        <v>256</v>
      </c>
      <c r="D967" s="16" t="s">
        <v>253</v>
      </c>
      <c r="E967" s="27" t="str">
        <f>VLOOKUP(C967,Resources!B:D,3,FALSE)</f>
        <v>S</v>
      </c>
      <c r="F967" s="22">
        <v>1</v>
      </c>
      <c r="G967" s="22">
        <v>1</v>
      </c>
      <c r="H967" s="22">
        <f>H966*13500</f>
        <v>13500</v>
      </c>
      <c r="I967" s="22">
        <f>VLOOKUP(C967,Resources!B:G,6,FALSE)</f>
        <v>1</v>
      </c>
      <c r="J967" s="139">
        <f t="shared" ref="J967" si="1177">(H967/(G967/F967))*I967</f>
        <v>13500</v>
      </c>
      <c r="K967" s="139">
        <f t="shared" ref="K967" si="1178">IF(E967="M",H967,(H967/(G967)*F967))</f>
        <v>13500</v>
      </c>
      <c r="L967" s="139">
        <f>IF(E967="M"," ",H967/(G967*F967))</f>
        <v>13500</v>
      </c>
      <c r="M967" s="139">
        <f t="shared" ref="M967" si="1179">IF($E967="L",$J967,0)</f>
        <v>0</v>
      </c>
      <c r="N967" s="139">
        <f t="shared" ref="N967" si="1180">IF($E967="M",$J967,0)</f>
        <v>0</v>
      </c>
      <c r="O967" s="139">
        <f>IF($E967="P",$J967,0)</f>
        <v>0</v>
      </c>
      <c r="P967" s="139">
        <f>IF($E967="S",$J967,0)</f>
        <v>13500</v>
      </c>
      <c r="Q967" s="139">
        <f>SUM(M967:P967)</f>
        <v>13500</v>
      </c>
      <c r="R967" s="156">
        <v>904</v>
      </c>
    </row>
    <row r="968" spans="1:18" x14ac:dyDescent="0.35">
      <c r="A968" s="29"/>
      <c r="B968" s="96"/>
      <c r="C968" s="11" t="s">
        <v>402</v>
      </c>
      <c r="D968" s="11"/>
      <c r="E968" s="29"/>
      <c r="F968" s="23"/>
      <c r="G968" s="23"/>
      <c r="H968" s="23"/>
      <c r="I968" s="23"/>
    </row>
  </sheetData>
  <sortState xmlns:xlrd2="http://schemas.microsoft.com/office/spreadsheetml/2017/richdata2" ref="U2:U968">
    <sortCondition ref="U2"/>
  </sortState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6"/>
  <sheetViews>
    <sheetView topLeftCell="A261" workbookViewId="0">
      <selection activeCell="B269" sqref="A269:XFD269"/>
    </sheetView>
  </sheetViews>
  <sheetFormatPr defaultColWidth="9.140625" defaultRowHeight="15" x14ac:dyDescent="0.25"/>
  <cols>
    <col min="1" max="1" width="9.140625" style="30"/>
    <col min="2" max="2" width="26.42578125" style="17" bestFit="1" customWidth="1"/>
    <col min="3" max="3" width="50.7109375" style="20" customWidth="1"/>
    <col min="4" max="4" width="7.85546875" style="89" customWidth="1"/>
    <col min="5" max="5" width="6.28515625" style="17" bestFit="1" customWidth="1"/>
    <col min="6" max="6" width="4.85546875" style="17" bestFit="1" customWidth="1"/>
    <col min="7" max="7" width="9.5703125" style="17" bestFit="1" customWidth="1"/>
    <col min="8" max="8" width="9.140625" style="11"/>
    <col min="9" max="9" width="18" style="11" customWidth="1"/>
    <col min="10" max="16384" width="9.140625" style="11"/>
  </cols>
  <sheetData>
    <row r="1" spans="1:7" x14ac:dyDescent="0.25">
      <c r="A1" s="31"/>
      <c r="B1" s="32" t="s">
        <v>2</v>
      </c>
      <c r="C1" s="33" t="s">
        <v>298</v>
      </c>
      <c r="D1" s="76" t="s">
        <v>258</v>
      </c>
      <c r="E1" s="32" t="s">
        <v>3</v>
      </c>
      <c r="F1" s="32" t="s">
        <v>299</v>
      </c>
      <c r="G1" s="34" t="s">
        <v>300</v>
      </c>
    </row>
    <row r="2" spans="1:7" x14ac:dyDescent="0.25">
      <c r="A2" s="271" t="s">
        <v>394</v>
      </c>
      <c r="B2" s="45" t="s">
        <v>301</v>
      </c>
      <c r="C2" s="46" t="s">
        <v>301</v>
      </c>
      <c r="D2" s="77" t="s">
        <v>398</v>
      </c>
      <c r="E2" s="47" t="s">
        <v>26</v>
      </c>
      <c r="F2" s="47" t="s">
        <v>302</v>
      </c>
      <c r="G2" s="47">
        <v>50</v>
      </c>
    </row>
    <row r="3" spans="1:7" x14ac:dyDescent="0.25">
      <c r="A3" s="271"/>
      <c r="B3" s="48" t="s">
        <v>411</v>
      </c>
      <c r="C3" s="49"/>
      <c r="D3" s="78" t="s">
        <v>398</v>
      </c>
      <c r="E3" s="50" t="s">
        <v>26</v>
      </c>
      <c r="F3" s="50" t="s">
        <v>302</v>
      </c>
      <c r="G3" s="50">
        <v>85</v>
      </c>
    </row>
    <row r="4" spans="1:7" x14ac:dyDescent="0.25">
      <c r="A4" s="271"/>
      <c r="B4" s="48" t="s">
        <v>412</v>
      </c>
      <c r="C4" s="49"/>
      <c r="D4" s="78" t="s">
        <v>398</v>
      </c>
      <c r="E4" s="50" t="s">
        <v>26</v>
      </c>
      <c r="F4" s="50" t="s">
        <v>302</v>
      </c>
      <c r="G4" s="50">
        <v>105</v>
      </c>
    </row>
    <row r="5" spans="1:7" x14ac:dyDescent="0.25">
      <c r="A5" s="271"/>
      <c r="B5" s="48" t="s">
        <v>413</v>
      </c>
      <c r="C5" s="49"/>
      <c r="D5" s="78" t="s">
        <v>398</v>
      </c>
      <c r="E5" s="50" t="s">
        <v>26</v>
      </c>
      <c r="F5" s="50" t="s">
        <v>302</v>
      </c>
      <c r="G5" s="50">
        <v>120</v>
      </c>
    </row>
    <row r="6" spans="1:7" x14ac:dyDescent="0.25">
      <c r="A6" s="271"/>
      <c r="B6" s="48" t="s">
        <v>8</v>
      </c>
      <c r="C6" s="49" t="s">
        <v>8</v>
      </c>
      <c r="D6" s="78" t="s">
        <v>398</v>
      </c>
      <c r="E6" s="50" t="s">
        <v>26</v>
      </c>
      <c r="F6" s="50" t="s">
        <v>302</v>
      </c>
      <c r="G6" s="50">
        <v>42</v>
      </c>
    </row>
    <row r="7" spans="1:7" x14ac:dyDescent="0.25">
      <c r="A7" s="271"/>
      <c r="B7" s="48" t="s">
        <v>414</v>
      </c>
      <c r="C7" s="49"/>
      <c r="D7" s="78" t="s">
        <v>398</v>
      </c>
      <c r="E7" s="50" t="s">
        <v>26</v>
      </c>
      <c r="F7" s="50" t="s">
        <v>302</v>
      </c>
      <c r="G7" s="50">
        <v>58</v>
      </c>
    </row>
    <row r="8" spans="1:7" x14ac:dyDescent="0.25">
      <c r="A8" s="271"/>
      <c r="B8" s="48" t="s">
        <v>415</v>
      </c>
      <c r="C8" s="49" t="s">
        <v>303</v>
      </c>
      <c r="D8" s="78" t="s">
        <v>398</v>
      </c>
      <c r="E8" s="50"/>
      <c r="F8" s="50" t="s">
        <v>302</v>
      </c>
      <c r="G8" s="50">
        <v>48</v>
      </c>
    </row>
    <row r="9" spans="1:7" x14ac:dyDescent="0.25">
      <c r="A9" s="271"/>
      <c r="B9" s="48" t="s">
        <v>416</v>
      </c>
      <c r="C9" s="49"/>
      <c r="D9" s="78" t="s">
        <v>398</v>
      </c>
      <c r="E9" s="50" t="s">
        <v>26</v>
      </c>
      <c r="F9" s="50" t="s">
        <v>302</v>
      </c>
      <c r="G9" s="50">
        <v>145</v>
      </c>
    </row>
    <row r="10" spans="1:7" x14ac:dyDescent="0.25">
      <c r="A10" s="271"/>
      <c r="B10" s="48" t="s">
        <v>304</v>
      </c>
      <c r="C10" s="49" t="s">
        <v>304</v>
      </c>
      <c r="D10" s="78" t="s">
        <v>398</v>
      </c>
      <c r="E10" s="50" t="s">
        <v>26</v>
      </c>
      <c r="F10" s="50" t="s">
        <v>302</v>
      </c>
      <c r="G10" s="50">
        <v>65</v>
      </c>
    </row>
    <row r="11" spans="1:7" x14ac:dyDescent="0.25">
      <c r="A11" s="271"/>
      <c r="B11" s="48" t="s">
        <v>417</v>
      </c>
      <c r="C11" s="49"/>
      <c r="D11" s="78" t="s">
        <v>398</v>
      </c>
      <c r="E11" s="50" t="s">
        <v>26</v>
      </c>
      <c r="F11" s="50" t="s">
        <v>302</v>
      </c>
      <c r="G11" s="50">
        <v>75</v>
      </c>
    </row>
    <row r="12" spans="1:7" x14ac:dyDescent="0.25">
      <c r="A12" s="271"/>
      <c r="B12" s="48" t="s">
        <v>18</v>
      </c>
      <c r="C12" s="49" t="s">
        <v>305</v>
      </c>
      <c r="D12" s="78" t="s">
        <v>398</v>
      </c>
      <c r="E12" s="50" t="s">
        <v>19</v>
      </c>
      <c r="F12" s="50" t="s">
        <v>302</v>
      </c>
      <c r="G12" s="51">
        <v>3250</v>
      </c>
    </row>
    <row r="13" spans="1:7" x14ac:dyDescent="0.25">
      <c r="A13" s="271"/>
      <c r="B13" s="48" t="s">
        <v>418</v>
      </c>
      <c r="C13" s="49" t="s">
        <v>306</v>
      </c>
      <c r="D13" s="78" t="s">
        <v>398</v>
      </c>
      <c r="E13" s="50" t="s">
        <v>19</v>
      </c>
      <c r="F13" s="50" t="s">
        <v>302</v>
      </c>
      <c r="G13" s="51">
        <v>4250</v>
      </c>
    </row>
    <row r="14" spans="1:7" x14ac:dyDescent="0.25">
      <c r="A14" s="271"/>
      <c r="B14" s="48" t="s">
        <v>30</v>
      </c>
      <c r="C14" s="49" t="s">
        <v>30</v>
      </c>
      <c r="D14" s="78" t="s">
        <v>398</v>
      </c>
      <c r="E14" s="50" t="s">
        <v>19</v>
      </c>
      <c r="F14" s="50" t="s">
        <v>302</v>
      </c>
      <c r="G14" s="51">
        <v>3350</v>
      </c>
    </row>
    <row r="15" spans="1:7" x14ac:dyDescent="0.25">
      <c r="A15" s="271"/>
      <c r="B15" s="48" t="s">
        <v>25</v>
      </c>
      <c r="C15" s="49" t="s">
        <v>307</v>
      </c>
      <c r="D15" s="78" t="s">
        <v>398</v>
      </c>
      <c r="E15" s="50" t="s">
        <v>26</v>
      </c>
      <c r="F15" s="50" t="s">
        <v>302</v>
      </c>
      <c r="G15" s="50">
        <v>185</v>
      </c>
    </row>
    <row r="16" spans="1:7" x14ac:dyDescent="0.25">
      <c r="A16" s="271"/>
      <c r="B16" s="48" t="s">
        <v>38</v>
      </c>
      <c r="C16" s="49" t="s">
        <v>308</v>
      </c>
      <c r="D16" s="78" t="s">
        <v>398</v>
      </c>
      <c r="E16" s="50" t="s">
        <v>26</v>
      </c>
      <c r="F16" s="50" t="s">
        <v>302</v>
      </c>
      <c r="G16" s="50">
        <v>42</v>
      </c>
    </row>
    <row r="17" spans="1:7" x14ac:dyDescent="0.25">
      <c r="A17" s="271"/>
      <c r="B17" s="52" t="s">
        <v>419</v>
      </c>
      <c r="C17" s="53" t="s">
        <v>309</v>
      </c>
      <c r="D17" s="79" t="s">
        <v>398</v>
      </c>
      <c r="E17" s="54" t="s">
        <v>19</v>
      </c>
      <c r="F17" s="54" t="s">
        <v>302</v>
      </c>
      <c r="G17" s="55">
        <v>3200</v>
      </c>
    </row>
    <row r="18" spans="1:7" x14ac:dyDescent="0.25">
      <c r="A18" s="271" t="s">
        <v>395</v>
      </c>
      <c r="B18" s="56" t="s">
        <v>420</v>
      </c>
      <c r="C18" s="57"/>
      <c r="D18" s="80" t="s">
        <v>399</v>
      </c>
      <c r="E18" s="58" t="s">
        <v>23</v>
      </c>
      <c r="F18" s="58" t="s">
        <v>302</v>
      </c>
      <c r="G18" s="58">
        <v>58</v>
      </c>
    </row>
    <row r="19" spans="1:7" x14ac:dyDescent="0.25">
      <c r="A19" s="271"/>
      <c r="B19" s="59" t="s">
        <v>421</v>
      </c>
      <c r="C19" s="60"/>
      <c r="D19" s="81" t="s">
        <v>399</v>
      </c>
      <c r="E19" s="61" t="s">
        <v>23</v>
      </c>
      <c r="F19" s="61" t="s">
        <v>302</v>
      </c>
      <c r="G19" s="61">
        <v>58</v>
      </c>
    </row>
    <row r="20" spans="1:7" x14ac:dyDescent="0.25">
      <c r="A20" s="271"/>
      <c r="B20" s="59" t="s">
        <v>422</v>
      </c>
      <c r="C20" s="60"/>
      <c r="D20" s="81" t="s">
        <v>399</v>
      </c>
      <c r="E20" s="61" t="s">
        <v>23</v>
      </c>
      <c r="F20" s="61" t="s">
        <v>302</v>
      </c>
      <c r="G20" s="61">
        <v>58</v>
      </c>
    </row>
    <row r="21" spans="1:7" x14ac:dyDescent="0.25">
      <c r="A21" s="271"/>
      <c r="B21" s="59" t="s">
        <v>423</v>
      </c>
      <c r="C21" s="60"/>
      <c r="D21" s="81" t="s">
        <v>399</v>
      </c>
      <c r="E21" s="61" t="s">
        <v>23</v>
      </c>
      <c r="F21" s="61" t="s">
        <v>302</v>
      </c>
      <c r="G21" s="61">
        <v>39</v>
      </c>
    </row>
    <row r="22" spans="1:7" x14ac:dyDescent="0.25">
      <c r="A22" s="271"/>
      <c r="B22" s="59" t="s">
        <v>424</v>
      </c>
      <c r="C22" s="60"/>
      <c r="D22" s="81" t="s">
        <v>399</v>
      </c>
      <c r="E22" s="61" t="s">
        <v>23</v>
      </c>
      <c r="F22" s="61" t="s">
        <v>302</v>
      </c>
      <c r="G22" s="61">
        <v>18.5</v>
      </c>
    </row>
    <row r="23" spans="1:7" x14ac:dyDescent="0.25">
      <c r="A23" s="271"/>
      <c r="B23" s="59" t="s">
        <v>425</v>
      </c>
      <c r="C23" s="60"/>
      <c r="D23" s="81" t="s">
        <v>399</v>
      </c>
      <c r="E23" s="61" t="s">
        <v>45</v>
      </c>
      <c r="F23" s="61" t="s">
        <v>302</v>
      </c>
      <c r="G23" s="61">
        <v>4.32</v>
      </c>
    </row>
    <row r="24" spans="1:7" x14ac:dyDescent="0.25">
      <c r="A24" s="271"/>
      <c r="B24" s="59" t="s">
        <v>426</v>
      </c>
      <c r="C24" s="60"/>
      <c r="D24" s="81" t="s">
        <v>399</v>
      </c>
      <c r="E24" s="61" t="s">
        <v>23</v>
      </c>
      <c r="F24" s="61" t="s">
        <v>302</v>
      </c>
      <c r="G24" s="61">
        <v>248</v>
      </c>
    </row>
    <row r="25" spans="1:7" x14ac:dyDescent="0.25">
      <c r="A25" s="271"/>
      <c r="B25" s="59" t="s">
        <v>427</v>
      </c>
      <c r="C25" s="60"/>
      <c r="D25" s="81" t="s">
        <v>399</v>
      </c>
      <c r="E25" s="61" t="s">
        <v>23</v>
      </c>
      <c r="F25" s="61" t="s">
        <v>302</v>
      </c>
      <c r="G25" s="61">
        <v>108.88</v>
      </c>
    </row>
    <row r="26" spans="1:7" x14ac:dyDescent="0.25">
      <c r="A26" s="271"/>
      <c r="B26" s="59" t="s">
        <v>428</v>
      </c>
      <c r="C26" s="60" t="s">
        <v>310</v>
      </c>
      <c r="D26" s="81" t="s">
        <v>399</v>
      </c>
      <c r="E26" s="61" t="s">
        <v>45</v>
      </c>
      <c r="F26" s="61" t="s">
        <v>302</v>
      </c>
      <c r="G26" s="61">
        <v>434.16</v>
      </c>
    </row>
    <row r="27" spans="1:7" x14ac:dyDescent="0.25">
      <c r="A27" s="271"/>
      <c r="B27" s="59" t="s">
        <v>429</v>
      </c>
      <c r="C27" s="60" t="s">
        <v>311</v>
      </c>
      <c r="D27" s="81" t="s">
        <v>399</v>
      </c>
      <c r="E27" s="61" t="s">
        <v>23</v>
      </c>
      <c r="F27" s="61" t="s">
        <v>302</v>
      </c>
      <c r="G27" s="61">
        <v>218.86</v>
      </c>
    </row>
    <row r="28" spans="1:7" x14ac:dyDescent="0.25">
      <c r="A28" s="271"/>
      <c r="B28" s="59" t="s">
        <v>430</v>
      </c>
      <c r="C28" s="60"/>
      <c r="D28" s="81" t="s">
        <v>399</v>
      </c>
      <c r="E28" s="61" t="s">
        <v>45</v>
      </c>
      <c r="F28" s="61" t="s">
        <v>302</v>
      </c>
      <c r="G28" s="61">
        <v>429.14</v>
      </c>
    </row>
    <row r="29" spans="1:7" x14ac:dyDescent="0.25">
      <c r="A29" s="271"/>
      <c r="B29" s="59" t="s">
        <v>431</v>
      </c>
      <c r="C29" s="60"/>
      <c r="D29" s="81" t="s">
        <v>399</v>
      </c>
      <c r="E29" s="61" t="s">
        <v>45</v>
      </c>
      <c r="F29" s="61" t="s">
        <v>302</v>
      </c>
      <c r="G29" s="61">
        <v>5.34</v>
      </c>
    </row>
    <row r="30" spans="1:7" x14ac:dyDescent="0.25">
      <c r="A30" s="271"/>
      <c r="B30" s="59" t="s">
        <v>432</v>
      </c>
      <c r="C30" s="60"/>
      <c r="D30" s="81" t="s">
        <v>399</v>
      </c>
      <c r="E30" s="61" t="s">
        <v>23</v>
      </c>
      <c r="F30" s="61" t="s">
        <v>302</v>
      </c>
      <c r="G30" s="61">
        <v>89</v>
      </c>
    </row>
    <row r="31" spans="1:7" x14ac:dyDescent="0.25">
      <c r="A31" s="271"/>
      <c r="B31" s="59" t="s">
        <v>433</v>
      </c>
      <c r="C31" s="60"/>
      <c r="D31" s="81" t="s">
        <v>399</v>
      </c>
      <c r="E31" s="61" t="s">
        <v>23</v>
      </c>
      <c r="F31" s="61" t="s">
        <v>302</v>
      </c>
      <c r="G31" s="61">
        <v>89</v>
      </c>
    </row>
    <row r="32" spans="1:7" x14ac:dyDescent="0.25">
      <c r="A32" s="271"/>
      <c r="B32" s="59" t="s">
        <v>434</v>
      </c>
      <c r="C32" s="60"/>
      <c r="D32" s="81" t="s">
        <v>399</v>
      </c>
      <c r="E32" s="61" t="s">
        <v>23</v>
      </c>
      <c r="F32" s="61" t="s">
        <v>302</v>
      </c>
      <c r="G32" s="61">
        <v>89</v>
      </c>
    </row>
    <row r="33" spans="1:7" x14ac:dyDescent="0.25">
      <c r="A33" s="271"/>
      <c r="B33" s="59" t="s">
        <v>435</v>
      </c>
      <c r="C33" s="60"/>
      <c r="D33" s="81" t="s">
        <v>399</v>
      </c>
      <c r="E33" s="61" t="s">
        <v>23</v>
      </c>
      <c r="F33" s="61" t="s">
        <v>302</v>
      </c>
      <c r="G33" s="61">
        <v>122</v>
      </c>
    </row>
    <row r="34" spans="1:7" x14ac:dyDescent="0.25">
      <c r="A34" s="271"/>
      <c r="B34" s="59" t="s">
        <v>436</v>
      </c>
      <c r="C34" s="60"/>
      <c r="D34" s="81" t="s">
        <v>399</v>
      </c>
      <c r="E34" s="61" t="s">
        <v>23</v>
      </c>
      <c r="F34" s="61" t="s">
        <v>302</v>
      </c>
      <c r="G34" s="61">
        <v>51</v>
      </c>
    </row>
    <row r="35" spans="1:7" x14ac:dyDescent="0.25">
      <c r="A35" s="271"/>
      <c r="B35" s="59" t="s">
        <v>437</v>
      </c>
      <c r="C35" s="60"/>
      <c r="D35" s="81" t="s">
        <v>399</v>
      </c>
      <c r="E35" s="61" t="s">
        <v>45</v>
      </c>
      <c r="F35" s="61" t="s">
        <v>302</v>
      </c>
      <c r="G35" s="61">
        <v>34</v>
      </c>
    </row>
    <row r="36" spans="1:7" x14ac:dyDescent="0.25">
      <c r="A36" s="271"/>
      <c r="B36" s="59" t="s">
        <v>438</v>
      </c>
      <c r="C36" s="60"/>
      <c r="D36" s="81" t="s">
        <v>399</v>
      </c>
      <c r="E36" s="61" t="s">
        <v>45</v>
      </c>
      <c r="F36" s="61" t="s">
        <v>302</v>
      </c>
      <c r="G36" s="61">
        <v>25</v>
      </c>
    </row>
    <row r="37" spans="1:7" x14ac:dyDescent="0.25">
      <c r="A37" s="271"/>
      <c r="B37" s="59" t="s">
        <v>439</v>
      </c>
      <c r="C37" s="60"/>
      <c r="D37" s="81" t="s">
        <v>399</v>
      </c>
      <c r="E37" s="61" t="s">
        <v>23</v>
      </c>
      <c r="F37" s="61" t="s">
        <v>302</v>
      </c>
      <c r="G37" s="61">
        <v>420</v>
      </c>
    </row>
    <row r="38" spans="1:7" x14ac:dyDescent="0.25">
      <c r="A38" s="271"/>
      <c r="B38" s="59" t="s">
        <v>440</v>
      </c>
      <c r="C38" s="60"/>
      <c r="D38" s="81" t="s">
        <v>399</v>
      </c>
      <c r="E38" s="61" t="s">
        <v>23</v>
      </c>
      <c r="F38" s="61" t="s">
        <v>302</v>
      </c>
      <c r="G38" s="61">
        <v>112</v>
      </c>
    </row>
    <row r="39" spans="1:7" x14ac:dyDescent="0.25">
      <c r="A39" s="271"/>
      <c r="B39" s="59" t="s">
        <v>441</v>
      </c>
      <c r="C39" s="60"/>
      <c r="D39" s="81" t="s">
        <v>399</v>
      </c>
      <c r="E39" s="61" t="s">
        <v>23</v>
      </c>
      <c r="F39" s="61" t="s">
        <v>302</v>
      </c>
      <c r="G39" s="62">
        <v>1449.3</v>
      </c>
    </row>
    <row r="40" spans="1:7" x14ac:dyDescent="0.25">
      <c r="A40" s="271"/>
      <c r="B40" s="59" t="s">
        <v>442</v>
      </c>
      <c r="C40" s="60"/>
      <c r="D40" s="81" t="s">
        <v>399</v>
      </c>
      <c r="E40" s="61" t="s">
        <v>23</v>
      </c>
      <c r="F40" s="61" t="s">
        <v>302</v>
      </c>
      <c r="G40" s="61">
        <v>257.32</v>
      </c>
    </row>
    <row r="41" spans="1:7" x14ac:dyDescent="0.25">
      <c r="A41" s="271"/>
      <c r="B41" s="59" t="s">
        <v>443</v>
      </c>
      <c r="C41" s="60"/>
      <c r="D41" s="81" t="s">
        <v>399</v>
      </c>
      <c r="E41" s="61" t="s">
        <v>23</v>
      </c>
      <c r="F41" s="61" t="s">
        <v>302</v>
      </c>
      <c r="G41" s="61">
        <v>318.8</v>
      </c>
    </row>
    <row r="42" spans="1:7" x14ac:dyDescent="0.25">
      <c r="A42" s="271"/>
      <c r="B42" s="59" t="s">
        <v>444</v>
      </c>
      <c r="C42" s="60"/>
      <c r="D42" s="81" t="s">
        <v>399</v>
      </c>
      <c r="E42" s="61" t="s">
        <v>312</v>
      </c>
      <c r="F42" s="61" t="s">
        <v>302</v>
      </c>
      <c r="G42" s="61">
        <v>33.5</v>
      </c>
    </row>
    <row r="43" spans="1:7" x14ac:dyDescent="0.25">
      <c r="A43" s="271"/>
      <c r="B43" s="59" t="s">
        <v>445</v>
      </c>
      <c r="C43" s="60"/>
      <c r="D43" s="81" t="s">
        <v>399</v>
      </c>
      <c r="E43" s="61" t="s">
        <v>45</v>
      </c>
      <c r="F43" s="61" t="s">
        <v>302</v>
      </c>
      <c r="G43" s="61">
        <v>55</v>
      </c>
    </row>
    <row r="44" spans="1:7" x14ac:dyDescent="0.25">
      <c r="A44" s="271"/>
      <c r="B44" s="59" t="s">
        <v>446</v>
      </c>
      <c r="C44" s="60"/>
      <c r="D44" s="81" t="s">
        <v>399</v>
      </c>
      <c r="E44" s="61" t="s">
        <v>45</v>
      </c>
      <c r="F44" s="61" t="s">
        <v>302</v>
      </c>
      <c r="G44" s="61">
        <v>48.72</v>
      </c>
    </row>
    <row r="45" spans="1:7" x14ac:dyDescent="0.25">
      <c r="A45" s="271"/>
      <c r="B45" s="59" t="s">
        <v>169</v>
      </c>
      <c r="C45" s="60"/>
      <c r="D45" s="81" t="s">
        <v>399</v>
      </c>
      <c r="E45" s="61" t="s">
        <v>45</v>
      </c>
      <c r="F45" s="61" t="s">
        <v>302</v>
      </c>
      <c r="G45" s="61">
        <v>68.599999999999994</v>
      </c>
    </row>
    <row r="46" spans="1:7" x14ac:dyDescent="0.25">
      <c r="A46" s="271"/>
      <c r="B46" s="59" t="s">
        <v>447</v>
      </c>
      <c r="C46" s="60"/>
      <c r="D46" s="81" t="s">
        <v>399</v>
      </c>
      <c r="E46" s="61" t="s">
        <v>45</v>
      </c>
      <c r="F46" s="61" t="s">
        <v>302</v>
      </c>
      <c r="G46" s="61">
        <v>71.92</v>
      </c>
    </row>
    <row r="47" spans="1:7" x14ac:dyDescent="0.25">
      <c r="A47" s="271"/>
      <c r="B47" s="59" t="s">
        <v>448</v>
      </c>
      <c r="C47" s="60"/>
      <c r="D47" s="81" t="s">
        <v>399</v>
      </c>
      <c r="E47" s="61" t="s">
        <v>23</v>
      </c>
      <c r="F47" s="61" t="s">
        <v>302</v>
      </c>
      <c r="G47" s="61">
        <v>400</v>
      </c>
    </row>
    <row r="48" spans="1:7" x14ac:dyDescent="0.25">
      <c r="A48" s="271"/>
      <c r="B48" s="59" t="s">
        <v>449</v>
      </c>
      <c r="C48" s="60"/>
      <c r="D48" s="81" t="s">
        <v>399</v>
      </c>
      <c r="E48" s="61" t="s">
        <v>45</v>
      </c>
      <c r="F48" s="61" t="s">
        <v>302</v>
      </c>
      <c r="G48" s="61">
        <v>1.98</v>
      </c>
    </row>
    <row r="49" spans="1:7" x14ac:dyDescent="0.25">
      <c r="A49" s="271"/>
      <c r="B49" s="59" t="s">
        <v>450</v>
      </c>
      <c r="C49" s="60"/>
      <c r="D49" s="81" t="s">
        <v>399</v>
      </c>
      <c r="E49" s="61" t="s">
        <v>312</v>
      </c>
      <c r="F49" s="61" t="s">
        <v>302</v>
      </c>
      <c r="G49" s="61">
        <v>27.5</v>
      </c>
    </row>
    <row r="50" spans="1:7" x14ac:dyDescent="0.25">
      <c r="A50" s="271"/>
      <c r="B50" s="59" t="s">
        <v>406</v>
      </c>
      <c r="C50" s="60"/>
      <c r="D50" s="81" t="s">
        <v>399</v>
      </c>
      <c r="E50" s="61" t="s">
        <v>45</v>
      </c>
      <c r="F50" s="61" t="s">
        <v>302</v>
      </c>
      <c r="G50" s="61">
        <v>92.1</v>
      </c>
    </row>
    <row r="51" spans="1:7" x14ac:dyDescent="0.25">
      <c r="A51" s="271"/>
      <c r="B51" s="59" t="s">
        <v>451</v>
      </c>
      <c r="C51" s="60"/>
      <c r="D51" s="81" t="s">
        <v>399</v>
      </c>
      <c r="E51" s="61" t="s">
        <v>45</v>
      </c>
      <c r="F51" s="61" t="s">
        <v>302</v>
      </c>
      <c r="G51" s="61">
        <v>115.06</v>
      </c>
    </row>
    <row r="52" spans="1:7" x14ac:dyDescent="0.25">
      <c r="A52" s="271"/>
      <c r="B52" s="59" t="s">
        <v>452</v>
      </c>
      <c r="C52" s="60"/>
      <c r="D52" s="81" t="s">
        <v>399</v>
      </c>
      <c r="E52" s="61" t="s">
        <v>45</v>
      </c>
      <c r="F52" s="61" t="s">
        <v>302</v>
      </c>
      <c r="G52" s="61">
        <v>3</v>
      </c>
    </row>
    <row r="53" spans="1:7" x14ac:dyDescent="0.25">
      <c r="A53" s="271"/>
      <c r="B53" s="59" t="s">
        <v>453</v>
      </c>
      <c r="C53" s="60"/>
      <c r="D53" s="81" t="s">
        <v>399</v>
      </c>
      <c r="E53" s="61" t="s">
        <v>45</v>
      </c>
      <c r="F53" s="61" t="s">
        <v>302</v>
      </c>
      <c r="G53" s="61">
        <v>2.3199999999999998</v>
      </c>
    </row>
    <row r="54" spans="1:7" x14ac:dyDescent="0.25">
      <c r="A54" s="271"/>
      <c r="B54" s="59" t="s">
        <v>454</v>
      </c>
      <c r="C54" s="60"/>
      <c r="D54" s="81" t="s">
        <v>399</v>
      </c>
      <c r="E54" s="61" t="s">
        <v>45</v>
      </c>
      <c r="F54" s="61" t="s">
        <v>302</v>
      </c>
      <c r="G54" s="61">
        <v>105.79</v>
      </c>
    </row>
    <row r="55" spans="1:7" x14ac:dyDescent="0.25">
      <c r="A55" s="271"/>
      <c r="B55" s="59" t="s">
        <v>455</v>
      </c>
      <c r="C55" s="60"/>
      <c r="D55" s="81" t="s">
        <v>399</v>
      </c>
      <c r="E55" s="61" t="s">
        <v>45</v>
      </c>
      <c r="F55" s="61" t="s">
        <v>302</v>
      </c>
      <c r="G55" s="61">
        <v>3.85</v>
      </c>
    </row>
    <row r="56" spans="1:7" x14ac:dyDescent="0.25">
      <c r="A56" s="271"/>
      <c r="B56" s="59" t="s">
        <v>456</v>
      </c>
      <c r="C56" s="60"/>
      <c r="D56" s="81" t="s">
        <v>399</v>
      </c>
      <c r="E56" s="61" t="s">
        <v>45</v>
      </c>
      <c r="F56" s="61" t="s">
        <v>302</v>
      </c>
      <c r="G56" s="61">
        <v>203.21</v>
      </c>
    </row>
    <row r="57" spans="1:7" x14ac:dyDescent="0.25">
      <c r="A57" s="271"/>
      <c r="B57" s="59" t="s">
        <v>457</v>
      </c>
      <c r="C57" s="60"/>
      <c r="D57" s="81" t="s">
        <v>399</v>
      </c>
      <c r="E57" s="61" t="s">
        <v>23</v>
      </c>
      <c r="F57" s="61" t="s">
        <v>302</v>
      </c>
      <c r="G57" s="61">
        <v>725</v>
      </c>
    </row>
    <row r="58" spans="1:7" x14ac:dyDescent="0.25">
      <c r="A58" s="271"/>
      <c r="B58" s="59" t="s">
        <v>458</v>
      </c>
      <c r="C58" s="60"/>
      <c r="D58" s="81" t="s">
        <v>399</v>
      </c>
      <c r="E58" s="61" t="s">
        <v>45</v>
      </c>
      <c r="F58" s="61" t="s">
        <v>302</v>
      </c>
      <c r="G58" s="61">
        <v>175</v>
      </c>
    </row>
    <row r="59" spans="1:7" x14ac:dyDescent="0.25">
      <c r="A59" s="271"/>
      <c r="B59" s="59" t="s">
        <v>459</v>
      </c>
      <c r="C59" s="60"/>
      <c r="D59" s="81" t="s">
        <v>399</v>
      </c>
      <c r="E59" s="61" t="s">
        <v>45</v>
      </c>
      <c r="F59" s="61" t="s">
        <v>302</v>
      </c>
      <c r="G59" s="61">
        <v>4.62</v>
      </c>
    </row>
    <row r="60" spans="1:7" x14ac:dyDescent="0.25">
      <c r="A60" s="271"/>
      <c r="B60" s="59" t="s">
        <v>460</v>
      </c>
      <c r="C60" s="60"/>
      <c r="D60" s="81" t="s">
        <v>399</v>
      </c>
      <c r="E60" s="61" t="s">
        <v>45</v>
      </c>
      <c r="F60" s="61" t="s">
        <v>302</v>
      </c>
      <c r="G60" s="61">
        <v>259.81</v>
      </c>
    </row>
    <row r="61" spans="1:7" x14ac:dyDescent="0.25">
      <c r="A61" s="271"/>
      <c r="B61" s="59" t="s">
        <v>461</v>
      </c>
      <c r="C61" s="60" t="s">
        <v>313</v>
      </c>
      <c r="D61" s="81" t="s">
        <v>399</v>
      </c>
      <c r="E61" s="61" t="s">
        <v>110</v>
      </c>
      <c r="F61" s="61" t="s">
        <v>302</v>
      </c>
      <c r="G61" s="61">
        <v>1.05</v>
      </c>
    </row>
    <row r="62" spans="1:7" x14ac:dyDescent="0.25">
      <c r="A62" s="271"/>
      <c r="B62" s="59" t="s">
        <v>462</v>
      </c>
      <c r="C62" s="60"/>
      <c r="D62" s="81" t="s">
        <v>399</v>
      </c>
      <c r="E62" s="61" t="s">
        <v>110</v>
      </c>
      <c r="F62" s="61" t="s">
        <v>302</v>
      </c>
      <c r="G62" s="61">
        <v>2.5</v>
      </c>
    </row>
    <row r="63" spans="1:7" x14ac:dyDescent="0.25">
      <c r="A63" s="271"/>
      <c r="B63" s="59" t="s">
        <v>463</v>
      </c>
      <c r="C63" s="60" t="s">
        <v>314</v>
      </c>
      <c r="D63" s="81" t="s">
        <v>399</v>
      </c>
      <c r="E63" s="61" t="s">
        <v>110</v>
      </c>
      <c r="F63" s="61" t="s">
        <v>302</v>
      </c>
      <c r="G63" s="61">
        <v>2.4900000000000002</v>
      </c>
    </row>
    <row r="64" spans="1:7" x14ac:dyDescent="0.25">
      <c r="A64" s="271"/>
      <c r="B64" s="59" t="s">
        <v>121</v>
      </c>
      <c r="C64" s="60"/>
      <c r="D64" s="81" t="s">
        <v>399</v>
      </c>
      <c r="E64" s="61" t="s">
        <v>45</v>
      </c>
      <c r="F64" s="61" t="s">
        <v>302</v>
      </c>
      <c r="G64" s="61">
        <v>3</v>
      </c>
    </row>
    <row r="65" spans="1:7" x14ac:dyDescent="0.25">
      <c r="A65" s="271"/>
      <c r="B65" s="59" t="s">
        <v>124</v>
      </c>
      <c r="C65" s="60"/>
      <c r="D65" s="81" t="s">
        <v>399</v>
      </c>
      <c r="E65" s="61" t="s">
        <v>23</v>
      </c>
      <c r="F65" s="61" t="s">
        <v>302</v>
      </c>
      <c r="G65" s="61">
        <v>0.8</v>
      </c>
    </row>
    <row r="66" spans="1:7" x14ac:dyDescent="0.25">
      <c r="A66" s="271"/>
      <c r="B66" s="59" t="s">
        <v>464</v>
      </c>
      <c r="C66" s="60"/>
      <c r="D66" s="81" t="s">
        <v>399</v>
      </c>
      <c r="E66" s="61" t="s">
        <v>23</v>
      </c>
      <c r="F66" s="61" t="s">
        <v>302</v>
      </c>
      <c r="G66" s="61">
        <v>250</v>
      </c>
    </row>
    <row r="67" spans="1:7" x14ac:dyDescent="0.25">
      <c r="A67" s="271"/>
      <c r="B67" s="59" t="s">
        <v>465</v>
      </c>
      <c r="C67" s="60"/>
      <c r="D67" s="81" t="s">
        <v>399</v>
      </c>
      <c r="E67" s="61" t="s">
        <v>23</v>
      </c>
      <c r="F67" s="61" t="s">
        <v>302</v>
      </c>
      <c r="G67" s="61">
        <v>7.5</v>
      </c>
    </row>
    <row r="68" spans="1:7" x14ac:dyDescent="0.25">
      <c r="A68" s="271"/>
      <c r="B68" s="59" t="s">
        <v>466</v>
      </c>
      <c r="C68" s="60" t="s">
        <v>315</v>
      </c>
      <c r="D68" s="81" t="s">
        <v>399</v>
      </c>
      <c r="E68" s="61" t="s">
        <v>23</v>
      </c>
      <c r="F68" s="61" t="s">
        <v>302</v>
      </c>
      <c r="G68" s="62">
        <v>1346.26</v>
      </c>
    </row>
    <row r="69" spans="1:7" x14ac:dyDescent="0.25">
      <c r="A69" s="271"/>
      <c r="B69" s="59" t="s">
        <v>467</v>
      </c>
      <c r="C69" s="60" t="s">
        <v>316</v>
      </c>
      <c r="D69" s="81" t="s">
        <v>399</v>
      </c>
      <c r="E69" s="61" t="s">
        <v>23</v>
      </c>
      <c r="F69" s="61" t="s">
        <v>302</v>
      </c>
      <c r="G69" s="62">
        <v>1709.44</v>
      </c>
    </row>
    <row r="70" spans="1:7" x14ac:dyDescent="0.25">
      <c r="A70" s="271"/>
      <c r="B70" s="59" t="s">
        <v>468</v>
      </c>
      <c r="C70" s="60" t="s">
        <v>317</v>
      </c>
      <c r="D70" s="81" t="s">
        <v>399</v>
      </c>
      <c r="E70" s="61" t="s">
        <v>54</v>
      </c>
      <c r="F70" s="61" t="s">
        <v>302</v>
      </c>
      <c r="G70" s="61">
        <v>27.8</v>
      </c>
    </row>
    <row r="71" spans="1:7" x14ac:dyDescent="0.25">
      <c r="A71" s="271"/>
      <c r="B71" s="59" t="s">
        <v>469</v>
      </c>
      <c r="C71" s="60" t="s">
        <v>318</v>
      </c>
      <c r="D71" s="81" t="s">
        <v>399</v>
      </c>
      <c r="E71" s="61" t="s">
        <v>54</v>
      </c>
      <c r="F71" s="61" t="s">
        <v>302</v>
      </c>
      <c r="G71" s="61">
        <v>28.3</v>
      </c>
    </row>
    <row r="72" spans="1:7" x14ac:dyDescent="0.25">
      <c r="A72" s="271"/>
      <c r="B72" s="59" t="s">
        <v>470</v>
      </c>
      <c r="C72" s="60" t="s">
        <v>319</v>
      </c>
      <c r="D72" s="81" t="s">
        <v>399</v>
      </c>
      <c r="E72" s="61" t="s">
        <v>54</v>
      </c>
      <c r="F72" s="61" t="s">
        <v>302</v>
      </c>
      <c r="G72" s="61">
        <v>28.8</v>
      </c>
    </row>
    <row r="73" spans="1:7" x14ac:dyDescent="0.25">
      <c r="A73" s="271"/>
      <c r="B73" s="59" t="s">
        <v>471</v>
      </c>
      <c r="C73" s="60" t="s">
        <v>320</v>
      </c>
      <c r="D73" s="81" t="s">
        <v>399</v>
      </c>
      <c r="E73" s="61" t="s">
        <v>23</v>
      </c>
      <c r="F73" s="61" t="s">
        <v>302</v>
      </c>
      <c r="G73" s="61">
        <v>419.97</v>
      </c>
    </row>
    <row r="74" spans="1:7" x14ac:dyDescent="0.25">
      <c r="A74" s="271"/>
      <c r="B74" s="59" t="s">
        <v>76</v>
      </c>
      <c r="C74" s="60" t="s">
        <v>321</v>
      </c>
      <c r="D74" s="81" t="s">
        <v>399</v>
      </c>
      <c r="E74" s="61" t="s">
        <v>54</v>
      </c>
      <c r="F74" s="61" t="s">
        <v>302</v>
      </c>
      <c r="G74" s="61">
        <v>357</v>
      </c>
    </row>
    <row r="75" spans="1:7" x14ac:dyDescent="0.25">
      <c r="A75" s="271"/>
      <c r="B75" s="59" t="s">
        <v>472</v>
      </c>
      <c r="C75" s="60" t="s">
        <v>322</v>
      </c>
      <c r="D75" s="81" t="s">
        <v>399</v>
      </c>
      <c r="E75" s="61" t="s">
        <v>54</v>
      </c>
      <c r="F75" s="61" t="s">
        <v>302</v>
      </c>
      <c r="G75" s="61">
        <v>240</v>
      </c>
    </row>
    <row r="76" spans="1:7" x14ac:dyDescent="0.25">
      <c r="A76" s="271"/>
      <c r="B76" s="59" t="s">
        <v>473</v>
      </c>
      <c r="C76" s="60"/>
      <c r="D76" s="81" t="s">
        <v>399</v>
      </c>
      <c r="E76" s="61" t="s">
        <v>54</v>
      </c>
      <c r="F76" s="61" t="s">
        <v>302</v>
      </c>
      <c r="G76" s="61">
        <v>293</v>
      </c>
    </row>
    <row r="77" spans="1:7" x14ac:dyDescent="0.25">
      <c r="A77" s="271"/>
      <c r="B77" s="59" t="s">
        <v>474</v>
      </c>
      <c r="C77" s="60"/>
      <c r="D77" s="81" t="s">
        <v>399</v>
      </c>
      <c r="E77" s="61" t="s">
        <v>54</v>
      </c>
      <c r="F77" s="61" t="s">
        <v>302</v>
      </c>
      <c r="G77" s="61">
        <v>180</v>
      </c>
    </row>
    <row r="78" spans="1:7" x14ac:dyDescent="0.25">
      <c r="A78" s="271"/>
      <c r="B78" s="59" t="s">
        <v>475</v>
      </c>
      <c r="C78" s="60"/>
      <c r="D78" s="81" t="s">
        <v>399</v>
      </c>
      <c r="E78" s="61" t="s">
        <v>54</v>
      </c>
      <c r="F78" s="61" t="s">
        <v>302</v>
      </c>
      <c r="G78" s="61">
        <v>21.8</v>
      </c>
    </row>
    <row r="79" spans="1:7" x14ac:dyDescent="0.25">
      <c r="A79" s="271"/>
      <c r="B79" s="59" t="s">
        <v>476</v>
      </c>
      <c r="C79" s="60"/>
      <c r="D79" s="81" t="s">
        <v>399</v>
      </c>
      <c r="E79" s="61" t="s">
        <v>45</v>
      </c>
      <c r="F79" s="61" t="s">
        <v>302</v>
      </c>
      <c r="G79" s="61">
        <v>13.67</v>
      </c>
    </row>
    <row r="80" spans="1:7" x14ac:dyDescent="0.25">
      <c r="A80" s="271"/>
      <c r="B80" s="59" t="s">
        <v>477</v>
      </c>
      <c r="C80" s="60"/>
      <c r="D80" s="81" t="s">
        <v>399</v>
      </c>
      <c r="E80" s="61" t="s">
        <v>45</v>
      </c>
      <c r="F80" s="61" t="s">
        <v>302</v>
      </c>
      <c r="G80" s="61">
        <v>4.3499999999999996</v>
      </c>
    </row>
    <row r="81" spans="1:7" x14ac:dyDescent="0.25">
      <c r="A81" s="271"/>
      <c r="B81" s="59" t="s">
        <v>478</v>
      </c>
      <c r="C81" s="60"/>
      <c r="D81" s="81" t="s">
        <v>399</v>
      </c>
      <c r="E81" s="61" t="s">
        <v>45</v>
      </c>
      <c r="F81" s="61" t="s">
        <v>302</v>
      </c>
      <c r="G81" s="61">
        <v>9.09</v>
      </c>
    </row>
    <row r="82" spans="1:7" x14ac:dyDescent="0.25">
      <c r="A82" s="271"/>
      <c r="B82" s="59" t="s">
        <v>479</v>
      </c>
      <c r="C82" s="60"/>
      <c r="D82" s="81" t="s">
        <v>399</v>
      </c>
      <c r="E82" s="61" t="s">
        <v>45</v>
      </c>
      <c r="F82" s="61" t="s">
        <v>302</v>
      </c>
      <c r="G82" s="61">
        <v>19.170000000000002</v>
      </c>
    </row>
    <row r="83" spans="1:7" x14ac:dyDescent="0.25">
      <c r="A83" s="271"/>
      <c r="B83" s="59" t="s">
        <v>480</v>
      </c>
      <c r="C83" s="60"/>
      <c r="D83" s="81" t="s">
        <v>399</v>
      </c>
      <c r="E83" s="61" t="s">
        <v>45</v>
      </c>
      <c r="F83" s="61" t="s">
        <v>302</v>
      </c>
      <c r="G83" s="61">
        <v>26.67</v>
      </c>
    </row>
    <row r="84" spans="1:7" x14ac:dyDescent="0.25">
      <c r="A84" s="271"/>
      <c r="B84" s="59" t="s">
        <v>481</v>
      </c>
      <c r="C84" s="60"/>
      <c r="D84" s="81" t="s">
        <v>399</v>
      </c>
      <c r="E84" s="61" t="s">
        <v>45</v>
      </c>
      <c r="F84" s="61" t="s">
        <v>302</v>
      </c>
      <c r="G84" s="61">
        <v>9.09</v>
      </c>
    </row>
    <row r="85" spans="1:7" x14ac:dyDescent="0.25">
      <c r="A85" s="271"/>
      <c r="B85" s="59" t="s">
        <v>482</v>
      </c>
      <c r="C85" s="60" t="s">
        <v>323</v>
      </c>
      <c r="D85" s="81" t="s">
        <v>399</v>
      </c>
      <c r="E85" s="61" t="s">
        <v>253</v>
      </c>
      <c r="F85" s="61" t="s">
        <v>302</v>
      </c>
      <c r="G85" s="61">
        <v>30</v>
      </c>
    </row>
    <row r="86" spans="1:7" x14ac:dyDescent="0.25">
      <c r="A86" s="271"/>
      <c r="B86" s="59" t="s">
        <v>483</v>
      </c>
      <c r="C86" s="60" t="s">
        <v>323</v>
      </c>
      <c r="D86" s="81" t="s">
        <v>399</v>
      </c>
      <c r="E86" s="61" t="s">
        <v>45</v>
      </c>
      <c r="F86" s="61" t="s">
        <v>302</v>
      </c>
      <c r="G86" s="61">
        <v>50</v>
      </c>
    </row>
    <row r="87" spans="1:7" x14ac:dyDescent="0.25">
      <c r="A87" s="271"/>
      <c r="B87" s="59" t="s">
        <v>484</v>
      </c>
      <c r="C87" s="60" t="s">
        <v>323</v>
      </c>
      <c r="D87" s="81" t="s">
        <v>399</v>
      </c>
      <c r="E87" s="61" t="s">
        <v>253</v>
      </c>
      <c r="F87" s="61" t="s">
        <v>302</v>
      </c>
      <c r="G87" s="61">
        <v>71.739999999999995</v>
      </c>
    </row>
    <row r="88" spans="1:7" x14ac:dyDescent="0.25">
      <c r="A88" s="271"/>
      <c r="B88" s="59" t="s">
        <v>485</v>
      </c>
      <c r="C88" s="60" t="s">
        <v>323</v>
      </c>
      <c r="D88" s="81" t="s">
        <v>399</v>
      </c>
      <c r="E88" s="61" t="s">
        <v>253</v>
      </c>
      <c r="F88" s="61" t="s">
        <v>302</v>
      </c>
      <c r="G88" s="61">
        <v>120.5</v>
      </c>
    </row>
    <row r="89" spans="1:7" x14ac:dyDescent="0.25">
      <c r="A89" s="271"/>
      <c r="B89" s="59" t="s">
        <v>486</v>
      </c>
      <c r="C89" s="60" t="s">
        <v>324</v>
      </c>
      <c r="D89" s="81" t="s">
        <v>399</v>
      </c>
      <c r="E89" s="61" t="s">
        <v>253</v>
      </c>
      <c r="F89" s="61" t="s">
        <v>302</v>
      </c>
      <c r="G89" s="61">
        <v>184.29</v>
      </c>
    </row>
    <row r="90" spans="1:7" x14ac:dyDescent="0.25">
      <c r="A90" s="271"/>
      <c r="B90" s="59" t="s">
        <v>487</v>
      </c>
      <c r="C90" s="60" t="s">
        <v>325</v>
      </c>
      <c r="D90" s="81" t="s">
        <v>399</v>
      </c>
      <c r="E90" s="61" t="s">
        <v>253</v>
      </c>
      <c r="F90" s="61" t="s">
        <v>302</v>
      </c>
      <c r="G90" s="61">
        <v>518.45000000000005</v>
      </c>
    </row>
    <row r="91" spans="1:7" x14ac:dyDescent="0.25">
      <c r="A91" s="271"/>
      <c r="B91" s="59" t="s">
        <v>488</v>
      </c>
      <c r="C91" s="60" t="s">
        <v>326</v>
      </c>
      <c r="D91" s="81" t="s">
        <v>399</v>
      </c>
      <c r="E91" s="61" t="s">
        <v>253</v>
      </c>
      <c r="F91" s="61" t="s">
        <v>302</v>
      </c>
      <c r="G91" s="61">
        <v>633.14</v>
      </c>
    </row>
    <row r="92" spans="1:7" x14ac:dyDescent="0.25">
      <c r="A92" s="271"/>
      <c r="B92" s="59" t="s">
        <v>489</v>
      </c>
      <c r="C92" s="60"/>
      <c r="D92" s="81" t="s">
        <v>399</v>
      </c>
      <c r="E92" s="61" t="s">
        <v>23</v>
      </c>
      <c r="F92" s="61" t="s">
        <v>302</v>
      </c>
      <c r="G92" s="61">
        <v>65</v>
      </c>
    </row>
    <row r="93" spans="1:7" x14ac:dyDescent="0.25">
      <c r="A93" s="271"/>
      <c r="B93" s="59" t="s">
        <v>490</v>
      </c>
      <c r="C93" s="60"/>
      <c r="D93" s="81" t="s">
        <v>399</v>
      </c>
      <c r="E93" s="61" t="s">
        <v>253</v>
      </c>
      <c r="F93" s="61" t="s">
        <v>302</v>
      </c>
      <c r="G93" s="62">
        <v>12000</v>
      </c>
    </row>
    <row r="94" spans="1:7" x14ac:dyDescent="0.25">
      <c r="A94" s="271"/>
      <c r="B94" s="59" t="s">
        <v>194</v>
      </c>
      <c r="C94" s="60" t="s">
        <v>194</v>
      </c>
      <c r="D94" s="81" t="s">
        <v>399</v>
      </c>
      <c r="E94" s="61" t="s">
        <v>45</v>
      </c>
      <c r="F94" s="61" t="s">
        <v>302</v>
      </c>
      <c r="G94" s="61">
        <v>5</v>
      </c>
    </row>
    <row r="95" spans="1:7" x14ac:dyDescent="0.25">
      <c r="A95" s="271"/>
      <c r="B95" s="59" t="s">
        <v>491</v>
      </c>
      <c r="C95" s="60"/>
      <c r="D95" s="81" t="s">
        <v>399</v>
      </c>
      <c r="E95" s="61" t="s">
        <v>23</v>
      </c>
      <c r="F95" s="61" t="s">
        <v>302</v>
      </c>
      <c r="G95" s="61">
        <v>8</v>
      </c>
    </row>
    <row r="96" spans="1:7" x14ac:dyDescent="0.25">
      <c r="A96" s="271"/>
      <c r="B96" s="59" t="s">
        <v>492</v>
      </c>
      <c r="C96" s="60" t="s">
        <v>327</v>
      </c>
      <c r="D96" s="81" t="s">
        <v>399</v>
      </c>
      <c r="E96" s="61" t="s">
        <v>54</v>
      </c>
      <c r="F96" s="61" t="s">
        <v>302</v>
      </c>
      <c r="G96" s="61">
        <v>37.5</v>
      </c>
    </row>
    <row r="97" spans="1:7" x14ac:dyDescent="0.25">
      <c r="A97" s="271"/>
      <c r="B97" s="59" t="s">
        <v>493</v>
      </c>
      <c r="C97" s="60"/>
      <c r="D97" s="81" t="s">
        <v>399</v>
      </c>
      <c r="E97" s="61" t="s">
        <v>45</v>
      </c>
      <c r="F97" s="61" t="s">
        <v>302</v>
      </c>
      <c r="G97" s="61">
        <v>0.11</v>
      </c>
    </row>
    <row r="98" spans="1:7" x14ac:dyDescent="0.25">
      <c r="A98" s="271"/>
      <c r="B98" s="59" t="s">
        <v>494</v>
      </c>
      <c r="C98" s="60"/>
      <c r="D98" s="81" t="s">
        <v>399</v>
      </c>
      <c r="E98" s="61" t="s">
        <v>23</v>
      </c>
      <c r="F98" s="61" t="s">
        <v>302</v>
      </c>
      <c r="G98" s="62">
        <v>1800</v>
      </c>
    </row>
    <row r="99" spans="1:7" x14ac:dyDescent="0.25">
      <c r="A99" s="271"/>
      <c r="B99" s="59" t="s">
        <v>495</v>
      </c>
      <c r="C99" s="60"/>
      <c r="D99" s="81" t="s">
        <v>399</v>
      </c>
      <c r="E99" s="61" t="s">
        <v>23</v>
      </c>
      <c r="F99" s="61" t="s">
        <v>302</v>
      </c>
      <c r="G99" s="61">
        <v>73.97</v>
      </c>
    </row>
    <row r="100" spans="1:7" x14ac:dyDescent="0.25">
      <c r="A100" s="271"/>
      <c r="B100" s="59" t="s">
        <v>496</v>
      </c>
      <c r="C100" s="60"/>
      <c r="D100" s="81" t="s">
        <v>399</v>
      </c>
      <c r="E100" s="61" t="s">
        <v>23</v>
      </c>
      <c r="F100" s="61" t="s">
        <v>302</v>
      </c>
      <c r="G100" s="61">
        <v>164.31</v>
      </c>
    </row>
    <row r="101" spans="1:7" x14ac:dyDescent="0.25">
      <c r="A101" s="271"/>
      <c r="B101" s="59" t="s">
        <v>497</v>
      </c>
      <c r="C101" s="60"/>
      <c r="D101" s="81" t="s">
        <v>399</v>
      </c>
      <c r="E101" s="61" t="s">
        <v>23</v>
      </c>
      <c r="F101" s="61" t="s">
        <v>302</v>
      </c>
      <c r="G101" s="61">
        <v>220.46</v>
      </c>
    </row>
    <row r="102" spans="1:7" x14ac:dyDescent="0.25">
      <c r="A102" s="271"/>
      <c r="B102" s="59" t="s">
        <v>498</v>
      </c>
      <c r="C102" s="60"/>
      <c r="D102" s="81" t="s">
        <v>399</v>
      </c>
      <c r="E102" s="61" t="s">
        <v>23</v>
      </c>
      <c r="F102" s="61" t="s">
        <v>302</v>
      </c>
      <c r="G102" s="62">
        <v>3640.84</v>
      </c>
    </row>
    <row r="103" spans="1:7" x14ac:dyDescent="0.25">
      <c r="A103" s="271"/>
      <c r="B103" s="59" t="s">
        <v>499</v>
      </c>
      <c r="C103" s="60"/>
      <c r="D103" s="81" t="s">
        <v>399</v>
      </c>
      <c r="E103" s="61" t="s">
        <v>23</v>
      </c>
      <c r="F103" s="61" t="s">
        <v>302</v>
      </c>
      <c r="G103" s="62">
        <v>1597.57</v>
      </c>
    </row>
    <row r="104" spans="1:7" x14ac:dyDescent="0.25">
      <c r="A104" s="271"/>
      <c r="B104" s="59" t="s">
        <v>500</v>
      </c>
      <c r="C104" s="60"/>
      <c r="D104" s="81" t="s">
        <v>399</v>
      </c>
      <c r="E104" s="61" t="s">
        <v>45</v>
      </c>
      <c r="F104" s="61" t="s">
        <v>302</v>
      </c>
      <c r="G104" s="61">
        <v>5</v>
      </c>
    </row>
    <row r="105" spans="1:7" x14ac:dyDescent="0.25">
      <c r="A105" s="271"/>
      <c r="B105" s="59" t="s">
        <v>501</v>
      </c>
      <c r="C105" s="60"/>
      <c r="D105" s="81" t="s">
        <v>399</v>
      </c>
      <c r="E105" s="61" t="s">
        <v>110</v>
      </c>
      <c r="F105" s="61" t="s">
        <v>302</v>
      </c>
      <c r="G105" s="61">
        <v>10</v>
      </c>
    </row>
    <row r="106" spans="1:7" x14ac:dyDescent="0.25">
      <c r="A106" s="271"/>
      <c r="B106" s="59" t="s">
        <v>502</v>
      </c>
      <c r="C106" s="60"/>
      <c r="D106" s="81" t="s">
        <v>399</v>
      </c>
      <c r="E106" s="61" t="s">
        <v>110</v>
      </c>
      <c r="F106" s="61" t="s">
        <v>302</v>
      </c>
      <c r="G106" s="61">
        <v>7.2</v>
      </c>
    </row>
    <row r="107" spans="1:7" x14ac:dyDescent="0.25">
      <c r="A107" s="271"/>
      <c r="B107" s="59" t="s">
        <v>503</v>
      </c>
      <c r="C107" s="60" t="s">
        <v>328</v>
      </c>
      <c r="D107" s="81" t="s">
        <v>399</v>
      </c>
      <c r="E107" s="61" t="s">
        <v>54</v>
      </c>
      <c r="F107" s="61" t="s">
        <v>302</v>
      </c>
      <c r="G107" s="61">
        <v>26.5</v>
      </c>
    </row>
    <row r="108" spans="1:7" x14ac:dyDescent="0.25">
      <c r="A108" s="271"/>
      <c r="B108" s="59" t="s">
        <v>504</v>
      </c>
      <c r="C108" s="60"/>
      <c r="D108" s="81" t="s">
        <v>399</v>
      </c>
      <c r="E108" s="61" t="s">
        <v>23</v>
      </c>
      <c r="F108" s="61" t="s">
        <v>302</v>
      </c>
      <c r="G108" s="61">
        <v>900</v>
      </c>
    </row>
    <row r="109" spans="1:7" x14ac:dyDescent="0.25">
      <c r="A109" s="271"/>
      <c r="B109" s="59" t="s">
        <v>329</v>
      </c>
      <c r="C109" s="60" t="s">
        <v>329</v>
      </c>
      <c r="D109" s="81" t="s">
        <v>399</v>
      </c>
      <c r="E109" s="61" t="s">
        <v>54</v>
      </c>
      <c r="F109" s="61" t="s">
        <v>302</v>
      </c>
      <c r="G109" s="61">
        <v>19</v>
      </c>
    </row>
    <row r="110" spans="1:7" x14ac:dyDescent="0.25">
      <c r="A110" s="271"/>
      <c r="B110" s="59" t="s">
        <v>505</v>
      </c>
      <c r="C110" s="60" t="s">
        <v>330</v>
      </c>
      <c r="D110" s="81" t="s">
        <v>399</v>
      </c>
      <c r="E110" s="61" t="s">
        <v>54</v>
      </c>
      <c r="F110" s="61" t="s">
        <v>302</v>
      </c>
      <c r="G110" s="61">
        <v>18</v>
      </c>
    </row>
    <row r="111" spans="1:7" x14ac:dyDescent="0.25">
      <c r="A111" s="271"/>
      <c r="B111" s="59" t="s">
        <v>506</v>
      </c>
      <c r="C111" s="60"/>
      <c r="D111" s="81" t="s">
        <v>399</v>
      </c>
      <c r="E111" s="61" t="s">
        <v>23</v>
      </c>
      <c r="F111" s="61" t="s">
        <v>302</v>
      </c>
      <c r="G111" s="62">
        <v>1000</v>
      </c>
    </row>
    <row r="112" spans="1:7" x14ac:dyDescent="0.25">
      <c r="A112" s="271"/>
      <c r="B112" s="59" t="s">
        <v>235</v>
      </c>
      <c r="C112" s="60"/>
      <c r="D112" s="81" t="s">
        <v>399</v>
      </c>
      <c r="E112" s="61" t="s">
        <v>23</v>
      </c>
      <c r="F112" s="61" t="s">
        <v>302</v>
      </c>
      <c r="G112" s="61">
        <v>35</v>
      </c>
    </row>
    <row r="113" spans="1:7" x14ac:dyDescent="0.25">
      <c r="A113" s="271"/>
      <c r="B113" s="59" t="s">
        <v>507</v>
      </c>
      <c r="C113" s="60"/>
      <c r="D113" s="81" t="s">
        <v>399</v>
      </c>
      <c r="E113" s="61" t="s">
        <v>23</v>
      </c>
      <c r="F113" s="61" t="s">
        <v>302</v>
      </c>
      <c r="G113" s="62">
        <v>2342.34</v>
      </c>
    </row>
    <row r="114" spans="1:7" x14ac:dyDescent="0.25">
      <c r="A114" s="271"/>
      <c r="B114" s="59" t="s">
        <v>508</v>
      </c>
      <c r="C114" s="60"/>
      <c r="D114" s="81" t="s">
        <v>399</v>
      </c>
      <c r="E114" s="61" t="s">
        <v>23</v>
      </c>
      <c r="F114" s="61" t="s">
        <v>302</v>
      </c>
      <c r="G114" s="62">
        <v>5347.16</v>
      </c>
    </row>
    <row r="115" spans="1:7" x14ac:dyDescent="0.25">
      <c r="A115" s="271"/>
      <c r="B115" s="59" t="s">
        <v>509</v>
      </c>
      <c r="C115" s="60"/>
      <c r="D115" s="81" t="s">
        <v>399</v>
      </c>
      <c r="E115" s="61" t="s">
        <v>23</v>
      </c>
      <c r="F115" s="61" t="s">
        <v>302</v>
      </c>
      <c r="G115" s="62">
        <v>2484.3000000000002</v>
      </c>
    </row>
    <row r="116" spans="1:7" x14ac:dyDescent="0.25">
      <c r="A116" s="271"/>
      <c r="B116" s="59" t="s">
        <v>510</v>
      </c>
      <c r="C116" s="60"/>
      <c r="D116" s="81" t="s">
        <v>399</v>
      </c>
      <c r="E116" s="61" t="s">
        <v>23</v>
      </c>
      <c r="F116" s="61" t="s">
        <v>302</v>
      </c>
      <c r="G116" s="61">
        <v>320</v>
      </c>
    </row>
    <row r="117" spans="1:7" x14ac:dyDescent="0.25">
      <c r="A117" s="271"/>
      <c r="B117" s="59" t="s">
        <v>202</v>
      </c>
      <c r="C117" s="60" t="s">
        <v>331</v>
      </c>
      <c r="D117" s="81" t="s">
        <v>399</v>
      </c>
      <c r="E117" s="61" t="s">
        <v>23</v>
      </c>
      <c r="F117" s="61" t="s">
        <v>302</v>
      </c>
      <c r="G117" s="61">
        <v>360</v>
      </c>
    </row>
    <row r="118" spans="1:7" x14ac:dyDescent="0.25">
      <c r="A118" s="271"/>
      <c r="B118" s="59" t="s">
        <v>407</v>
      </c>
      <c r="C118" s="60"/>
      <c r="D118" s="81" t="s">
        <v>399</v>
      </c>
      <c r="E118" s="61" t="s">
        <v>23</v>
      </c>
      <c r="F118" s="61" t="s">
        <v>302</v>
      </c>
      <c r="G118" s="61">
        <v>625</v>
      </c>
    </row>
    <row r="119" spans="1:7" x14ac:dyDescent="0.25">
      <c r="A119" s="271"/>
      <c r="B119" s="59" t="s">
        <v>511</v>
      </c>
      <c r="C119" s="60"/>
      <c r="D119" s="81" t="s">
        <v>399</v>
      </c>
      <c r="E119" s="61" t="s">
        <v>23</v>
      </c>
      <c r="F119" s="61" t="s">
        <v>302</v>
      </c>
      <c r="G119" s="61">
        <v>313.5</v>
      </c>
    </row>
    <row r="120" spans="1:7" x14ac:dyDescent="0.25">
      <c r="A120" s="271"/>
      <c r="B120" s="59" t="s">
        <v>408</v>
      </c>
      <c r="C120" s="60"/>
      <c r="D120" s="81" t="s">
        <v>399</v>
      </c>
      <c r="E120" s="61" t="s">
        <v>23</v>
      </c>
      <c r="F120" s="61" t="s">
        <v>302</v>
      </c>
      <c r="G120" s="61">
        <v>645</v>
      </c>
    </row>
    <row r="121" spans="1:7" x14ac:dyDescent="0.25">
      <c r="A121" s="271"/>
      <c r="B121" s="59" t="s">
        <v>512</v>
      </c>
      <c r="C121" s="60"/>
      <c r="D121" s="81" t="s">
        <v>399</v>
      </c>
      <c r="E121" s="61" t="s">
        <v>23</v>
      </c>
      <c r="F121" s="61" t="s">
        <v>302</v>
      </c>
      <c r="G121" s="61">
        <v>804.44</v>
      </c>
    </row>
    <row r="122" spans="1:7" x14ac:dyDescent="0.25">
      <c r="A122" s="271"/>
      <c r="B122" s="59" t="s">
        <v>513</v>
      </c>
      <c r="C122" s="60"/>
      <c r="D122" s="81" t="s">
        <v>399</v>
      </c>
      <c r="E122" s="61" t="s">
        <v>23</v>
      </c>
      <c r="F122" s="61" t="s">
        <v>302</v>
      </c>
      <c r="G122" s="61">
        <v>396.31</v>
      </c>
    </row>
    <row r="123" spans="1:7" x14ac:dyDescent="0.25">
      <c r="A123" s="271"/>
      <c r="B123" s="59" t="s">
        <v>514</v>
      </c>
      <c r="C123" s="60"/>
      <c r="D123" s="81" t="s">
        <v>399</v>
      </c>
      <c r="E123" s="61" t="s">
        <v>23</v>
      </c>
      <c r="F123" s="61" t="s">
        <v>302</v>
      </c>
      <c r="G123" s="61">
        <v>946.4</v>
      </c>
    </row>
    <row r="124" spans="1:7" x14ac:dyDescent="0.25">
      <c r="A124" s="271"/>
      <c r="B124" s="59" t="s">
        <v>515</v>
      </c>
      <c r="C124" s="60"/>
      <c r="D124" s="81" t="s">
        <v>399</v>
      </c>
      <c r="E124" s="61" t="s">
        <v>23</v>
      </c>
      <c r="F124" s="61" t="s">
        <v>302</v>
      </c>
      <c r="G124" s="62">
        <v>2342.34</v>
      </c>
    </row>
    <row r="125" spans="1:7" x14ac:dyDescent="0.25">
      <c r="A125" s="271"/>
      <c r="B125" s="59" t="s">
        <v>516</v>
      </c>
      <c r="C125" s="60"/>
      <c r="D125" s="81" t="s">
        <v>399</v>
      </c>
      <c r="E125" s="61" t="s">
        <v>45</v>
      </c>
      <c r="F125" s="61" t="s">
        <v>302</v>
      </c>
      <c r="G125" s="61">
        <v>2.7</v>
      </c>
    </row>
    <row r="126" spans="1:7" x14ac:dyDescent="0.25">
      <c r="A126" s="271"/>
      <c r="B126" s="59" t="s">
        <v>517</v>
      </c>
      <c r="C126" s="60"/>
      <c r="D126" s="81" t="s">
        <v>399</v>
      </c>
      <c r="E126" s="61" t="s">
        <v>23</v>
      </c>
      <c r="F126" s="61" t="s">
        <v>302</v>
      </c>
      <c r="G126" s="61">
        <v>750</v>
      </c>
    </row>
    <row r="127" spans="1:7" x14ac:dyDescent="0.25">
      <c r="A127" s="271"/>
      <c r="B127" s="59" t="s">
        <v>518</v>
      </c>
      <c r="C127" s="60"/>
      <c r="D127" s="81" t="s">
        <v>399</v>
      </c>
      <c r="E127" s="61" t="s">
        <v>23</v>
      </c>
      <c r="F127" s="61" t="s">
        <v>302</v>
      </c>
      <c r="G127" s="61">
        <v>75</v>
      </c>
    </row>
    <row r="128" spans="1:7" x14ac:dyDescent="0.25">
      <c r="A128" s="271"/>
      <c r="B128" s="59" t="s">
        <v>519</v>
      </c>
      <c r="C128" s="60"/>
      <c r="D128" s="81" t="s">
        <v>399</v>
      </c>
      <c r="E128" s="61" t="s">
        <v>23</v>
      </c>
      <c r="F128" s="61" t="s">
        <v>302</v>
      </c>
      <c r="G128" s="61">
        <v>230</v>
      </c>
    </row>
    <row r="129" spans="1:7" x14ac:dyDescent="0.25">
      <c r="A129" s="271"/>
      <c r="B129" s="59" t="s">
        <v>520</v>
      </c>
      <c r="C129" s="60"/>
      <c r="D129" s="81" t="s">
        <v>399</v>
      </c>
      <c r="E129" s="61" t="s">
        <v>23</v>
      </c>
      <c r="F129" s="61" t="s">
        <v>302</v>
      </c>
      <c r="G129" s="61">
        <v>614.29999999999995</v>
      </c>
    </row>
    <row r="130" spans="1:7" x14ac:dyDescent="0.25">
      <c r="A130" s="271"/>
      <c r="B130" s="59" t="s">
        <v>521</v>
      </c>
      <c r="C130" s="60"/>
      <c r="D130" s="81" t="s">
        <v>399</v>
      </c>
      <c r="E130" s="61" t="s">
        <v>23</v>
      </c>
      <c r="F130" s="61" t="s">
        <v>302</v>
      </c>
      <c r="G130" s="62">
        <v>1046.5999999999999</v>
      </c>
    </row>
    <row r="131" spans="1:7" x14ac:dyDescent="0.25">
      <c r="A131" s="271"/>
      <c r="B131" s="59" t="s">
        <v>522</v>
      </c>
      <c r="C131" s="60"/>
      <c r="D131" s="81" t="s">
        <v>399</v>
      </c>
      <c r="E131" s="61" t="s">
        <v>23</v>
      </c>
      <c r="F131" s="61" t="s">
        <v>302</v>
      </c>
      <c r="G131" s="61">
        <v>75</v>
      </c>
    </row>
    <row r="132" spans="1:7" x14ac:dyDescent="0.25">
      <c r="A132" s="271"/>
      <c r="B132" s="59" t="s">
        <v>523</v>
      </c>
      <c r="C132" s="60"/>
      <c r="D132" s="81" t="s">
        <v>399</v>
      </c>
      <c r="E132" s="61" t="s">
        <v>23</v>
      </c>
      <c r="F132" s="61" t="s">
        <v>302</v>
      </c>
      <c r="G132" s="61">
        <v>391.4</v>
      </c>
    </row>
    <row r="133" spans="1:7" x14ac:dyDescent="0.25">
      <c r="A133" s="271"/>
      <c r="B133" s="59" t="s">
        <v>524</v>
      </c>
      <c r="C133" s="60"/>
      <c r="D133" s="81" t="s">
        <v>399</v>
      </c>
      <c r="E133" s="61" t="s">
        <v>23</v>
      </c>
      <c r="F133" s="61" t="s">
        <v>302</v>
      </c>
      <c r="G133" s="61">
        <v>35</v>
      </c>
    </row>
    <row r="134" spans="1:7" x14ac:dyDescent="0.25">
      <c r="A134" s="271"/>
      <c r="B134" s="59" t="s">
        <v>525</v>
      </c>
      <c r="C134" s="60" t="s">
        <v>332</v>
      </c>
      <c r="D134" s="81" t="s">
        <v>399</v>
      </c>
      <c r="E134" s="61"/>
      <c r="F134" s="61" t="s">
        <v>302</v>
      </c>
      <c r="G134" s="61">
        <v>180</v>
      </c>
    </row>
    <row r="135" spans="1:7" x14ac:dyDescent="0.25">
      <c r="A135" s="271"/>
      <c r="B135" s="59" t="s">
        <v>119</v>
      </c>
      <c r="C135" s="60" t="s">
        <v>333</v>
      </c>
      <c r="D135" s="81" t="s">
        <v>399</v>
      </c>
      <c r="E135" s="61" t="s">
        <v>74</v>
      </c>
      <c r="F135" s="61" t="s">
        <v>302</v>
      </c>
      <c r="G135" s="61">
        <v>165</v>
      </c>
    </row>
    <row r="136" spans="1:7" x14ac:dyDescent="0.25">
      <c r="A136" s="271"/>
      <c r="B136" s="59" t="s">
        <v>177</v>
      </c>
      <c r="C136" s="60" t="s">
        <v>334</v>
      </c>
      <c r="D136" s="81" t="s">
        <v>399</v>
      </c>
      <c r="E136" s="61" t="s">
        <v>74</v>
      </c>
      <c r="F136" s="61" t="s">
        <v>302</v>
      </c>
      <c r="G136" s="61">
        <v>174</v>
      </c>
    </row>
    <row r="137" spans="1:7" x14ac:dyDescent="0.25">
      <c r="A137" s="271"/>
      <c r="B137" s="59" t="s">
        <v>526</v>
      </c>
      <c r="C137" s="60" t="s">
        <v>335</v>
      </c>
      <c r="D137" s="81" t="s">
        <v>399</v>
      </c>
      <c r="E137" s="61" t="s">
        <v>45</v>
      </c>
      <c r="F137" s="61" t="s">
        <v>302</v>
      </c>
      <c r="G137" s="61">
        <v>22.9</v>
      </c>
    </row>
    <row r="138" spans="1:7" x14ac:dyDescent="0.25">
      <c r="A138" s="271"/>
      <c r="B138" s="59" t="s">
        <v>46</v>
      </c>
      <c r="C138" s="60" t="s">
        <v>336</v>
      </c>
      <c r="D138" s="81" t="s">
        <v>399</v>
      </c>
      <c r="E138" s="61" t="s">
        <v>23</v>
      </c>
      <c r="F138" s="61" t="s">
        <v>302</v>
      </c>
      <c r="G138" s="61">
        <v>6</v>
      </c>
    </row>
    <row r="139" spans="1:7" x14ac:dyDescent="0.25">
      <c r="A139" s="271"/>
      <c r="B139" s="59" t="s">
        <v>527</v>
      </c>
      <c r="C139" s="60"/>
      <c r="D139" s="81" t="s">
        <v>399</v>
      </c>
      <c r="E139" s="61" t="s">
        <v>54</v>
      </c>
      <c r="F139" s="61" t="s">
        <v>302</v>
      </c>
      <c r="G139" s="61">
        <v>2.5</v>
      </c>
    </row>
    <row r="140" spans="1:7" x14ac:dyDescent="0.25">
      <c r="A140" s="271"/>
      <c r="B140" s="59" t="s">
        <v>528</v>
      </c>
      <c r="C140" s="60"/>
      <c r="D140" s="81" t="s">
        <v>399</v>
      </c>
      <c r="E140" s="61" t="s">
        <v>45</v>
      </c>
      <c r="F140" s="61" t="s">
        <v>302</v>
      </c>
      <c r="G140" s="61">
        <v>393.36</v>
      </c>
    </row>
    <row r="141" spans="1:7" x14ac:dyDescent="0.25">
      <c r="A141" s="271"/>
      <c r="B141" s="59" t="s">
        <v>529</v>
      </c>
      <c r="C141" s="60"/>
      <c r="D141" s="81" t="s">
        <v>399</v>
      </c>
      <c r="E141" s="61" t="s">
        <v>23</v>
      </c>
      <c r="F141" s="61" t="s">
        <v>302</v>
      </c>
      <c r="G141" s="61">
        <v>417.6</v>
      </c>
    </row>
    <row r="142" spans="1:7" x14ac:dyDescent="0.25">
      <c r="A142" s="271"/>
      <c r="B142" s="59" t="s">
        <v>193</v>
      </c>
      <c r="C142" s="60"/>
      <c r="D142" s="81" t="s">
        <v>399</v>
      </c>
      <c r="E142" s="61" t="s">
        <v>45</v>
      </c>
      <c r="F142" s="61" t="s">
        <v>302</v>
      </c>
      <c r="G142" s="61">
        <v>387.5</v>
      </c>
    </row>
    <row r="143" spans="1:7" x14ac:dyDescent="0.25">
      <c r="A143" s="271"/>
      <c r="B143" s="59" t="s">
        <v>196</v>
      </c>
      <c r="C143" s="60"/>
      <c r="D143" s="81" t="s">
        <v>399</v>
      </c>
      <c r="E143" s="61" t="s">
        <v>45</v>
      </c>
      <c r="F143" s="61" t="s">
        <v>302</v>
      </c>
      <c r="G143" s="61">
        <v>400</v>
      </c>
    </row>
    <row r="144" spans="1:7" x14ac:dyDescent="0.25">
      <c r="A144" s="271"/>
      <c r="B144" s="59" t="s">
        <v>530</v>
      </c>
      <c r="C144" s="60"/>
      <c r="D144" s="81" t="s">
        <v>399</v>
      </c>
      <c r="E144" s="61" t="s">
        <v>45</v>
      </c>
      <c r="F144" s="61" t="s">
        <v>302</v>
      </c>
      <c r="G144" s="62">
        <v>1176.3399999999999</v>
      </c>
    </row>
    <row r="145" spans="1:7" x14ac:dyDescent="0.25">
      <c r="A145" s="271"/>
      <c r="B145" s="59" t="s">
        <v>531</v>
      </c>
      <c r="C145" s="60" t="s">
        <v>337</v>
      </c>
      <c r="D145" s="81" t="s">
        <v>399</v>
      </c>
      <c r="E145" s="61" t="s">
        <v>23</v>
      </c>
      <c r="F145" s="61" t="s">
        <v>302</v>
      </c>
      <c r="G145" s="62">
        <v>1755.6</v>
      </c>
    </row>
    <row r="146" spans="1:7" x14ac:dyDescent="0.25">
      <c r="A146" s="271"/>
      <c r="B146" s="59" t="s">
        <v>532</v>
      </c>
      <c r="C146" s="60"/>
      <c r="D146" s="81" t="s">
        <v>399</v>
      </c>
      <c r="E146" s="61" t="s">
        <v>23</v>
      </c>
      <c r="F146" s="61" t="s">
        <v>302</v>
      </c>
      <c r="G146" s="61">
        <v>273.13</v>
      </c>
    </row>
    <row r="147" spans="1:7" x14ac:dyDescent="0.25">
      <c r="A147" s="271"/>
      <c r="B147" s="59" t="s">
        <v>533</v>
      </c>
      <c r="C147" s="60"/>
      <c r="D147" s="81" t="s">
        <v>399</v>
      </c>
      <c r="E147" s="61" t="s">
        <v>45</v>
      </c>
      <c r="F147" s="61" t="s">
        <v>302</v>
      </c>
      <c r="G147" s="61">
        <v>159.43</v>
      </c>
    </row>
    <row r="148" spans="1:7" x14ac:dyDescent="0.25">
      <c r="A148" s="271"/>
      <c r="B148" s="59" t="s">
        <v>534</v>
      </c>
      <c r="C148" s="60"/>
      <c r="D148" s="81" t="s">
        <v>399</v>
      </c>
      <c r="E148" s="61" t="s">
        <v>23</v>
      </c>
      <c r="F148" s="61" t="s">
        <v>302</v>
      </c>
      <c r="G148" s="61">
        <v>313.2</v>
      </c>
    </row>
    <row r="149" spans="1:7" x14ac:dyDescent="0.25">
      <c r="A149" s="271"/>
      <c r="B149" s="59" t="s">
        <v>535</v>
      </c>
      <c r="C149" s="60"/>
      <c r="D149" s="81" t="s">
        <v>399</v>
      </c>
      <c r="E149" s="61" t="s">
        <v>45</v>
      </c>
      <c r="F149" s="61" t="s">
        <v>302</v>
      </c>
      <c r="G149" s="61">
        <v>152.82</v>
      </c>
    </row>
    <row r="150" spans="1:7" x14ac:dyDescent="0.25">
      <c r="A150" s="271"/>
      <c r="B150" s="59" t="s">
        <v>536</v>
      </c>
      <c r="C150" s="60"/>
      <c r="D150" s="81" t="s">
        <v>399</v>
      </c>
      <c r="E150" s="61" t="s">
        <v>23</v>
      </c>
      <c r="F150" s="61" t="s">
        <v>302</v>
      </c>
      <c r="G150" s="61">
        <v>425</v>
      </c>
    </row>
    <row r="151" spans="1:7" x14ac:dyDescent="0.25">
      <c r="A151" s="271"/>
      <c r="B151" s="59" t="s">
        <v>537</v>
      </c>
      <c r="C151" s="60"/>
      <c r="D151" s="81" t="s">
        <v>399</v>
      </c>
      <c r="E151" s="61" t="s">
        <v>23</v>
      </c>
      <c r="F151" s="61" t="s">
        <v>302</v>
      </c>
      <c r="G151" s="61">
        <v>300</v>
      </c>
    </row>
    <row r="152" spans="1:7" x14ac:dyDescent="0.25">
      <c r="A152" s="271"/>
      <c r="B152" s="59" t="s">
        <v>538</v>
      </c>
      <c r="C152" s="60"/>
      <c r="D152" s="81" t="s">
        <v>399</v>
      </c>
      <c r="E152" s="61" t="s">
        <v>54</v>
      </c>
      <c r="F152" s="61" t="s">
        <v>302</v>
      </c>
      <c r="G152" s="62">
        <v>2200</v>
      </c>
    </row>
    <row r="153" spans="1:7" x14ac:dyDescent="0.25">
      <c r="A153" s="271"/>
      <c r="B153" s="59" t="s">
        <v>539</v>
      </c>
      <c r="C153" s="60"/>
      <c r="D153" s="81" t="s">
        <v>399</v>
      </c>
      <c r="E153" s="61" t="s">
        <v>74</v>
      </c>
      <c r="F153" s="61" t="s">
        <v>302</v>
      </c>
      <c r="G153" s="61">
        <v>260</v>
      </c>
    </row>
    <row r="154" spans="1:7" x14ac:dyDescent="0.25">
      <c r="A154" s="271"/>
      <c r="B154" s="59" t="s">
        <v>73</v>
      </c>
      <c r="C154" s="60" t="s">
        <v>73</v>
      </c>
      <c r="D154" s="81" t="s">
        <v>399</v>
      </c>
      <c r="E154" s="61" t="s">
        <v>74</v>
      </c>
      <c r="F154" s="61" t="s">
        <v>302</v>
      </c>
      <c r="G154" s="61">
        <v>181</v>
      </c>
    </row>
    <row r="155" spans="1:7" x14ac:dyDescent="0.25">
      <c r="A155" s="271"/>
      <c r="B155" s="59" t="s">
        <v>120</v>
      </c>
      <c r="C155" s="60" t="s">
        <v>338</v>
      </c>
      <c r="D155" s="81" t="s">
        <v>399</v>
      </c>
      <c r="E155" s="61" t="s">
        <v>110</v>
      </c>
      <c r="F155" s="61" t="s">
        <v>302</v>
      </c>
      <c r="G155" s="61">
        <v>9.1</v>
      </c>
    </row>
    <row r="156" spans="1:7" x14ac:dyDescent="0.25">
      <c r="A156" s="271"/>
      <c r="B156" s="59" t="s">
        <v>540</v>
      </c>
      <c r="C156" s="60" t="s">
        <v>339</v>
      </c>
      <c r="D156" s="81" t="s">
        <v>399</v>
      </c>
      <c r="E156" s="61" t="s">
        <v>110</v>
      </c>
      <c r="F156" s="61" t="s">
        <v>302</v>
      </c>
      <c r="G156" s="61">
        <v>12.3</v>
      </c>
    </row>
    <row r="157" spans="1:7" x14ac:dyDescent="0.25">
      <c r="A157" s="271"/>
      <c r="B157" s="59" t="s">
        <v>75</v>
      </c>
      <c r="C157" s="60" t="s">
        <v>340</v>
      </c>
      <c r="D157" s="81" t="s">
        <v>399</v>
      </c>
      <c r="E157" s="61" t="s">
        <v>54</v>
      </c>
      <c r="F157" s="61" t="s">
        <v>302</v>
      </c>
      <c r="G157" s="61">
        <v>24</v>
      </c>
    </row>
    <row r="158" spans="1:7" x14ac:dyDescent="0.25">
      <c r="A158" s="271"/>
      <c r="B158" s="59" t="s">
        <v>541</v>
      </c>
      <c r="C158" s="60"/>
      <c r="D158" s="81" t="s">
        <v>399</v>
      </c>
      <c r="E158" s="61" t="s">
        <v>23</v>
      </c>
      <c r="F158" s="61" t="s">
        <v>302</v>
      </c>
      <c r="G158" s="61">
        <v>1</v>
      </c>
    </row>
    <row r="159" spans="1:7" x14ac:dyDescent="0.25">
      <c r="A159" s="271"/>
      <c r="B159" s="59" t="s">
        <v>542</v>
      </c>
      <c r="C159" s="60" t="s">
        <v>341</v>
      </c>
      <c r="D159" s="81" t="s">
        <v>399</v>
      </c>
      <c r="E159" s="61" t="s">
        <v>253</v>
      </c>
      <c r="F159" s="61" t="s">
        <v>302</v>
      </c>
      <c r="G159" s="62">
        <v>3500</v>
      </c>
    </row>
    <row r="160" spans="1:7" x14ac:dyDescent="0.25">
      <c r="A160" s="271"/>
      <c r="B160" s="59" t="s">
        <v>232</v>
      </c>
      <c r="C160" s="60"/>
      <c r="D160" s="81" t="s">
        <v>399</v>
      </c>
      <c r="E160" s="61" t="s">
        <v>23</v>
      </c>
      <c r="F160" s="61" t="s">
        <v>302</v>
      </c>
      <c r="G160" s="61">
        <v>140</v>
      </c>
    </row>
    <row r="161" spans="1:7" x14ac:dyDescent="0.25">
      <c r="A161" s="271"/>
      <c r="B161" s="59" t="s">
        <v>44</v>
      </c>
      <c r="C161" s="60" t="s">
        <v>44</v>
      </c>
      <c r="D161" s="81" t="s">
        <v>399</v>
      </c>
      <c r="E161" s="61" t="s">
        <v>45</v>
      </c>
      <c r="F161" s="61" t="s">
        <v>302</v>
      </c>
      <c r="G161" s="61">
        <v>2</v>
      </c>
    </row>
    <row r="162" spans="1:7" x14ac:dyDescent="0.25">
      <c r="A162" s="271"/>
      <c r="B162" s="59" t="s">
        <v>543</v>
      </c>
      <c r="C162" s="60"/>
      <c r="D162" s="81" t="s">
        <v>399</v>
      </c>
      <c r="E162" s="61" t="s">
        <v>23</v>
      </c>
      <c r="F162" s="61" t="s">
        <v>302</v>
      </c>
      <c r="G162" s="62">
        <v>3630.96</v>
      </c>
    </row>
    <row r="163" spans="1:7" x14ac:dyDescent="0.25">
      <c r="A163" s="271"/>
      <c r="B163" s="59" t="s">
        <v>544</v>
      </c>
      <c r="C163" s="60"/>
      <c r="D163" s="81" t="s">
        <v>399</v>
      </c>
      <c r="E163" s="61" t="s">
        <v>23</v>
      </c>
      <c r="F163" s="61" t="s">
        <v>302</v>
      </c>
      <c r="G163" s="61">
        <v>350</v>
      </c>
    </row>
    <row r="164" spans="1:7" x14ac:dyDescent="0.25">
      <c r="A164" s="271"/>
      <c r="B164" s="59" t="s">
        <v>545</v>
      </c>
      <c r="C164" s="60"/>
      <c r="D164" s="81" t="s">
        <v>399</v>
      </c>
      <c r="E164" s="61" t="s">
        <v>253</v>
      </c>
      <c r="F164" s="61" t="s">
        <v>302</v>
      </c>
      <c r="G164" s="61">
        <v>1</v>
      </c>
    </row>
    <row r="165" spans="1:7" x14ac:dyDescent="0.25">
      <c r="A165" s="271"/>
      <c r="B165" s="59" t="s">
        <v>342</v>
      </c>
      <c r="C165" s="60" t="s">
        <v>342</v>
      </c>
      <c r="D165" s="81" t="s">
        <v>399</v>
      </c>
      <c r="E165" s="61" t="s">
        <v>74</v>
      </c>
      <c r="F165" s="61" t="s">
        <v>302</v>
      </c>
      <c r="G165" s="61">
        <v>165</v>
      </c>
    </row>
    <row r="166" spans="1:7" x14ac:dyDescent="0.25">
      <c r="A166" s="271"/>
      <c r="B166" s="59" t="s">
        <v>82</v>
      </c>
      <c r="C166" s="60"/>
      <c r="D166" s="81" t="s">
        <v>399</v>
      </c>
      <c r="E166" s="61" t="s">
        <v>45</v>
      </c>
      <c r="F166" s="61" t="s">
        <v>302</v>
      </c>
      <c r="G166" s="61">
        <v>2.5</v>
      </c>
    </row>
    <row r="167" spans="1:7" x14ac:dyDescent="0.25">
      <c r="A167" s="271"/>
      <c r="B167" s="59" t="s">
        <v>404</v>
      </c>
      <c r="C167" s="60"/>
      <c r="D167" s="81" t="s">
        <v>399</v>
      </c>
      <c r="E167" s="61" t="s">
        <v>23</v>
      </c>
      <c r="F167" s="61" t="s">
        <v>302</v>
      </c>
      <c r="G167" s="61">
        <v>25</v>
      </c>
    </row>
    <row r="168" spans="1:7" x14ac:dyDescent="0.25">
      <c r="A168" s="271"/>
      <c r="B168" s="59" t="s">
        <v>546</v>
      </c>
      <c r="C168" s="60"/>
      <c r="D168" s="81" t="s">
        <v>399</v>
      </c>
      <c r="E168" s="61" t="s">
        <v>110</v>
      </c>
      <c r="F168" s="61" t="s">
        <v>302</v>
      </c>
      <c r="G168" s="61">
        <v>5.03</v>
      </c>
    </row>
    <row r="169" spans="1:7" x14ac:dyDescent="0.25">
      <c r="A169" s="271"/>
      <c r="B169" s="59" t="s">
        <v>547</v>
      </c>
      <c r="C169" s="60"/>
      <c r="D169" s="81" t="s">
        <v>399</v>
      </c>
      <c r="E169" s="61" t="s">
        <v>110</v>
      </c>
      <c r="F169" s="61" t="s">
        <v>302</v>
      </c>
      <c r="G169" s="61">
        <v>1.5</v>
      </c>
    </row>
    <row r="170" spans="1:7" x14ac:dyDescent="0.25">
      <c r="A170" s="271"/>
      <c r="B170" s="59" t="s">
        <v>548</v>
      </c>
      <c r="C170" s="60"/>
      <c r="D170" s="81" t="s">
        <v>399</v>
      </c>
      <c r="E170" s="61" t="s">
        <v>23</v>
      </c>
      <c r="F170" s="61" t="s">
        <v>302</v>
      </c>
      <c r="G170" s="61">
        <v>36.299999999999997</v>
      </c>
    </row>
    <row r="171" spans="1:7" x14ac:dyDescent="0.25">
      <c r="A171" s="271"/>
      <c r="B171" s="59" t="s">
        <v>549</v>
      </c>
      <c r="C171" s="60"/>
      <c r="D171" s="81" t="s">
        <v>399</v>
      </c>
      <c r="E171" s="61" t="s">
        <v>23</v>
      </c>
      <c r="F171" s="61" t="s">
        <v>302</v>
      </c>
      <c r="G171" s="61">
        <v>57.62</v>
      </c>
    </row>
    <row r="172" spans="1:7" x14ac:dyDescent="0.25">
      <c r="A172" s="271"/>
      <c r="B172" s="59" t="s">
        <v>550</v>
      </c>
      <c r="C172" s="60"/>
      <c r="D172" s="81" t="s">
        <v>399</v>
      </c>
      <c r="E172" s="61" t="s">
        <v>23</v>
      </c>
      <c r="F172" s="61" t="s">
        <v>302</v>
      </c>
      <c r="G172" s="61">
        <v>57.62</v>
      </c>
    </row>
    <row r="173" spans="1:7" x14ac:dyDescent="0.25">
      <c r="A173" s="271"/>
      <c r="B173" s="59" t="s">
        <v>551</v>
      </c>
      <c r="C173" s="60"/>
      <c r="D173" s="81" t="s">
        <v>399</v>
      </c>
      <c r="E173" s="61" t="s">
        <v>23</v>
      </c>
      <c r="F173" s="61" t="s">
        <v>302</v>
      </c>
      <c r="G173" s="61">
        <v>110</v>
      </c>
    </row>
    <row r="174" spans="1:7" x14ac:dyDescent="0.25">
      <c r="A174" s="271"/>
      <c r="B174" s="59" t="s">
        <v>552</v>
      </c>
      <c r="C174" s="60"/>
      <c r="D174" s="81" t="s">
        <v>399</v>
      </c>
      <c r="E174" s="61" t="s">
        <v>23</v>
      </c>
      <c r="F174" s="61" t="s">
        <v>302</v>
      </c>
      <c r="G174" s="61">
        <v>150</v>
      </c>
    </row>
    <row r="175" spans="1:7" x14ac:dyDescent="0.25">
      <c r="A175" s="271"/>
      <c r="B175" s="59" t="s">
        <v>553</v>
      </c>
      <c r="C175" s="60"/>
      <c r="D175" s="81" t="s">
        <v>399</v>
      </c>
      <c r="E175" s="61" t="s">
        <v>23</v>
      </c>
      <c r="F175" s="61" t="s">
        <v>302</v>
      </c>
      <c r="G175" s="61">
        <v>378.47</v>
      </c>
    </row>
    <row r="176" spans="1:7" x14ac:dyDescent="0.25">
      <c r="A176" s="271"/>
      <c r="B176" s="59" t="s">
        <v>554</v>
      </c>
      <c r="C176" s="60" t="s">
        <v>343</v>
      </c>
      <c r="D176" s="81" t="s">
        <v>399</v>
      </c>
      <c r="E176" s="61" t="s">
        <v>23</v>
      </c>
      <c r="F176" s="61" t="s">
        <v>302</v>
      </c>
      <c r="G176" s="61">
        <v>68.83</v>
      </c>
    </row>
    <row r="177" spans="1:7" x14ac:dyDescent="0.25">
      <c r="A177" s="271"/>
      <c r="B177" s="63" t="s">
        <v>113</v>
      </c>
      <c r="C177" s="64"/>
      <c r="D177" s="82" t="s">
        <v>399</v>
      </c>
      <c r="E177" s="65" t="s">
        <v>54</v>
      </c>
      <c r="F177" s="65" t="s">
        <v>302</v>
      </c>
      <c r="G177" s="65">
        <v>299</v>
      </c>
    </row>
    <row r="178" spans="1:7" x14ac:dyDescent="0.25">
      <c r="A178" s="271" t="s">
        <v>396</v>
      </c>
      <c r="B178" s="35" t="s">
        <v>555</v>
      </c>
      <c r="C178" s="36"/>
      <c r="D178" s="83" t="s">
        <v>400</v>
      </c>
      <c r="E178" s="37" t="s">
        <v>26</v>
      </c>
      <c r="F178" s="37" t="s">
        <v>302</v>
      </c>
      <c r="G178" s="37">
        <v>185</v>
      </c>
    </row>
    <row r="179" spans="1:7" x14ac:dyDescent="0.25">
      <c r="A179" s="271"/>
      <c r="B179" s="38" t="s">
        <v>556</v>
      </c>
      <c r="C179" s="39" t="s">
        <v>344</v>
      </c>
      <c r="D179" s="84" t="s">
        <v>400</v>
      </c>
      <c r="E179" s="40" t="s">
        <v>26</v>
      </c>
      <c r="F179" s="40" t="s">
        <v>302</v>
      </c>
      <c r="G179" s="40">
        <v>95</v>
      </c>
    </row>
    <row r="180" spans="1:7" x14ac:dyDescent="0.25">
      <c r="A180" s="271"/>
      <c r="B180" s="38" t="s">
        <v>557</v>
      </c>
      <c r="C180" s="39"/>
      <c r="D180" s="84" t="s">
        <v>400</v>
      </c>
      <c r="E180" s="40" t="s">
        <v>26</v>
      </c>
      <c r="F180" s="40" t="s">
        <v>302</v>
      </c>
      <c r="G180" s="40">
        <v>100</v>
      </c>
    </row>
    <row r="181" spans="1:7" x14ac:dyDescent="0.25">
      <c r="A181" s="271"/>
      <c r="B181" s="38" t="s">
        <v>47</v>
      </c>
      <c r="C181" s="39" t="s">
        <v>345</v>
      </c>
      <c r="D181" s="84" t="s">
        <v>400</v>
      </c>
      <c r="E181" s="40" t="s">
        <v>26</v>
      </c>
      <c r="F181" s="40" t="s">
        <v>302</v>
      </c>
      <c r="G181" s="40">
        <v>95</v>
      </c>
    </row>
    <row r="182" spans="1:7" x14ac:dyDescent="0.25">
      <c r="A182" s="271"/>
      <c r="B182" s="38" t="s">
        <v>558</v>
      </c>
      <c r="C182" s="39"/>
      <c r="D182" s="84" t="s">
        <v>400</v>
      </c>
      <c r="E182" s="40" t="s">
        <v>26</v>
      </c>
      <c r="F182" s="40" t="s">
        <v>302</v>
      </c>
      <c r="G182" s="40">
        <v>115</v>
      </c>
    </row>
    <row r="183" spans="1:7" x14ac:dyDescent="0.25">
      <c r="A183" s="271"/>
      <c r="B183" s="38" t="s">
        <v>559</v>
      </c>
      <c r="C183" s="39" t="s">
        <v>346</v>
      </c>
      <c r="D183" s="84" t="s">
        <v>400</v>
      </c>
      <c r="E183" s="40" t="s">
        <v>26</v>
      </c>
      <c r="F183" s="40" t="s">
        <v>302</v>
      </c>
      <c r="G183" s="40">
        <v>26.46</v>
      </c>
    </row>
    <row r="184" spans="1:7" x14ac:dyDescent="0.25">
      <c r="A184" s="271"/>
      <c r="B184" s="38" t="s">
        <v>560</v>
      </c>
      <c r="C184" s="39" t="s">
        <v>347</v>
      </c>
      <c r="D184" s="84" t="s">
        <v>400</v>
      </c>
      <c r="E184" s="40" t="s">
        <v>26</v>
      </c>
      <c r="F184" s="40" t="s">
        <v>302</v>
      </c>
      <c r="G184" s="40">
        <v>10.75</v>
      </c>
    </row>
    <row r="185" spans="1:7" x14ac:dyDescent="0.25">
      <c r="A185" s="271"/>
      <c r="B185" s="38" t="s">
        <v>561</v>
      </c>
      <c r="C185" s="39" t="s">
        <v>348</v>
      </c>
      <c r="D185" s="84" t="s">
        <v>400</v>
      </c>
      <c r="E185" s="40" t="s">
        <v>26</v>
      </c>
      <c r="F185" s="40" t="s">
        <v>302</v>
      </c>
      <c r="G185" s="40">
        <v>46.5</v>
      </c>
    </row>
    <row r="186" spans="1:7" x14ac:dyDescent="0.25">
      <c r="A186" s="271"/>
      <c r="B186" s="38" t="s">
        <v>562</v>
      </c>
      <c r="C186" s="39" t="s">
        <v>349</v>
      </c>
      <c r="D186" s="84" t="s">
        <v>400</v>
      </c>
      <c r="E186" s="40" t="s">
        <v>26</v>
      </c>
      <c r="F186" s="40" t="s">
        <v>302</v>
      </c>
      <c r="G186" s="40">
        <v>66.069999999999993</v>
      </c>
    </row>
    <row r="187" spans="1:7" x14ac:dyDescent="0.25">
      <c r="A187" s="271"/>
      <c r="B187" s="38" t="s">
        <v>563</v>
      </c>
      <c r="C187" s="39" t="s">
        <v>350</v>
      </c>
      <c r="D187" s="84" t="s">
        <v>400</v>
      </c>
      <c r="E187" s="40" t="s">
        <v>26</v>
      </c>
      <c r="F187" s="40" t="s">
        <v>302</v>
      </c>
      <c r="G187" s="40">
        <v>48</v>
      </c>
    </row>
    <row r="188" spans="1:7" x14ac:dyDescent="0.25">
      <c r="A188" s="271"/>
      <c r="B188" s="38" t="s">
        <v>564</v>
      </c>
      <c r="C188" s="39"/>
      <c r="D188" s="84" t="s">
        <v>400</v>
      </c>
      <c r="E188" s="40" t="s">
        <v>19</v>
      </c>
      <c r="F188" s="40" t="s">
        <v>302</v>
      </c>
      <c r="G188" s="40">
        <v>40</v>
      </c>
    </row>
    <row r="189" spans="1:7" x14ac:dyDescent="0.25">
      <c r="A189" s="271"/>
      <c r="B189" s="38" t="s">
        <v>565</v>
      </c>
      <c r="C189" s="39"/>
      <c r="D189" s="84" t="s">
        <v>400</v>
      </c>
      <c r="E189" s="40" t="s">
        <v>39</v>
      </c>
      <c r="F189" s="40" t="s">
        <v>302</v>
      </c>
      <c r="G189" s="40">
        <v>360</v>
      </c>
    </row>
    <row r="190" spans="1:7" x14ac:dyDescent="0.25">
      <c r="A190" s="271"/>
      <c r="B190" s="38" t="s">
        <v>249</v>
      </c>
      <c r="C190" s="39" t="s">
        <v>351</v>
      </c>
      <c r="D190" s="84" t="s">
        <v>400</v>
      </c>
      <c r="E190" s="40" t="s">
        <v>19</v>
      </c>
      <c r="F190" s="40" t="s">
        <v>302</v>
      </c>
      <c r="G190" s="41">
        <v>1250</v>
      </c>
    </row>
    <row r="191" spans="1:7" x14ac:dyDescent="0.25">
      <c r="A191" s="271"/>
      <c r="B191" s="38" t="s">
        <v>566</v>
      </c>
      <c r="C191" s="39" t="s">
        <v>352</v>
      </c>
      <c r="D191" s="84" t="s">
        <v>400</v>
      </c>
      <c r="E191" s="40" t="s">
        <v>26</v>
      </c>
      <c r="F191" s="40" t="s">
        <v>302</v>
      </c>
      <c r="G191" s="40">
        <v>185</v>
      </c>
    </row>
    <row r="192" spans="1:7" x14ac:dyDescent="0.25">
      <c r="A192" s="271"/>
      <c r="B192" s="38" t="s">
        <v>567</v>
      </c>
      <c r="C192" s="39"/>
      <c r="D192" s="84" t="s">
        <v>400</v>
      </c>
      <c r="E192" s="40" t="s">
        <v>19</v>
      </c>
      <c r="F192" s="40" t="s">
        <v>302</v>
      </c>
      <c r="G192" s="40">
        <v>277</v>
      </c>
    </row>
    <row r="193" spans="1:7" x14ac:dyDescent="0.25">
      <c r="A193" s="271"/>
      <c r="B193" s="38" t="s">
        <v>568</v>
      </c>
      <c r="C193" s="39" t="s">
        <v>353</v>
      </c>
      <c r="D193" s="84" t="s">
        <v>400</v>
      </c>
      <c r="E193" s="40" t="s">
        <v>26</v>
      </c>
      <c r="F193" s="40" t="s">
        <v>302</v>
      </c>
      <c r="G193" s="40">
        <v>115</v>
      </c>
    </row>
    <row r="194" spans="1:7" x14ac:dyDescent="0.25">
      <c r="A194" s="271"/>
      <c r="B194" s="38" t="s">
        <v>50</v>
      </c>
      <c r="C194" s="39" t="s">
        <v>354</v>
      </c>
      <c r="D194" s="84" t="s">
        <v>400</v>
      </c>
      <c r="E194" s="40" t="s">
        <v>26</v>
      </c>
      <c r="F194" s="40" t="s">
        <v>302</v>
      </c>
      <c r="G194" s="40">
        <v>135</v>
      </c>
    </row>
    <row r="195" spans="1:7" x14ac:dyDescent="0.25">
      <c r="A195" s="271"/>
      <c r="B195" s="38" t="s">
        <v>569</v>
      </c>
      <c r="C195" s="39" t="s">
        <v>355</v>
      </c>
      <c r="D195" s="84" t="s">
        <v>400</v>
      </c>
      <c r="E195" s="40" t="s">
        <v>26</v>
      </c>
      <c r="F195" s="40" t="s">
        <v>302</v>
      </c>
      <c r="G195" s="40">
        <v>135</v>
      </c>
    </row>
    <row r="196" spans="1:7" x14ac:dyDescent="0.25">
      <c r="A196" s="271"/>
      <c r="B196" s="38" t="s">
        <v>570</v>
      </c>
      <c r="C196" s="39" t="s">
        <v>356</v>
      </c>
      <c r="D196" s="84" t="s">
        <v>400</v>
      </c>
      <c r="E196" s="40" t="s">
        <v>26</v>
      </c>
      <c r="F196" s="40" t="s">
        <v>302</v>
      </c>
      <c r="G196" s="40">
        <v>100</v>
      </c>
    </row>
    <row r="197" spans="1:7" x14ac:dyDescent="0.25">
      <c r="A197" s="271"/>
      <c r="B197" s="38" t="s">
        <v>357</v>
      </c>
      <c r="C197" s="39"/>
      <c r="D197" s="84" t="s">
        <v>400</v>
      </c>
      <c r="E197" s="40" t="s">
        <v>26</v>
      </c>
      <c r="F197" s="40" t="s">
        <v>302</v>
      </c>
      <c r="G197" s="40">
        <v>162.5</v>
      </c>
    </row>
    <row r="198" spans="1:7" x14ac:dyDescent="0.25">
      <c r="A198" s="271"/>
      <c r="B198" s="38" t="s">
        <v>571</v>
      </c>
      <c r="C198" s="39"/>
      <c r="D198" s="84" t="s">
        <v>400</v>
      </c>
      <c r="E198" s="40" t="s">
        <v>26</v>
      </c>
      <c r="F198" s="40" t="s">
        <v>302</v>
      </c>
      <c r="G198" s="40">
        <v>143.75</v>
      </c>
    </row>
    <row r="199" spans="1:7" x14ac:dyDescent="0.25">
      <c r="A199" s="271"/>
      <c r="B199" s="38" t="s">
        <v>572</v>
      </c>
      <c r="C199" s="39" t="s">
        <v>358</v>
      </c>
      <c r="D199" s="84" t="s">
        <v>400</v>
      </c>
      <c r="E199" s="40" t="s">
        <v>39</v>
      </c>
      <c r="F199" s="40" t="s">
        <v>302</v>
      </c>
      <c r="G199" s="41">
        <v>2800</v>
      </c>
    </row>
    <row r="200" spans="1:7" x14ac:dyDescent="0.25">
      <c r="A200" s="271"/>
      <c r="B200" s="38" t="s">
        <v>78</v>
      </c>
      <c r="C200" s="39"/>
      <c r="D200" s="84" t="s">
        <v>400</v>
      </c>
      <c r="E200" s="40" t="s">
        <v>17</v>
      </c>
      <c r="F200" s="40" t="s">
        <v>302</v>
      </c>
      <c r="G200" s="40">
        <v>1</v>
      </c>
    </row>
    <row r="201" spans="1:7" x14ac:dyDescent="0.25">
      <c r="A201" s="271"/>
      <c r="B201" s="38" t="s">
        <v>573</v>
      </c>
      <c r="C201" s="39" t="s">
        <v>359</v>
      </c>
      <c r="D201" s="84" t="s">
        <v>400</v>
      </c>
      <c r="E201" s="40" t="s">
        <v>26</v>
      </c>
      <c r="F201" s="40" t="s">
        <v>302</v>
      </c>
      <c r="G201" s="40">
        <v>11.67</v>
      </c>
    </row>
    <row r="202" spans="1:7" x14ac:dyDescent="0.25">
      <c r="A202" s="271"/>
      <c r="B202" s="38" t="s">
        <v>574</v>
      </c>
      <c r="C202" s="39"/>
      <c r="D202" s="84" t="s">
        <v>400</v>
      </c>
      <c r="E202" s="40" t="s">
        <v>19</v>
      </c>
      <c r="F202" s="40" t="s">
        <v>302</v>
      </c>
      <c r="G202" s="40">
        <v>350</v>
      </c>
    </row>
    <row r="203" spans="1:7" x14ac:dyDescent="0.25">
      <c r="A203" s="271"/>
      <c r="B203" s="38" t="s">
        <v>63</v>
      </c>
      <c r="C203" s="39" t="s">
        <v>360</v>
      </c>
      <c r="D203" s="84" t="s">
        <v>400</v>
      </c>
      <c r="E203" s="40" t="s">
        <v>26</v>
      </c>
      <c r="F203" s="40" t="s">
        <v>302</v>
      </c>
      <c r="G203" s="40">
        <v>135</v>
      </c>
    </row>
    <row r="204" spans="1:7" x14ac:dyDescent="0.25">
      <c r="A204" s="271"/>
      <c r="B204" s="38" t="s">
        <v>575</v>
      </c>
      <c r="C204" s="39"/>
      <c r="D204" s="84" t="s">
        <v>400</v>
      </c>
      <c r="E204" s="40" t="s">
        <v>26</v>
      </c>
      <c r="F204" s="40" t="s">
        <v>302</v>
      </c>
      <c r="G204" s="40">
        <v>168.75</v>
      </c>
    </row>
    <row r="205" spans="1:7" x14ac:dyDescent="0.25">
      <c r="A205" s="271"/>
      <c r="B205" s="38" t="s">
        <v>405</v>
      </c>
      <c r="C205" s="39" t="s">
        <v>361</v>
      </c>
      <c r="D205" s="84" t="s">
        <v>400</v>
      </c>
      <c r="E205" s="40" t="s">
        <v>26</v>
      </c>
      <c r="F205" s="40" t="s">
        <v>302</v>
      </c>
      <c r="G205" s="40">
        <v>55</v>
      </c>
    </row>
    <row r="206" spans="1:7" x14ac:dyDescent="0.25">
      <c r="A206" s="271"/>
      <c r="B206" s="38" t="s">
        <v>576</v>
      </c>
      <c r="C206" s="39" t="s">
        <v>362</v>
      </c>
      <c r="D206" s="84" t="s">
        <v>400</v>
      </c>
      <c r="E206" s="40" t="s">
        <v>26</v>
      </c>
      <c r="F206" s="40" t="s">
        <v>302</v>
      </c>
      <c r="G206" s="40">
        <v>25.78</v>
      </c>
    </row>
    <row r="207" spans="1:7" x14ac:dyDescent="0.25">
      <c r="A207" s="271"/>
      <c r="B207" s="38" t="s">
        <v>156</v>
      </c>
      <c r="C207" s="39" t="s">
        <v>363</v>
      </c>
      <c r="D207" s="84" t="s">
        <v>400</v>
      </c>
      <c r="E207" s="40" t="s">
        <v>39</v>
      </c>
      <c r="F207" s="40" t="s">
        <v>302</v>
      </c>
      <c r="G207" s="40">
        <v>365</v>
      </c>
    </row>
    <row r="208" spans="1:7" x14ac:dyDescent="0.25">
      <c r="A208" s="271"/>
      <c r="B208" s="38" t="s">
        <v>577</v>
      </c>
      <c r="C208" s="39"/>
      <c r="D208" s="84" t="s">
        <v>400</v>
      </c>
      <c r="E208" s="40" t="s">
        <v>26</v>
      </c>
      <c r="F208" s="40" t="s">
        <v>302</v>
      </c>
      <c r="G208" s="40">
        <v>58</v>
      </c>
    </row>
    <row r="209" spans="1:7" x14ac:dyDescent="0.25">
      <c r="A209" s="271"/>
      <c r="B209" s="38" t="s">
        <v>578</v>
      </c>
      <c r="C209" s="39"/>
      <c r="D209" s="84" t="s">
        <v>400</v>
      </c>
      <c r="E209" s="40" t="s">
        <v>26</v>
      </c>
      <c r="F209" s="40" t="s">
        <v>302</v>
      </c>
      <c r="G209" s="40">
        <v>7</v>
      </c>
    </row>
    <row r="210" spans="1:7" x14ac:dyDescent="0.25">
      <c r="A210" s="271"/>
      <c r="B210" s="38" t="s">
        <v>83</v>
      </c>
      <c r="C210" s="39" t="s">
        <v>364</v>
      </c>
      <c r="D210" s="84" t="s">
        <v>400</v>
      </c>
      <c r="E210" s="40" t="s">
        <v>26</v>
      </c>
      <c r="F210" s="40" t="s">
        <v>302</v>
      </c>
      <c r="G210" s="40">
        <v>3.5</v>
      </c>
    </row>
    <row r="211" spans="1:7" x14ac:dyDescent="0.25">
      <c r="A211" s="271"/>
      <c r="B211" s="38" t="s">
        <v>160</v>
      </c>
      <c r="C211" s="39" t="s">
        <v>365</v>
      </c>
      <c r="D211" s="84" t="s">
        <v>400</v>
      </c>
      <c r="E211" s="40" t="s">
        <v>26</v>
      </c>
      <c r="F211" s="40" t="s">
        <v>302</v>
      </c>
      <c r="G211" s="40">
        <v>85</v>
      </c>
    </row>
    <row r="212" spans="1:7" x14ac:dyDescent="0.25">
      <c r="A212" s="271"/>
      <c r="B212" s="38" t="s">
        <v>579</v>
      </c>
      <c r="C212" s="39" t="s">
        <v>366</v>
      </c>
      <c r="D212" s="84" t="s">
        <v>400</v>
      </c>
      <c r="E212" s="40" t="s">
        <v>39</v>
      </c>
      <c r="F212" s="40" t="s">
        <v>302</v>
      </c>
      <c r="G212" s="40">
        <v>365</v>
      </c>
    </row>
    <row r="213" spans="1:7" x14ac:dyDescent="0.25">
      <c r="A213" s="271"/>
      <c r="B213" s="38" t="s">
        <v>580</v>
      </c>
      <c r="C213" s="39"/>
      <c r="D213" s="84" t="s">
        <v>400</v>
      </c>
      <c r="E213" s="40" t="s">
        <v>26</v>
      </c>
      <c r="F213" s="40" t="s">
        <v>302</v>
      </c>
      <c r="G213" s="40">
        <v>95</v>
      </c>
    </row>
    <row r="214" spans="1:7" x14ac:dyDescent="0.25">
      <c r="A214" s="271"/>
      <c r="B214" s="38" t="s">
        <v>106</v>
      </c>
      <c r="C214" s="39" t="s">
        <v>367</v>
      </c>
      <c r="D214" s="84" t="s">
        <v>400</v>
      </c>
      <c r="E214" s="40" t="s">
        <v>26</v>
      </c>
      <c r="F214" s="40" t="s">
        <v>302</v>
      </c>
      <c r="G214" s="40">
        <v>55</v>
      </c>
    </row>
    <row r="215" spans="1:7" x14ac:dyDescent="0.25">
      <c r="A215" s="271"/>
      <c r="B215" s="38" t="s">
        <v>581</v>
      </c>
      <c r="C215" s="39"/>
      <c r="D215" s="84" t="s">
        <v>400</v>
      </c>
      <c r="E215" s="40" t="s">
        <v>26</v>
      </c>
      <c r="F215" s="40" t="s">
        <v>302</v>
      </c>
      <c r="G215" s="40">
        <v>406.25</v>
      </c>
    </row>
    <row r="216" spans="1:7" x14ac:dyDescent="0.25">
      <c r="A216" s="271"/>
      <c r="B216" s="38" t="s">
        <v>368</v>
      </c>
      <c r="C216" s="39" t="s">
        <v>368</v>
      </c>
      <c r="D216" s="84" t="s">
        <v>400</v>
      </c>
      <c r="E216" s="40" t="s">
        <v>39</v>
      </c>
      <c r="F216" s="40" t="s">
        <v>302</v>
      </c>
      <c r="G216" s="41">
        <v>1250</v>
      </c>
    </row>
    <row r="217" spans="1:7" x14ac:dyDescent="0.25">
      <c r="A217" s="271"/>
      <c r="B217" s="38" t="s">
        <v>582</v>
      </c>
      <c r="C217" s="39"/>
      <c r="D217" s="84" t="s">
        <v>400</v>
      </c>
      <c r="E217" s="40" t="s">
        <v>26</v>
      </c>
      <c r="F217" s="40" t="s">
        <v>302</v>
      </c>
      <c r="G217" s="40">
        <v>181.25</v>
      </c>
    </row>
    <row r="218" spans="1:7" x14ac:dyDescent="0.25">
      <c r="A218" s="271"/>
      <c r="B218" s="38" t="s">
        <v>51</v>
      </c>
      <c r="C218" s="39" t="s">
        <v>369</v>
      </c>
      <c r="D218" s="84" t="s">
        <v>400</v>
      </c>
      <c r="E218" s="40" t="s">
        <v>26</v>
      </c>
      <c r="F218" s="40" t="s">
        <v>302</v>
      </c>
      <c r="G218" s="40">
        <v>95</v>
      </c>
    </row>
    <row r="219" spans="1:7" x14ac:dyDescent="0.25">
      <c r="A219" s="271"/>
      <c r="B219" s="38" t="s">
        <v>583</v>
      </c>
      <c r="C219" s="39" t="s">
        <v>370</v>
      </c>
      <c r="D219" s="84" t="s">
        <v>400</v>
      </c>
      <c r="E219" s="40" t="s">
        <v>26</v>
      </c>
      <c r="F219" s="40" t="s">
        <v>302</v>
      </c>
      <c r="G219" s="40">
        <v>42.79</v>
      </c>
    </row>
    <row r="220" spans="1:7" x14ac:dyDescent="0.25">
      <c r="A220" s="271"/>
      <c r="B220" s="38" t="s">
        <v>584</v>
      </c>
      <c r="C220" s="39" t="s">
        <v>371</v>
      </c>
      <c r="D220" s="84" t="s">
        <v>400</v>
      </c>
      <c r="E220" s="40" t="s">
        <v>26</v>
      </c>
      <c r="F220" s="40" t="s">
        <v>302</v>
      </c>
      <c r="G220" s="40">
        <v>17</v>
      </c>
    </row>
    <row r="221" spans="1:7" x14ac:dyDescent="0.25">
      <c r="A221" s="271"/>
      <c r="B221" s="38" t="s">
        <v>585</v>
      </c>
      <c r="C221" s="39"/>
      <c r="D221" s="84" t="s">
        <v>400</v>
      </c>
      <c r="E221" s="40" t="s">
        <v>26</v>
      </c>
      <c r="F221" s="40" t="s">
        <v>302</v>
      </c>
      <c r="G221" s="40">
        <v>15</v>
      </c>
    </row>
    <row r="222" spans="1:7" x14ac:dyDescent="0.25">
      <c r="A222" s="271"/>
      <c r="B222" s="38" t="s">
        <v>64</v>
      </c>
      <c r="C222" s="39" t="s">
        <v>372</v>
      </c>
      <c r="D222" s="84" t="s">
        <v>400</v>
      </c>
      <c r="E222" s="40" t="s">
        <v>26</v>
      </c>
      <c r="F222" s="40" t="s">
        <v>302</v>
      </c>
      <c r="G222" s="40">
        <v>145</v>
      </c>
    </row>
    <row r="223" spans="1:7" x14ac:dyDescent="0.25">
      <c r="A223" s="271"/>
      <c r="B223" s="38" t="s">
        <v>586</v>
      </c>
      <c r="C223" s="39"/>
      <c r="D223" s="84" t="s">
        <v>400</v>
      </c>
      <c r="E223" s="40" t="s">
        <v>26</v>
      </c>
      <c r="F223" s="40" t="s">
        <v>302</v>
      </c>
      <c r="G223" s="40">
        <v>106.25</v>
      </c>
    </row>
    <row r="224" spans="1:7" x14ac:dyDescent="0.25">
      <c r="A224" s="271"/>
      <c r="B224" s="38" t="s">
        <v>587</v>
      </c>
      <c r="C224" s="39" t="s">
        <v>373</v>
      </c>
      <c r="D224" s="84" t="s">
        <v>400</v>
      </c>
      <c r="E224" s="40" t="s">
        <v>26</v>
      </c>
      <c r="F224" s="40" t="s">
        <v>302</v>
      </c>
      <c r="G224" s="40">
        <v>21.61</v>
      </c>
    </row>
    <row r="225" spans="1:7" x14ac:dyDescent="0.25">
      <c r="A225" s="271"/>
      <c r="B225" s="38" t="s">
        <v>588</v>
      </c>
      <c r="C225" s="39"/>
      <c r="D225" s="84" t="s">
        <v>400</v>
      </c>
      <c r="E225" s="40" t="s">
        <v>39</v>
      </c>
      <c r="F225" s="40" t="s">
        <v>302</v>
      </c>
      <c r="G225" s="40">
        <v>198</v>
      </c>
    </row>
    <row r="226" spans="1:7" x14ac:dyDescent="0.25">
      <c r="A226" s="271"/>
      <c r="B226" s="38" t="s">
        <v>146</v>
      </c>
      <c r="C226" s="39"/>
      <c r="D226" s="84" t="s">
        <v>400</v>
      </c>
      <c r="E226" s="40" t="s">
        <v>39</v>
      </c>
      <c r="F226" s="40" t="s">
        <v>302</v>
      </c>
      <c r="G226" s="40">
        <v>125</v>
      </c>
    </row>
    <row r="227" spans="1:7" x14ac:dyDescent="0.25">
      <c r="A227" s="271"/>
      <c r="B227" s="38" t="s">
        <v>374</v>
      </c>
      <c r="C227" s="39" t="s">
        <v>374</v>
      </c>
      <c r="D227" s="84" t="s">
        <v>400</v>
      </c>
      <c r="E227" s="40" t="s">
        <v>39</v>
      </c>
      <c r="F227" s="40" t="s">
        <v>302</v>
      </c>
      <c r="G227" s="40">
        <v>100</v>
      </c>
    </row>
    <row r="228" spans="1:7" x14ac:dyDescent="0.25">
      <c r="A228" s="271"/>
      <c r="B228" s="38" t="s">
        <v>589</v>
      </c>
      <c r="C228" s="39" t="s">
        <v>375</v>
      </c>
      <c r="D228" s="84" t="s">
        <v>400</v>
      </c>
      <c r="E228" s="40" t="s">
        <v>26</v>
      </c>
      <c r="F228" s="40" t="s">
        <v>302</v>
      </c>
      <c r="G228" s="40">
        <v>42.79</v>
      </c>
    </row>
    <row r="229" spans="1:7" x14ac:dyDescent="0.25">
      <c r="A229" s="271"/>
      <c r="B229" s="38" t="s">
        <v>52</v>
      </c>
      <c r="C229" s="39" t="s">
        <v>376</v>
      </c>
      <c r="D229" s="84" t="s">
        <v>400</v>
      </c>
      <c r="E229" s="40" t="s">
        <v>26</v>
      </c>
      <c r="F229" s="40" t="s">
        <v>302</v>
      </c>
      <c r="G229" s="40">
        <v>100</v>
      </c>
    </row>
    <row r="230" spans="1:7" x14ac:dyDescent="0.25">
      <c r="A230" s="271"/>
      <c r="B230" s="42" t="s">
        <v>590</v>
      </c>
      <c r="C230" s="43"/>
      <c r="D230" s="85" t="s">
        <v>400</v>
      </c>
      <c r="E230" s="44" t="s">
        <v>26</v>
      </c>
      <c r="F230" s="44" t="s">
        <v>302</v>
      </c>
      <c r="G230" s="44">
        <v>118.75</v>
      </c>
    </row>
    <row r="231" spans="1:7" x14ac:dyDescent="0.25">
      <c r="A231" s="271" t="s">
        <v>397</v>
      </c>
      <c r="B231" s="66" t="s">
        <v>591</v>
      </c>
      <c r="C231" s="67" t="s">
        <v>377</v>
      </c>
      <c r="D231" s="86" t="s">
        <v>401</v>
      </c>
      <c r="E231" s="68" t="s">
        <v>110</v>
      </c>
      <c r="F231" s="68" t="s">
        <v>302</v>
      </c>
      <c r="G231" s="68">
        <v>3.19</v>
      </c>
    </row>
    <row r="232" spans="1:7" x14ac:dyDescent="0.25">
      <c r="A232" s="271"/>
      <c r="B232" s="69" t="s">
        <v>378</v>
      </c>
      <c r="C232" s="70" t="s">
        <v>378</v>
      </c>
      <c r="D232" s="87" t="s">
        <v>401</v>
      </c>
      <c r="E232" s="71" t="s">
        <v>110</v>
      </c>
      <c r="F232" s="71" t="s">
        <v>302</v>
      </c>
      <c r="G232" s="71">
        <v>4.6100000000000003</v>
      </c>
    </row>
    <row r="233" spans="1:7" x14ac:dyDescent="0.25">
      <c r="A233" s="271"/>
      <c r="B233" s="69" t="s">
        <v>219</v>
      </c>
      <c r="C233" s="70" t="s">
        <v>219</v>
      </c>
      <c r="D233" s="87" t="s">
        <v>401</v>
      </c>
      <c r="E233" s="71" t="s">
        <v>110</v>
      </c>
      <c r="F233" s="71" t="s">
        <v>302</v>
      </c>
      <c r="G233" s="71">
        <v>4</v>
      </c>
    </row>
    <row r="234" spans="1:7" x14ac:dyDescent="0.25">
      <c r="A234" s="271"/>
      <c r="B234" s="69" t="s">
        <v>592</v>
      </c>
      <c r="C234" s="70"/>
      <c r="D234" s="87" t="s">
        <v>401</v>
      </c>
      <c r="E234" s="71" t="s">
        <v>110</v>
      </c>
      <c r="F234" s="71" t="s">
        <v>302</v>
      </c>
      <c r="G234" s="71">
        <v>1.5</v>
      </c>
    </row>
    <row r="235" spans="1:7" x14ac:dyDescent="0.25">
      <c r="A235" s="271"/>
      <c r="B235" s="69" t="s">
        <v>593</v>
      </c>
      <c r="C235" s="70" t="s">
        <v>379</v>
      </c>
      <c r="D235" s="87" t="s">
        <v>401</v>
      </c>
      <c r="E235" s="71" t="s">
        <v>39</v>
      </c>
      <c r="F235" s="71" t="s">
        <v>302</v>
      </c>
      <c r="G235" s="71">
        <v>125</v>
      </c>
    </row>
    <row r="236" spans="1:7" x14ac:dyDescent="0.25">
      <c r="A236" s="271"/>
      <c r="B236" s="69" t="s">
        <v>594</v>
      </c>
      <c r="C236" s="70" t="s">
        <v>380</v>
      </c>
      <c r="D236" s="87" t="s">
        <v>401</v>
      </c>
      <c r="E236" s="71" t="s">
        <v>39</v>
      </c>
      <c r="F236" s="71" t="s">
        <v>302</v>
      </c>
      <c r="G236" s="72">
        <v>15400</v>
      </c>
    </row>
    <row r="237" spans="1:7" x14ac:dyDescent="0.25">
      <c r="A237" s="271"/>
      <c r="B237" s="69" t="s">
        <v>595</v>
      </c>
      <c r="C237" s="70" t="s">
        <v>381</v>
      </c>
      <c r="D237" s="87" t="s">
        <v>401</v>
      </c>
      <c r="E237" s="71" t="s">
        <v>39</v>
      </c>
      <c r="F237" s="71" t="s">
        <v>302</v>
      </c>
      <c r="G237" s="72">
        <v>5240</v>
      </c>
    </row>
    <row r="238" spans="1:7" x14ac:dyDescent="0.25">
      <c r="A238" s="271"/>
      <c r="B238" s="69" t="s">
        <v>252</v>
      </c>
      <c r="C238" s="70" t="s">
        <v>382</v>
      </c>
      <c r="D238" s="87" t="s">
        <v>401</v>
      </c>
      <c r="E238" s="71" t="s">
        <v>253</v>
      </c>
      <c r="F238" s="71" t="s">
        <v>302</v>
      </c>
      <c r="G238" s="71">
        <v>1</v>
      </c>
    </row>
    <row r="239" spans="1:7" x14ac:dyDescent="0.25">
      <c r="A239" s="271"/>
      <c r="B239" s="69" t="s">
        <v>596</v>
      </c>
      <c r="C239" s="70"/>
      <c r="D239" s="87" t="s">
        <v>401</v>
      </c>
      <c r="E239" s="71" t="s">
        <v>23</v>
      </c>
      <c r="F239" s="71" t="s">
        <v>302</v>
      </c>
      <c r="G239" s="71">
        <v>400</v>
      </c>
    </row>
    <row r="240" spans="1:7" x14ac:dyDescent="0.25">
      <c r="A240" s="271"/>
      <c r="B240" s="69" t="s">
        <v>597</v>
      </c>
      <c r="C240" s="70"/>
      <c r="D240" s="87" t="s">
        <v>401</v>
      </c>
      <c r="E240" s="71" t="s">
        <v>253</v>
      </c>
      <c r="F240" s="71" t="s">
        <v>302</v>
      </c>
      <c r="G240" s="71">
        <v>1</v>
      </c>
    </row>
    <row r="241" spans="1:7" x14ac:dyDescent="0.25">
      <c r="A241" s="271"/>
      <c r="B241" s="69" t="s">
        <v>27</v>
      </c>
      <c r="C241" s="70" t="s">
        <v>383</v>
      </c>
      <c r="D241" s="87" t="s">
        <v>401</v>
      </c>
      <c r="E241" s="71" t="s">
        <v>23</v>
      </c>
      <c r="F241" s="71" t="s">
        <v>302</v>
      </c>
      <c r="G241" s="71">
        <v>150</v>
      </c>
    </row>
    <row r="242" spans="1:7" x14ac:dyDescent="0.25">
      <c r="A242" s="271"/>
      <c r="B242" s="69" t="s">
        <v>403</v>
      </c>
      <c r="C242" s="70"/>
      <c r="D242" s="87" t="s">
        <v>401</v>
      </c>
      <c r="E242" s="71" t="s">
        <v>23</v>
      </c>
      <c r="F242" s="71" t="s">
        <v>302</v>
      </c>
      <c r="G242" s="71">
        <v>350</v>
      </c>
    </row>
    <row r="243" spans="1:7" x14ac:dyDescent="0.25">
      <c r="A243" s="271"/>
      <c r="B243" s="69" t="s">
        <v>199</v>
      </c>
      <c r="C243" s="70" t="s">
        <v>384</v>
      </c>
      <c r="D243" s="87" t="s">
        <v>401</v>
      </c>
      <c r="E243" s="71" t="s">
        <v>110</v>
      </c>
      <c r="F243" s="71" t="s">
        <v>302</v>
      </c>
      <c r="G243" s="71">
        <v>600</v>
      </c>
    </row>
    <row r="244" spans="1:7" x14ac:dyDescent="0.25">
      <c r="A244" s="271"/>
      <c r="B244" s="69" t="s">
        <v>125</v>
      </c>
      <c r="C244" s="70" t="s">
        <v>385</v>
      </c>
      <c r="D244" s="87" t="s">
        <v>401</v>
      </c>
      <c r="E244" s="71" t="s">
        <v>110</v>
      </c>
      <c r="F244" s="71" t="s">
        <v>302</v>
      </c>
      <c r="G244" s="71">
        <v>27</v>
      </c>
    </row>
    <row r="245" spans="1:7" x14ac:dyDescent="0.25">
      <c r="A245" s="271"/>
      <c r="B245" s="69" t="s">
        <v>598</v>
      </c>
      <c r="C245" s="70"/>
      <c r="D245" s="87" t="s">
        <v>401</v>
      </c>
      <c r="E245" s="71" t="s">
        <v>17</v>
      </c>
      <c r="F245" s="71" t="s">
        <v>302</v>
      </c>
      <c r="G245" s="71">
        <v>1</v>
      </c>
    </row>
    <row r="246" spans="1:7" x14ac:dyDescent="0.25">
      <c r="A246" s="271"/>
      <c r="B246" s="69" t="s">
        <v>599</v>
      </c>
      <c r="C246" s="70"/>
      <c r="D246" s="87" t="s">
        <v>401</v>
      </c>
      <c r="E246" s="71" t="s">
        <v>253</v>
      </c>
      <c r="F246" s="71" t="s">
        <v>302</v>
      </c>
      <c r="G246" s="71">
        <v>1</v>
      </c>
    </row>
    <row r="247" spans="1:7" x14ac:dyDescent="0.25">
      <c r="A247" s="271"/>
      <c r="B247" s="69" t="s">
        <v>600</v>
      </c>
      <c r="C247" s="70"/>
      <c r="D247" s="87" t="s">
        <v>401</v>
      </c>
      <c r="E247" s="71" t="s">
        <v>17</v>
      </c>
      <c r="F247" s="71" t="s">
        <v>302</v>
      </c>
      <c r="G247" s="71">
        <v>1</v>
      </c>
    </row>
    <row r="248" spans="1:7" x14ac:dyDescent="0.25">
      <c r="A248" s="271"/>
      <c r="B248" s="69" t="s">
        <v>22</v>
      </c>
      <c r="C248" s="70"/>
      <c r="D248" s="87" t="s">
        <v>401</v>
      </c>
      <c r="E248" s="71" t="s">
        <v>23</v>
      </c>
      <c r="F248" s="71" t="s">
        <v>302</v>
      </c>
      <c r="G248" s="71">
        <v>45</v>
      </c>
    </row>
    <row r="249" spans="1:7" x14ac:dyDescent="0.25">
      <c r="A249" s="271"/>
      <c r="B249" s="69" t="s">
        <v>601</v>
      </c>
      <c r="C249" s="70"/>
      <c r="D249" s="87" t="s">
        <v>401</v>
      </c>
      <c r="E249" s="71" t="s">
        <v>110</v>
      </c>
      <c r="F249" s="71" t="s">
        <v>302</v>
      </c>
      <c r="G249" s="71">
        <v>2.91</v>
      </c>
    </row>
    <row r="250" spans="1:7" x14ac:dyDescent="0.25">
      <c r="A250" s="271"/>
      <c r="B250" s="69" t="s">
        <v>602</v>
      </c>
      <c r="C250" s="70"/>
      <c r="D250" s="87" t="s">
        <v>401</v>
      </c>
      <c r="E250" s="71" t="s">
        <v>26</v>
      </c>
      <c r="F250" s="71" t="s">
        <v>302</v>
      </c>
      <c r="G250" s="71">
        <v>120</v>
      </c>
    </row>
    <row r="251" spans="1:7" x14ac:dyDescent="0.25">
      <c r="A251" s="271"/>
      <c r="B251" s="69" t="s">
        <v>127</v>
      </c>
      <c r="C251" s="70"/>
      <c r="D251" s="87" t="s">
        <v>401</v>
      </c>
      <c r="E251" s="71" t="s">
        <v>110</v>
      </c>
      <c r="F251" s="71" t="s">
        <v>302</v>
      </c>
      <c r="G251" s="71">
        <v>2.4500000000000002</v>
      </c>
    </row>
    <row r="252" spans="1:7" x14ac:dyDescent="0.25">
      <c r="A252" s="271"/>
      <c r="B252" s="69" t="s">
        <v>24</v>
      </c>
      <c r="C252" s="70"/>
      <c r="D252" s="87" t="s">
        <v>401</v>
      </c>
      <c r="E252" s="71" t="s">
        <v>23</v>
      </c>
      <c r="F252" s="71" t="s">
        <v>302</v>
      </c>
      <c r="G252" s="71">
        <v>390</v>
      </c>
    </row>
    <row r="253" spans="1:7" x14ac:dyDescent="0.25">
      <c r="A253" s="271"/>
      <c r="B253" s="69" t="s">
        <v>603</v>
      </c>
      <c r="C253" s="70"/>
      <c r="D253" s="87" t="s">
        <v>401</v>
      </c>
      <c r="E253" s="71" t="s">
        <v>39</v>
      </c>
      <c r="F253" s="71" t="s">
        <v>302</v>
      </c>
      <c r="G253" s="72">
        <v>8500</v>
      </c>
    </row>
    <row r="254" spans="1:7" x14ac:dyDescent="0.25">
      <c r="A254" s="271"/>
      <c r="B254" s="69" t="s">
        <v>604</v>
      </c>
      <c r="C254" s="70"/>
      <c r="D254" s="87" t="s">
        <v>401</v>
      </c>
      <c r="E254" s="71" t="s">
        <v>253</v>
      </c>
      <c r="F254" s="71" t="s">
        <v>302</v>
      </c>
      <c r="G254" s="72">
        <v>26553</v>
      </c>
    </row>
    <row r="255" spans="1:7" x14ac:dyDescent="0.25">
      <c r="A255" s="271"/>
      <c r="B255" s="69" t="s">
        <v>77</v>
      </c>
      <c r="C255" s="70"/>
      <c r="D255" s="87" t="s">
        <v>401</v>
      </c>
      <c r="E255" s="71" t="s">
        <v>45</v>
      </c>
      <c r="F255" s="71" t="s">
        <v>302</v>
      </c>
      <c r="G255" s="71">
        <v>20</v>
      </c>
    </row>
    <row r="256" spans="1:7" x14ac:dyDescent="0.25">
      <c r="A256" s="271"/>
      <c r="B256" s="69" t="s">
        <v>409</v>
      </c>
      <c r="C256" s="70"/>
      <c r="D256" s="87" t="s">
        <v>401</v>
      </c>
      <c r="E256" s="71" t="s">
        <v>45</v>
      </c>
      <c r="F256" s="71" t="s">
        <v>302</v>
      </c>
      <c r="G256" s="71">
        <v>30</v>
      </c>
    </row>
    <row r="257" spans="1:7" x14ac:dyDescent="0.25">
      <c r="A257" s="271"/>
      <c r="B257" s="69" t="s">
        <v>605</v>
      </c>
      <c r="C257" s="70"/>
      <c r="D257" s="87" t="s">
        <v>401</v>
      </c>
      <c r="E257" s="71" t="s">
        <v>23</v>
      </c>
      <c r="F257" s="71" t="s">
        <v>302</v>
      </c>
      <c r="G257" s="71">
        <v>120</v>
      </c>
    </row>
    <row r="258" spans="1:7" x14ac:dyDescent="0.25">
      <c r="A258" s="271"/>
      <c r="B258" s="69" t="s">
        <v>606</v>
      </c>
      <c r="C258" s="70"/>
      <c r="D258" s="87" t="s">
        <v>401</v>
      </c>
      <c r="E258" s="71" t="s">
        <v>17</v>
      </c>
      <c r="F258" s="71" t="s">
        <v>302</v>
      </c>
      <c r="G258" s="71">
        <v>1</v>
      </c>
    </row>
    <row r="259" spans="1:7" x14ac:dyDescent="0.25">
      <c r="A259" s="271"/>
      <c r="B259" s="69" t="s">
        <v>607</v>
      </c>
      <c r="C259" s="70"/>
      <c r="D259" s="87" t="s">
        <v>401</v>
      </c>
      <c r="E259" s="71" t="s">
        <v>23</v>
      </c>
      <c r="F259" s="71" t="s">
        <v>302</v>
      </c>
      <c r="G259" s="72">
        <v>5500</v>
      </c>
    </row>
    <row r="260" spans="1:7" x14ac:dyDescent="0.25">
      <c r="A260" s="271"/>
      <c r="B260" s="69" t="s">
        <v>608</v>
      </c>
      <c r="C260" s="70"/>
      <c r="D260" s="87" t="s">
        <v>401</v>
      </c>
      <c r="E260" s="71" t="s">
        <v>23</v>
      </c>
      <c r="F260" s="71" t="s">
        <v>302</v>
      </c>
      <c r="G260" s="71">
        <v>50</v>
      </c>
    </row>
    <row r="261" spans="1:7" x14ac:dyDescent="0.25">
      <c r="A261" s="271"/>
      <c r="B261" s="69" t="s">
        <v>609</v>
      </c>
      <c r="C261" s="70" t="s">
        <v>386</v>
      </c>
      <c r="D261" s="87" t="s">
        <v>401</v>
      </c>
      <c r="E261" s="71" t="s">
        <v>253</v>
      </c>
      <c r="F261" s="71" t="s">
        <v>302</v>
      </c>
      <c r="G261" s="72">
        <v>6250</v>
      </c>
    </row>
    <row r="262" spans="1:7" x14ac:dyDescent="0.25">
      <c r="A262" s="271"/>
      <c r="B262" s="69" t="s">
        <v>610</v>
      </c>
      <c r="C262" s="70"/>
      <c r="D262" s="87" t="s">
        <v>401</v>
      </c>
      <c r="E262" s="71" t="s">
        <v>253</v>
      </c>
      <c r="F262" s="71" t="s">
        <v>302</v>
      </c>
      <c r="G262" s="71">
        <v>1</v>
      </c>
    </row>
    <row r="263" spans="1:7" x14ac:dyDescent="0.25">
      <c r="A263" s="271"/>
      <c r="B263" s="69" t="s">
        <v>611</v>
      </c>
      <c r="C263" s="70"/>
      <c r="D263" s="87" t="s">
        <v>401</v>
      </c>
      <c r="E263" s="71" t="s">
        <v>23</v>
      </c>
      <c r="F263" s="71" t="s">
        <v>302</v>
      </c>
      <c r="G263" s="71">
        <v>180</v>
      </c>
    </row>
    <row r="264" spans="1:7" x14ac:dyDescent="0.25">
      <c r="A264" s="271"/>
      <c r="B264" s="69" t="s">
        <v>612</v>
      </c>
      <c r="C264" s="70" t="s">
        <v>387</v>
      </c>
      <c r="D264" s="87" t="s">
        <v>401</v>
      </c>
      <c r="E264" s="71" t="s">
        <v>23</v>
      </c>
      <c r="F264" s="71" t="s">
        <v>302</v>
      </c>
      <c r="G264" s="72">
        <v>3750</v>
      </c>
    </row>
    <row r="265" spans="1:7" x14ac:dyDescent="0.25">
      <c r="A265" s="271"/>
      <c r="B265" s="69" t="s">
        <v>613</v>
      </c>
      <c r="C265" s="70" t="s">
        <v>388</v>
      </c>
      <c r="D265" s="87" t="s">
        <v>401</v>
      </c>
      <c r="E265" s="71" t="s">
        <v>23</v>
      </c>
      <c r="F265" s="71" t="s">
        <v>302</v>
      </c>
      <c r="G265" s="72">
        <v>2500</v>
      </c>
    </row>
    <row r="266" spans="1:7" x14ac:dyDescent="0.25">
      <c r="A266" s="271"/>
      <c r="B266" s="69" t="s">
        <v>614</v>
      </c>
      <c r="C266" s="70"/>
      <c r="D266" s="87" t="s">
        <v>401</v>
      </c>
      <c r="E266" s="71" t="s">
        <v>26</v>
      </c>
      <c r="F266" s="71" t="s">
        <v>302</v>
      </c>
      <c r="G266" s="71">
        <v>85</v>
      </c>
    </row>
    <row r="267" spans="1:7" x14ac:dyDescent="0.25">
      <c r="A267" s="271"/>
      <c r="B267" s="69" t="s">
        <v>615</v>
      </c>
      <c r="C267" s="70"/>
      <c r="D267" s="87" t="s">
        <v>401</v>
      </c>
      <c r="E267" s="71" t="s">
        <v>54</v>
      </c>
      <c r="F267" s="71" t="s">
        <v>302</v>
      </c>
      <c r="G267" s="71">
        <v>600</v>
      </c>
    </row>
    <row r="268" spans="1:7" x14ac:dyDescent="0.25">
      <c r="A268" s="271"/>
      <c r="B268" s="69" t="s">
        <v>616</v>
      </c>
      <c r="C268" s="70"/>
      <c r="D268" s="87" t="s">
        <v>401</v>
      </c>
      <c r="E268" s="71" t="s">
        <v>253</v>
      </c>
      <c r="F268" s="71" t="s">
        <v>302</v>
      </c>
      <c r="G268" s="72">
        <v>5000</v>
      </c>
    </row>
    <row r="269" spans="1:7" x14ac:dyDescent="0.25">
      <c r="A269" s="271"/>
      <c r="B269" s="69" t="s">
        <v>617</v>
      </c>
      <c r="C269" s="70"/>
      <c r="D269" s="87" t="s">
        <v>401</v>
      </c>
      <c r="E269" s="71" t="s">
        <v>23</v>
      </c>
      <c r="F269" s="71" t="s">
        <v>302</v>
      </c>
      <c r="G269" s="71">
        <v>700</v>
      </c>
    </row>
    <row r="270" spans="1:7" x14ac:dyDescent="0.25">
      <c r="A270" s="271"/>
      <c r="B270" s="69" t="s">
        <v>618</v>
      </c>
      <c r="C270" s="70"/>
      <c r="D270" s="87" t="s">
        <v>401</v>
      </c>
      <c r="E270" s="71" t="s">
        <v>253</v>
      </c>
      <c r="F270" s="71" t="s">
        <v>302</v>
      </c>
      <c r="G270" s="72">
        <v>2100</v>
      </c>
    </row>
    <row r="271" spans="1:7" x14ac:dyDescent="0.25">
      <c r="A271" s="271"/>
      <c r="B271" s="69" t="s">
        <v>256</v>
      </c>
      <c r="C271" s="70"/>
      <c r="D271" s="87" t="s">
        <v>401</v>
      </c>
      <c r="E271" s="71" t="s">
        <v>253</v>
      </c>
      <c r="F271" s="71" t="s">
        <v>302</v>
      </c>
      <c r="G271" s="71">
        <v>1</v>
      </c>
    </row>
    <row r="272" spans="1:7" s="98" customFormat="1" x14ac:dyDescent="0.25">
      <c r="A272" s="271"/>
      <c r="B272" s="69" t="s">
        <v>266</v>
      </c>
      <c r="C272" s="70"/>
      <c r="D272" s="87" t="s">
        <v>401</v>
      </c>
      <c r="E272" s="71" t="s">
        <v>110</v>
      </c>
      <c r="F272" s="71" t="s">
        <v>302</v>
      </c>
      <c r="G272" s="71">
        <v>1.0900000000000001</v>
      </c>
    </row>
    <row r="273" spans="1:7" x14ac:dyDescent="0.25">
      <c r="A273" s="271"/>
      <c r="B273" s="69" t="s">
        <v>619</v>
      </c>
      <c r="C273" s="70"/>
      <c r="D273" s="87" t="s">
        <v>401</v>
      </c>
      <c r="E273" s="71" t="s">
        <v>110</v>
      </c>
      <c r="F273" s="71" t="s">
        <v>302</v>
      </c>
      <c r="G273" s="71">
        <v>7.81</v>
      </c>
    </row>
    <row r="274" spans="1:7" x14ac:dyDescent="0.25">
      <c r="A274" s="271"/>
      <c r="B274" s="69" t="s">
        <v>620</v>
      </c>
      <c r="C274" s="70"/>
      <c r="D274" s="87" t="s">
        <v>401</v>
      </c>
      <c r="E274" s="71" t="s">
        <v>45</v>
      </c>
      <c r="F274" s="71" t="s">
        <v>302</v>
      </c>
      <c r="G274" s="71">
        <v>195</v>
      </c>
    </row>
    <row r="275" spans="1:7" x14ac:dyDescent="0.25">
      <c r="A275" s="271"/>
      <c r="B275" s="69" t="s">
        <v>621</v>
      </c>
      <c r="C275" s="70" t="s">
        <v>389</v>
      </c>
      <c r="D275" s="87" t="s">
        <v>401</v>
      </c>
      <c r="E275" s="71" t="s">
        <v>23</v>
      </c>
      <c r="F275" s="71" t="s">
        <v>302</v>
      </c>
      <c r="G275" s="71">
        <v>145</v>
      </c>
    </row>
    <row r="276" spans="1:7" x14ac:dyDescent="0.25">
      <c r="A276" s="271"/>
      <c r="B276" s="69" t="s">
        <v>241</v>
      </c>
      <c r="C276" s="70"/>
      <c r="D276" s="87" t="s">
        <v>401</v>
      </c>
      <c r="E276" s="71" t="s">
        <v>45</v>
      </c>
      <c r="F276" s="71" t="s">
        <v>302</v>
      </c>
      <c r="G276" s="71">
        <v>30</v>
      </c>
    </row>
    <row r="277" spans="1:7" x14ac:dyDescent="0.25">
      <c r="A277" s="271"/>
      <c r="B277" s="69" t="s">
        <v>622</v>
      </c>
      <c r="C277" s="70"/>
      <c r="D277" s="87" t="s">
        <v>401</v>
      </c>
      <c r="E277" s="71" t="s">
        <v>110</v>
      </c>
      <c r="F277" s="71" t="s">
        <v>302</v>
      </c>
      <c r="G277" s="71">
        <v>5.56</v>
      </c>
    </row>
    <row r="278" spans="1:7" x14ac:dyDescent="0.25">
      <c r="A278" s="271"/>
      <c r="B278" s="69" t="s">
        <v>623</v>
      </c>
      <c r="C278" s="70"/>
      <c r="D278" s="87" t="s">
        <v>401</v>
      </c>
      <c r="E278" s="71" t="s">
        <v>110</v>
      </c>
      <c r="F278" s="71" t="s">
        <v>302</v>
      </c>
      <c r="G278" s="71">
        <v>4.8899999999999997</v>
      </c>
    </row>
    <row r="279" spans="1:7" x14ac:dyDescent="0.25">
      <c r="A279" s="271"/>
      <c r="B279" s="69" t="s">
        <v>624</v>
      </c>
      <c r="C279" s="70"/>
      <c r="D279" s="87" t="s">
        <v>401</v>
      </c>
      <c r="E279" s="71" t="s">
        <v>110</v>
      </c>
      <c r="F279" s="71" t="s">
        <v>302</v>
      </c>
      <c r="G279" s="71">
        <v>6.67</v>
      </c>
    </row>
    <row r="280" spans="1:7" x14ac:dyDescent="0.25">
      <c r="A280" s="271"/>
      <c r="B280" s="69" t="s">
        <v>109</v>
      </c>
      <c r="C280" s="70" t="s">
        <v>219</v>
      </c>
      <c r="D280" s="87" t="s">
        <v>401</v>
      </c>
      <c r="E280" s="71" t="s">
        <v>110</v>
      </c>
      <c r="F280" s="71" t="s">
        <v>302</v>
      </c>
      <c r="G280" s="71">
        <v>9.5399999999999991</v>
      </c>
    </row>
    <row r="281" spans="1:7" x14ac:dyDescent="0.25">
      <c r="A281" s="271"/>
      <c r="B281" s="69" t="s">
        <v>625</v>
      </c>
      <c r="C281" s="70"/>
      <c r="D281" s="87" t="s">
        <v>401</v>
      </c>
      <c r="E281" s="71" t="s">
        <v>110</v>
      </c>
      <c r="F281" s="71" t="s">
        <v>302</v>
      </c>
      <c r="G281" s="71">
        <v>4.2699999999999996</v>
      </c>
    </row>
    <row r="282" spans="1:7" x14ac:dyDescent="0.25">
      <c r="A282" s="271"/>
      <c r="B282" s="69" t="s">
        <v>626</v>
      </c>
      <c r="C282" s="70"/>
      <c r="D282" s="87" t="s">
        <v>401</v>
      </c>
      <c r="E282" s="71" t="s">
        <v>110</v>
      </c>
      <c r="F282" s="71" t="s">
        <v>302</v>
      </c>
      <c r="G282" s="71">
        <v>4.54</v>
      </c>
    </row>
    <row r="283" spans="1:7" x14ac:dyDescent="0.25">
      <c r="A283" s="271"/>
      <c r="B283" s="69" t="s">
        <v>627</v>
      </c>
      <c r="C283" s="70"/>
      <c r="D283" s="87" t="s">
        <v>401</v>
      </c>
      <c r="E283" s="71" t="s">
        <v>110</v>
      </c>
      <c r="F283" s="71" t="s">
        <v>302</v>
      </c>
      <c r="G283" s="71">
        <v>4.37</v>
      </c>
    </row>
    <row r="284" spans="1:7" x14ac:dyDescent="0.25">
      <c r="A284" s="271"/>
      <c r="B284" s="69" t="s">
        <v>222</v>
      </c>
      <c r="C284" s="70"/>
      <c r="D284" s="87" t="s">
        <v>401</v>
      </c>
      <c r="E284" s="71" t="s">
        <v>110</v>
      </c>
      <c r="F284" s="71" t="s">
        <v>302</v>
      </c>
      <c r="G284" s="71">
        <v>7.98</v>
      </c>
    </row>
    <row r="285" spans="1:7" x14ac:dyDescent="0.25">
      <c r="A285" s="271"/>
      <c r="B285" s="69" t="s">
        <v>628</v>
      </c>
      <c r="C285" s="70" t="s">
        <v>390</v>
      </c>
      <c r="D285" s="87" t="s">
        <v>401</v>
      </c>
      <c r="E285" s="71" t="s">
        <v>45</v>
      </c>
      <c r="F285" s="71" t="s">
        <v>302</v>
      </c>
      <c r="G285" s="71">
        <v>66</v>
      </c>
    </row>
    <row r="286" spans="1:7" x14ac:dyDescent="0.25">
      <c r="A286" s="271"/>
      <c r="B286" s="69" t="s">
        <v>135</v>
      </c>
      <c r="C286" s="70"/>
      <c r="D286" s="87" t="s">
        <v>401</v>
      </c>
      <c r="E286" s="71" t="s">
        <v>26</v>
      </c>
      <c r="F286" s="71" t="s">
        <v>302</v>
      </c>
      <c r="G286" s="71">
        <v>135</v>
      </c>
    </row>
    <row r="287" spans="1:7" x14ac:dyDescent="0.25">
      <c r="A287" s="271"/>
      <c r="B287" s="69" t="s">
        <v>629</v>
      </c>
      <c r="C287" s="70"/>
      <c r="D287" s="87" t="s">
        <v>401</v>
      </c>
      <c r="E287" s="71" t="s">
        <v>17</v>
      </c>
      <c r="F287" s="71" t="s">
        <v>302</v>
      </c>
      <c r="G287" s="71">
        <v>1</v>
      </c>
    </row>
    <row r="288" spans="1:7" x14ac:dyDescent="0.25">
      <c r="A288" s="271"/>
      <c r="B288" s="69" t="s">
        <v>630</v>
      </c>
      <c r="C288" s="70"/>
      <c r="D288" s="87" t="s">
        <v>401</v>
      </c>
      <c r="E288" s="71" t="s">
        <v>253</v>
      </c>
      <c r="F288" s="71" t="s">
        <v>302</v>
      </c>
      <c r="G288" s="72">
        <v>1650</v>
      </c>
    </row>
    <row r="289" spans="1:7" x14ac:dyDescent="0.25">
      <c r="A289" s="271"/>
      <c r="B289" s="69" t="s">
        <v>631</v>
      </c>
      <c r="C289" s="70"/>
      <c r="D289" s="87" t="s">
        <v>401</v>
      </c>
      <c r="E289" s="71" t="s">
        <v>54</v>
      </c>
      <c r="F289" s="71" t="s">
        <v>302</v>
      </c>
      <c r="G289" s="72">
        <v>2200</v>
      </c>
    </row>
    <row r="290" spans="1:7" x14ac:dyDescent="0.25">
      <c r="A290" s="271"/>
      <c r="B290" s="69" t="s">
        <v>632</v>
      </c>
      <c r="C290" s="70"/>
      <c r="D290" s="87" t="s">
        <v>401</v>
      </c>
      <c r="E290" s="71" t="s">
        <v>110</v>
      </c>
      <c r="F290" s="71" t="s">
        <v>302</v>
      </c>
      <c r="G290" s="71">
        <v>75</v>
      </c>
    </row>
    <row r="291" spans="1:7" x14ac:dyDescent="0.25">
      <c r="A291" s="271"/>
      <c r="B291" s="69" t="s">
        <v>87</v>
      </c>
      <c r="C291" s="70"/>
      <c r="D291" s="87" t="s">
        <v>401</v>
      </c>
      <c r="E291" s="71" t="s">
        <v>23</v>
      </c>
      <c r="F291" s="71" t="s">
        <v>302</v>
      </c>
      <c r="G291" s="71">
        <v>143</v>
      </c>
    </row>
    <row r="292" spans="1:7" x14ac:dyDescent="0.25">
      <c r="A292" s="271"/>
      <c r="B292" s="69" t="s">
        <v>633</v>
      </c>
      <c r="C292" s="70"/>
      <c r="D292" s="87" t="s">
        <v>401</v>
      </c>
      <c r="E292" s="71" t="s">
        <v>23</v>
      </c>
      <c r="F292" s="71" t="s">
        <v>302</v>
      </c>
      <c r="G292" s="71">
        <v>45</v>
      </c>
    </row>
    <row r="293" spans="1:7" x14ac:dyDescent="0.25">
      <c r="A293" s="271"/>
      <c r="B293" s="69" t="s">
        <v>634</v>
      </c>
      <c r="C293" s="70"/>
      <c r="D293" s="87" t="s">
        <v>401</v>
      </c>
      <c r="E293" s="71" t="s">
        <v>45</v>
      </c>
      <c r="F293" s="71" t="s">
        <v>302</v>
      </c>
      <c r="G293" s="71">
        <v>8</v>
      </c>
    </row>
    <row r="294" spans="1:7" x14ac:dyDescent="0.25">
      <c r="A294" s="271"/>
      <c r="B294" s="69" t="s">
        <v>53</v>
      </c>
      <c r="C294" s="70" t="s">
        <v>391</v>
      </c>
      <c r="D294" s="87" t="s">
        <v>401</v>
      </c>
      <c r="E294" s="71" t="s">
        <v>54</v>
      </c>
      <c r="F294" s="71" t="s">
        <v>302</v>
      </c>
      <c r="G294" s="71">
        <v>25</v>
      </c>
    </row>
    <row r="295" spans="1:7" x14ac:dyDescent="0.25">
      <c r="A295" s="271"/>
      <c r="B295" s="69" t="s">
        <v>635</v>
      </c>
      <c r="C295" s="70" t="s">
        <v>392</v>
      </c>
      <c r="D295" s="87" t="s">
        <v>401</v>
      </c>
      <c r="E295" s="71" t="s">
        <v>26</v>
      </c>
      <c r="F295" s="71" t="s">
        <v>302</v>
      </c>
      <c r="G295" s="71">
        <v>102.16</v>
      </c>
    </row>
    <row r="296" spans="1:7" x14ac:dyDescent="0.25">
      <c r="A296" s="271"/>
      <c r="B296" s="69" t="s">
        <v>636</v>
      </c>
      <c r="C296" s="70"/>
      <c r="D296" s="87" t="s">
        <v>401</v>
      </c>
      <c r="E296" s="71" t="s">
        <v>26</v>
      </c>
      <c r="F296" s="71" t="s">
        <v>302</v>
      </c>
      <c r="G296" s="71">
        <v>25</v>
      </c>
    </row>
    <row r="297" spans="1:7" x14ac:dyDescent="0.25">
      <c r="A297" s="271"/>
      <c r="B297" s="69" t="s">
        <v>637</v>
      </c>
      <c r="C297" s="70"/>
      <c r="D297" s="87" t="s">
        <v>401</v>
      </c>
      <c r="E297" s="71" t="s">
        <v>110</v>
      </c>
      <c r="F297" s="71" t="s">
        <v>302</v>
      </c>
      <c r="G297" s="71">
        <v>7</v>
      </c>
    </row>
    <row r="298" spans="1:7" x14ac:dyDescent="0.25">
      <c r="A298" s="271"/>
      <c r="B298" s="69" t="s">
        <v>638</v>
      </c>
      <c r="C298" s="70" t="s">
        <v>393</v>
      </c>
      <c r="D298" s="87" t="s">
        <v>401</v>
      </c>
      <c r="E298" s="71" t="s">
        <v>253</v>
      </c>
      <c r="F298" s="71" t="s">
        <v>302</v>
      </c>
      <c r="G298" s="71">
        <v>1</v>
      </c>
    </row>
    <row r="299" spans="1:7" x14ac:dyDescent="0.25">
      <c r="A299" s="271"/>
      <c r="B299" s="69" t="s">
        <v>639</v>
      </c>
      <c r="C299" s="70"/>
      <c r="D299" s="87" t="s">
        <v>401</v>
      </c>
      <c r="E299" s="71" t="s">
        <v>17</v>
      </c>
      <c r="F299" s="71" t="s">
        <v>302</v>
      </c>
      <c r="G299" s="71">
        <v>1</v>
      </c>
    </row>
    <row r="300" spans="1:7" x14ac:dyDescent="0.25">
      <c r="A300" s="271"/>
      <c r="B300" s="69" t="s">
        <v>640</v>
      </c>
      <c r="C300" s="70"/>
      <c r="D300" s="87" t="s">
        <v>401</v>
      </c>
      <c r="E300" s="71" t="s">
        <v>54</v>
      </c>
      <c r="F300" s="71" t="s">
        <v>302</v>
      </c>
      <c r="G300" s="71">
        <v>275.7</v>
      </c>
    </row>
    <row r="301" spans="1:7" x14ac:dyDescent="0.25">
      <c r="A301" s="271"/>
      <c r="B301" s="73" t="s">
        <v>225</v>
      </c>
      <c r="C301" s="74"/>
      <c r="D301" s="88" t="s">
        <v>401</v>
      </c>
      <c r="E301" s="75" t="s">
        <v>110</v>
      </c>
      <c r="F301" s="75" t="s">
        <v>302</v>
      </c>
      <c r="G301" s="75">
        <v>1</v>
      </c>
    </row>
    <row r="303" spans="1:7" x14ac:dyDescent="0.25">
      <c r="C303" s="17" t="s">
        <v>660</v>
      </c>
      <c r="D303" s="89">
        <v>2.2200000000000002</v>
      </c>
    </row>
    <row r="304" spans="1:7" x14ac:dyDescent="0.25">
      <c r="C304" s="20" t="s">
        <v>662</v>
      </c>
      <c r="D304" s="131">
        <v>0.08</v>
      </c>
    </row>
    <row r="305" spans="3:4" x14ac:dyDescent="0.25">
      <c r="C305" s="20" t="s">
        <v>661</v>
      </c>
      <c r="D305" s="131">
        <v>0.1</v>
      </c>
    </row>
    <row r="306" spans="3:4" x14ac:dyDescent="0.25">
      <c r="C306" s="129" t="s">
        <v>663</v>
      </c>
      <c r="D306" s="130">
        <f>SUM(D303:D305)</f>
        <v>2.4000000000000004</v>
      </c>
    </row>
  </sheetData>
  <mergeCells count="4">
    <mergeCell ref="A2:A17"/>
    <mergeCell ref="A18:A177"/>
    <mergeCell ref="A178:A230"/>
    <mergeCell ref="A231:A30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4183-5843-4E88-905C-3A81F3CC10EE}">
  <dimension ref="A1:G834"/>
  <sheetViews>
    <sheetView topLeftCell="A301" workbookViewId="0"/>
  </sheetViews>
  <sheetFormatPr defaultRowHeight="15" x14ac:dyDescent="0.25"/>
  <cols>
    <col min="1" max="1" width="12.42578125" style="160" customWidth="1"/>
    <col min="2" max="2" width="65.140625" style="161" customWidth="1"/>
    <col min="3" max="3" width="8.7109375" style="162"/>
    <col min="4" max="4" width="11.5703125" style="270" bestFit="1" customWidth="1"/>
    <col min="5" max="5" width="11.85546875" style="162" bestFit="1" customWidth="1"/>
  </cols>
  <sheetData>
    <row r="1" spans="1:7" s="25" customFormat="1" ht="30" x14ac:dyDescent="0.25">
      <c r="A1" s="166" t="s">
        <v>257</v>
      </c>
      <c r="B1" s="76" t="s">
        <v>701</v>
      </c>
      <c r="C1" s="76" t="s">
        <v>675</v>
      </c>
      <c r="D1" s="267" t="s">
        <v>700</v>
      </c>
      <c r="E1" s="76" t="s">
        <v>674</v>
      </c>
    </row>
    <row r="2" spans="1:7" s="98" customFormat="1" x14ac:dyDescent="0.25">
      <c r="A2" s="167">
        <v>5</v>
      </c>
      <c r="B2" s="168" t="str">
        <f>VLOOKUP(A2,Estimate!A:C,3,FALSE)</f>
        <v>NICOL ST - PROSERPINE</v>
      </c>
      <c r="C2" s="169"/>
      <c r="D2" s="268"/>
      <c r="E2" s="169"/>
    </row>
    <row r="3" spans="1:7" x14ac:dyDescent="0.25">
      <c r="A3" s="167">
        <v>6</v>
      </c>
      <c r="B3" s="168" t="str">
        <f>VLOOKUP(A3,Estimate!A:C,3,FALSE)</f>
        <v>Quality System Documents &amp; Records</v>
      </c>
      <c r="C3" s="169" t="s">
        <v>710</v>
      </c>
      <c r="D3" s="269">
        <v>1</v>
      </c>
      <c r="E3" s="169" t="str">
        <f>VLOOKUP(A3,Estimate!A:D,4,FALSE)</f>
        <v xml:space="preserve">LS   </v>
      </c>
    </row>
    <row r="4" spans="1:7" x14ac:dyDescent="0.25">
      <c r="A4" s="167">
        <v>7</v>
      </c>
      <c r="B4" s="168" t="str">
        <f>VLOOKUP(A4,Estimate!A:C,3,FALSE)</f>
        <v>Quality Verification &amp; Control</v>
      </c>
      <c r="C4" s="169" t="s">
        <v>710</v>
      </c>
      <c r="D4" s="269">
        <v>1</v>
      </c>
      <c r="E4" s="169" t="str">
        <f>VLOOKUP(A4,Estimate!A:D,4,FALSE)</f>
        <v xml:space="preserve">LS   </v>
      </c>
      <c r="G4" s="98"/>
    </row>
    <row r="5" spans="1:7" x14ac:dyDescent="0.25">
      <c r="A5" s="167">
        <v>8</v>
      </c>
      <c r="B5" s="168" t="str">
        <f>VLOOKUP(A5,Estimate!A:C,3,FALSE)</f>
        <v>Site Establishment &amp; Disestablishment</v>
      </c>
      <c r="C5" s="169" t="s">
        <v>710</v>
      </c>
      <c r="D5" s="269">
        <v>1</v>
      </c>
      <c r="E5" s="169" t="str">
        <f>VLOOKUP(A5,Estimate!A:D,4,FALSE)</f>
        <v xml:space="preserve">LS   </v>
      </c>
      <c r="G5" s="98"/>
    </row>
    <row r="6" spans="1:7" x14ac:dyDescent="0.25">
      <c r="A6" s="167">
        <v>9</v>
      </c>
      <c r="B6" s="168" t="str">
        <f>VLOOKUP(A6,Estimate!A:C,3,FALSE)</f>
        <v>Preparation of Environmrntal Management Plan</v>
      </c>
      <c r="C6" s="169" t="s">
        <v>710</v>
      </c>
      <c r="D6" s="269">
        <v>1</v>
      </c>
      <c r="E6" s="169" t="str">
        <f>VLOOKUP(A6,Estimate!A:D,4,FALSE)</f>
        <v xml:space="preserve">LS   </v>
      </c>
      <c r="G6" s="98"/>
    </row>
    <row r="7" spans="1:7" x14ac:dyDescent="0.25">
      <c r="A7" s="167">
        <v>10</v>
      </c>
      <c r="B7" s="168" t="str">
        <f>VLOOKUP(A7,Estimate!A:C,3,FALSE)</f>
        <v>Control of Traffic</v>
      </c>
      <c r="C7" s="169" t="s">
        <v>710</v>
      </c>
      <c r="D7" s="269">
        <v>1</v>
      </c>
      <c r="E7" s="169" t="str">
        <f>VLOOKUP(A7,Estimate!A:D,4,FALSE)</f>
        <v xml:space="preserve">LS   </v>
      </c>
      <c r="G7" s="98"/>
    </row>
    <row r="8" spans="1:7" x14ac:dyDescent="0.25">
      <c r="A8" s="167">
        <v>10.1</v>
      </c>
      <c r="B8" s="168" t="str">
        <f>VLOOKUP(A8,Estimate!A:C,3,FALSE)</f>
        <v>Traffic Controller</v>
      </c>
      <c r="C8" s="169" t="s">
        <v>400</v>
      </c>
      <c r="D8" s="269">
        <v>0.11</v>
      </c>
      <c r="E8" s="169" t="str">
        <f>VLOOKUP(A8,Estimate!A:D,4,FALSE)</f>
        <v xml:space="preserve">hr   </v>
      </c>
      <c r="G8" s="98"/>
    </row>
    <row r="9" spans="1:7" x14ac:dyDescent="0.25">
      <c r="A9" s="167">
        <v>11</v>
      </c>
      <c r="B9" s="168" t="str">
        <f>VLOOKUP(A9,Estimate!A:C,3,FALSE)</f>
        <v>Provision of Temporary Roadways, Sidetracks &amp; Detours</v>
      </c>
      <c r="C9" s="169" t="s">
        <v>710</v>
      </c>
      <c r="D9" s="269">
        <v>1</v>
      </c>
      <c r="E9" s="169" t="str">
        <f>VLOOKUP(A9,Estimate!A:D,4,FALSE)</f>
        <v xml:space="preserve">LS   </v>
      </c>
      <c r="G9" s="98"/>
    </row>
    <row r="10" spans="1:7" x14ac:dyDescent="0.25">
      <c r="A10" s="167">
        <v>12</v>
      </c>
      <c r="B10" s="168" t="str">
        <f>VLOOKUP(A10,Estimate!A:C,3,FALSE)</f>
        <v>Temporary Erosion &amp; Sedimentation Control</v>
      </c>
      <c r="C10" s="169" t="s">
        <v>710</v>
      </c>
      <c r="D10" s="269">
        <v>1</v>
      </c>
      <c r="E10" s="169" t="str">
        <f>VLOOKUP(A10,Estimate!A:D,4,FALSE)</f>
        <v xml:space="preserve">LS   </v>
      </c>
      <c r="G10" s="98"/>
    </row>
    <row r="11" spans="1:7" x14ac:dyDescent="0.25">
      <c r="A11" s="167">
        <v>12.1</v>
      </c>
      <c r="B11" s="168" t="str">
        <f>VLOOKUP(A11,Estimate!A:C,3,FALSE)</f>
        <v>Silt Fence</v>
      </c>
      <c r="C11" s="169" t="s">
        <v>710</v>
      </c>
      <c r="D11" s="269">
        <v>500</v>
      </c>
      <c r="E11" s="169" t="str">
        <f>VLOOKUP(A11,Estimate!A:D,4,FALSE)</f>
        <v xml:space="preserve">m    </v>
      </c>
      <c r="G11" s="98"/>
    </row>
    <row r="12" spans="1:7" x14ac:dyDescent="0.25">
      <c r="A12" s="167">
        <v>12.2</v>
      </c>
      <c r="B12" s="168" t="str">
        <f>VLOOKUP(A12,Estimate!A:C,3,FALSE)</f>
        <v>Labour</v>
      </c>
      <c r="C12" s="169" t="s">
        <v>710</v>
      </c>
      <c r="D12" s="269">
        <v>50</v>
      </c>
      <c r="E12" s="169" t="str">
        <f>VLOOKUP(A12,Estimate!A:D,4,FALSE)</f>
        <v xml:space="preserve">hr   </v>
      </c>
      <c r="G12" s="98"/>
    </row>
    <row r="13" spans="1:7" x14ac:dyDescent="0.25">
      <c r="A13" s="167">
        <v>13</v>
      </c>
      <c r="B13" s="168" t="str">
        <f>VLOOKUP(A13,Estimate!A:C,3,FALSE)</f>
        <v>Clearing &amp; Grubbing</v>
      </c>
      <c r="C13" s="169" t="s">
        <v>710</v>
      </c>
      <c r="D13" s="269">
        <v>1</v>
      </c>
      <c r="E13" s="169" t="str">
        <f>VLOOKUP(A13,Estimate!A:D,4,FALSE)</f>
        <v xml:space="preserve">LS   </v>
      </c>
      <c r="G13" s="98"/>
    </row>
    <row r="14" spans="1:7" x14ac:dyDescent="0.25">
      <c r="A14" s="167">
        <v>13.1</v>
      </c>
      <c r="B14" s="168" t="str">
        <f>VLOOKUP(A14,Estimate!A:C,3,FALSE)</f>
        <v>Excavator - 25T</v>
      </c>
      <c r="C14" s="169" t="s">
        <v>400</v>
      </c>
      <c r="D14" s="269">
        <v>0.06</v>
      </c>
      <c r="E14" s="169" t="str">
        <f>VLOOKUP(A14,Estimate!A:D,4,FALSE)</f>
        <v xml:space="preserve">hr   </v>
      </c>
      <c r="G14" s="98"/>
    </row>
    <row r="15" spans="1:7" x14ac:dyDescent="0.25">
      <c r="A15" s="167">
        <v>14</v>
      </c>
      <c r="B15" s="168" t="str">
        <f>VLOOKUP(A15,Estimate!A:C,3,FALSE)</f>
        <v>Removal &amp; Stockpiling of Topsoil for Re-use</v>
      </c>
      <c r="C15" s="169" t="s">
        <v>710</v>
      </c>
      <c r="D15" s="269">
        <v>20</v>
      </c>
      <c r="E15" s="169" t="str">
        <f>VLOOKUP(A15,Estimate!A:D,4,FALSE)</f>
        <v xml:space="preserve">cum  </v>
      </c>
      <c r="G15" s="98"/>
    </row>
    <row r="16" spans="1:7" x14ac:dyDescent="0.25">
      <c r="A16" s="167">
        <v>14.1</v>
      </c>
      <c r="B16" s="168" t="str">
        <f>VLOOKUP(A16,Estimate!A:C,3,FALSE)</f>
        <v>Excavator - 25T</v>
      </c>
      <c r="C16" s="169" t="s">
        <v>400</v>
      </c>
      <c r="D16" s="269">
        <v>20</v>
      </c>
      <c r="E16" s="169" t="str">
        <f>VLOOKUP(A16,Estimate!A:D,4,FALSE)</f>
        <v xml:space="preserve">hr   </v>
      </c>
      <c r="G16" s="98"/>
    </row>
    <row r="17" spans="1:7" x14ac:dyDescent="0.25">
      <c r="A17" s="167">
        <v>15</v>
      </c>
      <c r="B17" s="168" t="str">
        <f>VLOOKUP(A17,Estimate!A:C,3,FALSE)</f>
        <v>General Earthworks (Cut)</v>
      </c>
      <c r="C17" s="169" t="s">
        <v>710</v>
      </c>
      <c r="D17" s="269">
        <v>1045</v>
      </c>
      <c r="E17" s="169" t="str">
        <f>VLOOKUP(A17,Estimate!A:D,4,FALSE)</f>
        <v xml:space="preserve">cum  </v>
      </c>
      <c r="G17" s="98"/>
    </row>
    <row r="18" spans="1:7" x14ac:dyDescent="0.25">
      <c r="A18" s="167">
        <v>15.1</v>
      </c>
      <c r="B18" s="168" t="str">
        <f>VLOOKUP(A18,Estimate!A:C,3,FALSE)</f>
        <v>Excavator - 25T</v>
      </c>
      <c r="C18" s="169" t="s">
        <v>400</v>
      </c>
      <c r="D18" s="269">
        <v>43.54</v>
      </c>
      <c r="E18" s="169" t="str">
        <f>VLOOKUP(A18,Estimate!A:D,4,FALSE)</f>
        <v xml:space="preserve">hr   </v>
      </c>
      <c r="G18" s="98"/>
    </row>
    <row r="19" spans="1:7" ht="30" x14ac:dyDescent="0.25">
      <c r="A19" s="167">
        <v>16</v>
      </c>
      <c r="B19" s="168" t="str">
        <f>VLOOKUP(A19,Estimate!A:C,3,FALSE)</f>
        <v>Replace unsuitable material below subgrade with select material complete (Provisional)</v>
      </c>
      <c r="C19" s="169" t="s">
        <v>710</v>
      </c>
      <c r="D19" s="269">
        <v>10</v>
      </c>
      <c r="E19" s="169" t="str">
        <f>VLOOKUP(A19,Estimate!A:D,4,FALSE)</f>
        <v xml:space="preserve">cum  </v>
      </c>
      <c r="G19" s="98"/>
    </row>
    <row r="20" spans="1:7" x14ac:dyDescent="0.25">
      <c r="A20" s="167">
        <v>17.100000000000001</v>
      </c>
      <c r="B20" s="168" t="str">
        <f>VLOOKUP(A20,Estimate!A:C,3,FALSE)</f>
        <v>Excavator - 25T</v>
      </c>
      <c r="C20" s="169" t="s">
        <v>400</v>
      </c>
      <c r="D20" s="269">
        <v>10</v>
      </c>
      <c r="E20" s="169" t="str">
        <f>VLOOKUP(A20,Estimate!A:D,4,FALSE)</f>
        <v xml:space="preserve">hr   </v>
      </c>
      <c r="G20" s="98"/>
    </row>
    <row r="21" spans="1:7" x14ac:dyDescent="0.25">
      <c r="A21" s="167">
        <v>17.2</v>
      </c>
      <c r="B21" s="168" t="str">
        <f>VLOOKUP(A21,Estimate!A:C,3,FALSE)</f>
        <v>Grader</v>
      </c>
      <c r="C21" s="169" t="s">
        <v>400</v>
      </c>
      <c r="D21" s="269">
        <v>33.33</v>
      </c>
      <c r="E21" s="169" t="str">
        <f>VLOOKUP(A21,Estimate!A:D,4,FALSE)</f>
        <v xml:space="preserve">hr   </v>
      </c>
      <c r="G21" s="98"/>
    </row>
    <row r="22" spans="1:7" x14ac:dyDescent="0.25">
      <c r="A22" s="167">
        <v>18</v>
      </c>
      <c r="B22" s="168" t="str">
        <f>VLOOKUP(A22,Estimate!A:C,3,FALSE)</f>
        <v>Alteration to Exisiting Stormwater Structures</v>
      </c>
      <c r="C22" s="169" t="s">
        <v>710</v>
      </c>
      <c r="D22" s="269">
        <v>1</v>
      </c>
      <c r="E22" s="169" t="str">
        <f>VLOOKUP(A22,Estimate!A:D,4,FALSE)</f>
        <v xml:space="preserve">LS   </v>
      </c>
      <c r="G22" s="98"/>
    </row>
    <row r="23" spans="1:7" x14ac:dyDescent="0.25">
      <c r="A23" s="167">
        <v>18.100000000000001</v>
      </c>
      <c r="B23" s="168" t="str">
        <f>VLOOKUP(A23,Estimate!A:C,3,FALSE)</f>
        <v>Labour</v>
      </c>
      <c r="C23" s="169" t="s">
        <v>398</v>
      </c>
      <c r="D23" s="269">
        <v>0.5</v>
      </c>
      <c r="E23" s="169" t="str">
        <f>VLOOKUP(A23,Estimate!A:D,4,FALSE)</f>
        <v xml:space="preserve">hr   </v>
      </c>
      <c r="G23" s="98"/>
    </row>
    <row r="24" spans="1:7" x14ac:dyDescent="0.25">
      <c r="A24" s="167">
        <v>19</v>
      </c>
      <c r="B24" s="168" t="str">
        <f>VLOOKUP(A24,Estimate!A:C,3,FALSE)</f>
        <v>Concrete Barrier Kerb (B1)</v>
      </c>
      <c r="C24" s="169" t="s">
        <v>710</v>
      </c>
      <c r="D24" s="269">
        <v>308</v>
      </c>
      <c r="E24" s="169" t="str">
        <f>VLOOKUP(A24,Estimate!A:D,4,FALSE)</f>
        <v xml:space="preserve">m    </v>
      </c>
      <c r="G24" s="98"/>
    </row>
    <row r="25" spans="1:7" x14ac:dyDescent="0.25">
      <c r="A25" s="167">
        <v>20</v>
      </c>
      <c r="B25" s="168" t="str">
        <f>VLOOKUP(A25,Estimate!A:C,3,FALSE)</f>
        <v>100mm slotted corrugated lastic pipe</v>
      </c>
      <c r="C25" s="169" t="s">
        <v>710</v>
      </c>
      <c r="D25" s="269">
        <v>260</v>
      </c>
      <c r="E25" s="169" t="str">
        <f>VLOOKUP(A25,Estimate!A:D,4,FALSE)</f>
        <v xml:space="preserve">m    </v>
      </c>
      <c r="G25" s="98"/>
    </row>
    <row r="26" spans="1:7" x14ac:dyDescent="0.25">
      <c r="A26" s="167">
        <v>20.100000000000001</v>
      </c>
      <c r="B26" s="168" t="str">
        <f>VLOOKUP(A26,Estimate!A:C,3,FALSE)</f>
        <v>Excavator - 25T</v>
      </c>
      <c r="C26" s="169" t="s">
        <v>400</v>
      </c>
      <c r="D26" s="269">
        <v>11.11</v>
      </c>
      <c r="E26" s="169" t="str">
        <f>VLOOKUP(A26,Estimate!A:D,4,FALSE)</f>
        <v xml:space="preserve">hr   </v>
      </c>
      <c r="G26" s="98"/>
    </row>
    <row r="27" spans="1:7" s="98" customFormat="1" x14ac:dyDescent="0.25">
      <c r="A27" s="167">
        <v>20.2</v>
      </c>
      <c r="B27" s="168" t="str">
        <f>VLOOKUP(A27,Estimate!A:C,3,FALSE)</f>
        <v>Cleanout Structures</v>
      </c>
      <c r="C27" s="169" t="s">
        <v>710</v>
      </c>
      <c r="D27" s="269">
        <v>6</v>
      </c>
      <c r="E27" s="169" t="str">
        <f>VLOOKUP(A27,Estimate!A:D,4,FALSE)</f>
        <v xml:space="preserve">ea   </v>
      </c>
    </row>
    <row r="28" spans="1:7" x14ac:dyDescent="0.25">
      <c r="A28" s="167">
        <v>21</v>
      </c>
      <c r="B28" s="168" t="str">
        <f>VLOOKUP(A28,Estimate!A:C,3,FALSE)</f>
        <v>Supply stabilising Agent</v>
      </c>
      <c r="C28" s="169" t="s">
        <v>710</v>
      </c>
      <c r="D28" s="269">
        <v>34</v>
      </c>
      <c r="E28" s="169" t="str">
        <f>VLOOKUP(A28,Estimate!A:D,4,FALSE)</f>
        <v>tonne</v>
      </c>
      <c r="G28" s="98"/>
    </row>
    <row r="29" spans="1:7" x14ac:dyDescent="0.25">
      <c r="A29" s="167">
        <v>22</v>
      </c>
      <c r="B29" s="168" t="str">
        <f>VLOOKUP(A29,Estimate!A:C,3,FALSE)</f>
        <v>Mixing &amp; Spreading of stabilising agent</v>
      </c>
      <c r="C29" s="169" t="s">
        <v>710</v>
      </c>
      <c r="D29" s="269">
        <v>1893</v>
      </c>
      <c r="E29" s="169" t="str">
        <f>VLOOKUP(A29,Estimate!A:D,4,FALSE)</f>
        <v xml:space="preserve">sqm  </v>
      </c>
      <c r="G29" s="98"/>
    </row>
    <row r="30" spans="1:7" x14ac:dyDescent="0.25">
      <c r="A30" s="167">
        <v>22.1</v>
      </c>
      <c r="B30" s="168" t="str">
        <f>VLOOKUP(A30,Estimate!A:C,3,FALSE)</f>
        <v>CAT297 Stabiliser</v>
      </c>
      <c r="C30" s="169" t="s">
        <v>400</v>
      </c>
      <c r="D30" s="269">
        <v>66.67</v>
      </c>
      <c r="E30" s="169" t="str">
        <f>VLOOKUP(A30,Estimate!A:D,4,FALSE)</f>
        <v xml:space="preserve">hr   </v>
      </c>
      <c r="G30" s="98"/>
    </row>
    <row r="31" spans="1:7" x14ac:dyDescent="0.25">
      <c r="A31" s="167">
        <v>23</v>
      </c>
      <c r="B31" s="168" t="str">
        <f>VLOOKUP(A31,Estimate!A:C,3,FALSE)</f>
        <v>Place only 2.3</v>
      </c>
      <c r="C31" s="169" t="s">
        <v>710</v>
      </c>
      <c r="D31" s="269">
        <v>758</v>
      </c>
      <c r="E31" s="169" t="str">
        <f>VLOOKUP(A31,Estimate!A:D,4,FALSE)</f>
        <v xml:space="preserve">cum  </v>
      </c>
      <c r="G31" s="98"/>
    </row>
    <row r="32" spans="1:7" x14ac:dyDescent="0.25">
      <c r="A32" s="167">
        <v>23.1</v>
      </c>
      <c r="B32" s="168" t="str">
        <f>VLOOKUP(A32,Estimate!A:C,3,FALSE)</f>
        <v>Grader</v>
      </c>
      <c r="C32" s="169" t="s">
        <v>400</v>
      </c>
      <c r="D32" s="269">
        <v>44.44</v>
      </c>
      <c r="E32" s="169" t="str">
        <f>VLOOKUP(A32,Estimate!A:D,4,FALSE)</f>
        <v xml:space="preserve">hr   </v>
      </c>
      <c r="G32" s="98"/>
    </row>
    <row r="33" spans="1:7" x14ac:dyDescent="0.25">
      <c r="A33" s="167">
        <v>24</v>
      </c>
      <c r="B33" s="168" t="str">
        <f>VLOOKUP(A33,Estimate!A:C,3,FALSE)</f>
        <v>Place only 2.1</v>
      </c>
      <c r="C33" s="169" t="s">
        <v>710</v>
      </c>
      <c r="D33" s="269">
        <v>282</v>
      </c>
      <c r="E33" s="169" t="str">
        <f>VLOOKUP(A33,Estimate!A:D,4,FALSE)</f>
        <v xml:space="preserve">cum  </v>
      </c>
      <c r="G33" s="98"/>
    </row>
    <row r="34" spans="1:7" x14ac:dyDescent="0.25">
      <c r="A34" s="167">
        <v>24.1</v>
      </c>
      <c r="B34" s="168" t="str">
        <f>VLOOKUP(A34,Estimate!A:C,3,FALSE)</f>
        <v>Grader</v>
      </c>
      <c r="C34" s="169" t="s">
        <v>400</v>
      </c>
      <c r="D34" s="269">
        <v>44.44</v>
      </c>
      <c r="E34" s="169" t="str">
        <f>VLOOKUP(A34,Estimate!A:D,4,FALSE)</f>
        <v xml:space="preserve">hr   </v>
      </c>
      <c r="G34" s="98"/>
    </row>
    <row r="35" spans="1:7" x14ac:dyDescent="0.25">
      <c r="A35" s="167">
        <v>24.2</v>
      </c>
      <c r="B35" s="168" t="str">
        <f>VLOOKUP(A35,Estimate!A:C,3,FALSE)</f>
        <v>Grader</v>
      </c>
      <c r="C35" s="169" t="s">
        <v>400</v>
      </c>
      <c r="D35" s="269">
        <v>300</v>
      </c>
      <c r="E35" s="169" t="str">
        <f>VLOOKUP(A35,Estimate!A:D,4,FALSE)</f>
        <v xml:space="preserve">hr   </v>
      </c>
      <c r="G35" s="98"/>
    </row>
    <row r="36" spans="1:7" ht="30" x14ac:dyDescent="0.25">
      <c r="A36" s="167">
        <v>25</v>
      </c>
      <c r="B36" s="168" t="str">
        <f>VLOOKUP(A36,Estimate!A:C,3,FALSE)</f>
        <v>Special Item - Take up existing gravel, stabilise &amp; relay as working platform</v>
      </c>
      <c r="C36" s="169" t="s">
        <v>710</v>
      </c>
      <c r="D36" s="269">
        <v>483</v>
      </c>
      <c r="E36" s="169" t="str">
        <f>VLOOKUP(A36,Estimate!A:D,4,FALSE)</f>
        <v xml:space="preserve">m3   </v>
      </c>
      <c r="G36" s="98"/>
    </row>
    <row r="37" spans="1:7" x14ac:dyDescent="0.25">
      <c r="A37" s="167">
        <v>25.1</v>
      </c>
      <c r="B37" s="168" t="str">
        <f>VLOOKUP(A37,Estimate!A:C,3,FALSE)</f>
        <v>CAT297 Stabiliser</v>
      </c>
      <c r="C37" s="169" t="s">
        <v>400</v>
      </c>
      <c r="D37" s="269">
        <v>66.67</v>
      </c>
      <c r="E37" s="169" t="str">
        <f>VLOOKUP(A37,Estimate!A:D,4,FALSE)</f>
        <v xml:space="preserve">hr   </v>
      </c>
      <c r="G37" s="98"/>
    </row>
    <row r="38" spans="1:7" x14ac:dyDescent="0.25">
      <c r="A38" s="167">
        <v>26</v>
      </c>
      <c r="B38" s="168" t="str">
        <f>VLOOKUP(A38,Estimate!A:C,3,FALSE)</f>
        <v>AMC5</v>
      </c>
      <c r="C38" s="169" t="s">
        <v>710</v>
      </c>
      <c r="D38" s="269">
        <v>1661</v>
      </c>
      <c r="E38" s="169" t="str">
        <f>VLOOKUP(A38,Estimate!A:D,4,FALSE)</f>
        <v xml:space="preserve">sqm  </v>
      </c>
      <c r="G38" s="98"/>
    </row>
    <row r="39" spans="1:7" x14ac:dyDescent="0.25">
      <c r="A39" s="167">
        <v>27</v>
      </c>
      <c r="B39" s="168" t="str">
        <f>VLOOKUP(A39,Estimate!A:C,3,FALSE)</f>
        <v>DG14 AC</v>
      </c>
      <c r="C39" s="169" t="s">
        <v>710</v>
      </c>
      <c r="D39" s="269">
        <v>195</v>
      </c>
      <c r="E39" s="169" t="str">
        <f>VLOOKUP(A39,Estimate!A:D,4,FALSE)</f>
        <v>tonne</v>
      </c>
      <c r="G39" s="98"/>
    </row>
    <row r="40" spans="1:7" x14ac:dyDescent="0.25">
      <c r="A40" s="167">
        <v>28</v>
      </c>
      <c r="B40" s="168" t="str">
        <f>VLOOKUP(A40,Estimate!A:C,3,FALSE)</f>
        <v>Industrial Invert Crossing</v>
      </c>
      <c r="C40" s="169" t="s">
        <v>710</v>
      </c>
      <c r="D40" s="269">
        <v>15</v>
      </c>
      <c r="E40" s="169" t="str">
        <f>VLOOKUP(A40,Estimate!A:D,4,FALSE)</f>
        <v xml:space="preserve">ea   </v>
      </c>
      <c r="G40" s="98"/>
    </row>
    <row r="41" spans="1:7" x14ac:dyDescent="0.25">
      <c r="A41" s="167">
        <v>28.1</v>
      </c>
      <c r="B41" s="168" t="str">
        <f>VLOOKUP(A41,Estimate!A:C,3,FALSE)</f>
        <v>Excavator - 25T</v>
      </c>
      <c r="C41" s="169" t="s">
        <v>400</v>
      </c>
      <c r="D41" s="269">
        <v>10</v>
      </c>
      <c r="E41" s="169" t="str">
        <f>VLOOKUP(A41,Estimate!A:D,4,FALSE)</f>
        <v xml:space="preserve">hr   </v>
      </c>
      <c r="G41" s="98"/>
    </row>
    <row r="42" spans="1:7" x14ac:dyDescent="0.25">
      <c r="A42" s="167">
        <v>29</v>
      </c>
      <c r="B42" s="168" t="str">
        <f>VLOOKUP(A42,Estimate!A:C,3,FALSE)</f>
        <v>Grass Seeding</v>
      </c>
      <c r="C42" s="169" t="s">
        <v>710</v>
      </c>
      <c r="D42" s="269">
        <v>1000</v>
      </c>
      <c r="E42" s="169" t="str">
        <f>VLOOKUP(A42,Estimate!A:D,4,FALSE)</f>
        <v xml:space="preserve">sqm  </v>
      </c>
      <c r="G42" s="98"/>
    </row>
    <row r="43" spans="1:7" x14ac:dyDescent="0.25">
      <c r="A43" s="167">
        <v>30</v>
      </c>
      <c r="B43" s="168" t="str">
        <f>VLOOKUP(A43,Estimate!A:C,3,FALSE)</f>
        <v>Sawcut bitumous pavement</v>
      </c>
      <c r="C43" s="169" t="s">
        <v>710</v>
      </c>
      <c r="D43" s="269">
        <v>30</v>
      </c>
      <c r="E43" s="169">
        <f>VLOOKUP(A43,Estimate!A:D,4,FALSE)</f>
        <v>0</v>
      </c>
      <c r="G43" s="98"/>
    </row>
    <row r="44" spans="1:7" x14ac:dyDescent="0.25">
      <c r="A44" s="167">
        <v>31</v>
      </c>
      <c r="B44" s="168" t="str">
        <f>VLOOKUP(A44,Estimate!A:C,3,FALSE)</f>
        <v>Remove existing pavement &amp; dispose offsite</v>
      </c>
      <c r="C44" s="169" t="s">
        <v>710</v>
      </c>
      <c r="D44" s="269">
        <v>1661</v>
      </c>
      <c r="E44" s="169" t="str">
        <f>VLOOKUP(A44,Estimate!A:D,4,FALSE)</f>
        <v xml:space="preserve">m2   </v>
      </c>
      <c r="G44" s="98"/>
    </row>
    <row r="45" spans="1:7" x14ac:dyDescent="0.25">
      <c r="A45" s="167">
        <v>31.1</v>
      </c>
      <c r="B45" s="168" t="str">
        <f>VLOOKUP(A45,Estimate!A:C,3,FALSE)</f>
        <v>Grader</v>
      </c>
      <c r="C45" s="169" t="s">
        <v>400</v>
      </c>
      <c r="D45" s="269">
        <v>300</v>
      </c>
      <c r="E45" s="169" t="str">
        <f>VLOOKUP(A45,Estimate!A:D,4,FALSE)</f>
        <v xml:space="preserve">hr   </v>
      </c>
      <c r="G45" s="98"/>
    </row>
    <row r="46" spans="1:7" x14ac:dyDescent="0.25">
      <c r="A46" s="167">
        <v>31.2</v>
      </c>
      <c r="B46" s="168" t="str">
        <f>VLOOKUP(A46,Estimate!A:C,3,FALSE)</f>
        <v>Excavator - 25T</v>
      </c>
      <c r="C46" s="169" t="s">
        <v>400</v>
      </c>
      <c r="D46" s="269">
        <v>415.25</v>
      </c>
      <c r="E46" s="169" t="str">
        <f>VLOOKUP(A46,Estimate!A:D,4,FALSE)</f>
        <v xml:space="preserve">hr   </v>
      </c>
      <c r="G46" s="98"/>
    </row>
    <row r="47" spans="1:7" x14ac:dyDescent="0.25">
      <c r="A47" s="167">
        <v>32</v>
      </c>
      <c r="B47" s="168" t="str">
        <f>VLOOKUP(A47,Estimate!A:C,3,FALSE)</f>
        <v>Locate &amp; Protect services</v>
      </c>
      <c r="C47" s="169" t="s">
        <v>710</v>
      </c>
      <c r="D47" s="269">
        <v>1</v>
      </c>
      <c r="E47" s="169" t="str">
        <f>VLOOKUP(A47,Estimate!A:D,4,FALSE)</f>
        <v xml:space="preserve">LS   </v>
      </c>
      <c r="G47" s="98"/>
    </row>
    <row r="48" spans="1:7" x14ac:dyDescent="0.25">
      <c r="A48" s="167">
        <v>33</v>
      </c>
      <c r="B48" s="168" t="str">
        <f>VLOOKUP(A48,Estimate!A:C,3,FALSE)</f>
        <v>As Constructed Plans</v>
      </c>
      <c r="C48" s="169" t="s">
        <v>710</v>
      </c>
      <c r="D48" s="269">
        <v>1</v>
      </c>
      <c r="E48" s="169" t="str">
        <f>VLOOKUP(A48,Estimate!A:D,4,FALSE)</f>
        <v xml:space="preserve">LS   </v>
      </c>
      <c r="G48" s="98"/>
    </row>
    <row r="49" spans="1:7" x14ac:dyDescent="0.25">
      <c r="A49" s="167">
        <v>34</v>
      </c>
      <c r="B49" s="168" t="str">
        <f>VLOOKUP(A49,Estimate!A:C,3,FALSE)</f>
        <v>WRIGHTS ROAD (STRATHDICKIE)</v>
      </c>
      <c r="C49" s="169"/>
      <c r="D49" s="269"/>
      <c r="E49" s="169"/>
      <c r="G49" s="98"/>
    </row>
    <row r="50" spans="1:7" x14ac:dyDescent="0.25">
      <c r="A50" s="167">
        <v>35</v>
      </c>
      <c r="B50" s="168" t="str">
        <f>VLOOKUP(A50,Estimate!A:C,3,FALSE)</f>
        <v>Quality System Documents &amp; Records</v>
      </c>
      <c r="C50" s="169" t="s">
        <v>710</v>
      </c>
      <c r="D50" s="269">
        <v>1</v>
      </c>
      <c r="E50" s="169" t="str">
        <f>VLOOKUP(A50,Estimate!A:D,4,FALSE)</f>
        <v xml:space="preserve">LS   </v>
      </c>
      <c r="G50" s="98"/>
    </row>
    <row r="51" spans="1:7" x14ac:dyDescent="0.25">
      <c r="A51" s="167">
        <v>36</v>
      </c>
      <c r="B51" s="168" t="str">
        <f>VLOOKUP(A51,Estimate!A:C,3,FALSE)</f>
        <v>Quality Verification &amp; Control</v>
      </c>
      <c r="C51" s="169" t="s">
        <v>710</v>
      </c>
      <c r="D51" s="269">
        <v>1</v>
      </c>
      <c r="E51" s="169" t="str">
        <f>VLOOKUP(A51,Estimate!A:D,4,FALSE)</f>
        <v xml:space="preserve">LS   </v>
      </c>
      <c r="G51" s="98"/>
    </row>
    <row r="52" spans="1:7" x14ac:dyDescent="0.25">
      <c r="A52" s="167">
        <v>37</v>
      </c>
      <c r="B52" s="168" t="str">
        <f>VLOOKUP(A52,Estimate!A:C,3,FALSE)</f>
        <v>Site Establishment &amp; Disestablishment</v>
      </c>
      <c r="C52" s="169" t="s">
        <v>710</v>
      </c>
      <c r="D52" s="269">
        <v>1</v>
      </c>
      <c r="E52" s="169" t="str">
        <f>VLOOKUP(A52,Estimate!A:D,4,FALSE)</f>
        <v xml:space="preserve">LS   </v>
      </c>
      <c r="G52" s="98"/>
    </row>
    <row r="53" spans="1:7" x14ac:dyDescent="0.25">
      <c r="A53" s="167">
        <v>38</v>
      </c>
      <c r="B53" s="168" t="str">
        <f>VLOOKUP(A53,Estimate!A:C,3,FALSE)</f>
        <v>Preparation of Environmrntal Management Plan</v>
      </c>
      <c r="C53" s="169" t="s">
        <v>710</v>
      </c>
      <c r="D53" s="269">
        <v>1</v>
      </c>
      <c r="E53" s="169" t="str">
        <f>VLOOKUP(A53,Estimate!A:D,4,FALSE)</f>
        <v xml:space="preserve">LS   </v>
      </c>
      <c r="G53" s="98"/>
    </row>
    <row r="54" spans="1:7" x14ac:dyDescent="0.25">
      <c r="A54" s="167">
        <v>39</v>
      </c>
      <c r="B54" s="168" t="str">
        <f>VLOOKUP(A54,Estimate!A:C,3,FALSE)</f>
        <v>Control of Traffic</v>
      </c>
      <c r="C54" s="169" t="s">
        <v>710</v>
      </c>
      <c r="D54" s="269">
        <v>1</v>
      </c>
      <c r="E54" s="169" t="str">
        <f>VLOOKUP(A54,Estimate!A:D,4,FALSE)</f>
        <v xml:space="preserve">LS   </v>
      </c>
      <c r="G54" s="98"/>
    </row>
    <row r="55" spans="1:7" x14ac:dyDescent="0.25">
      <c r="A55" s="167">
        <v>40</v>
      </c>
      <c r="B55" s="168" t="str">
        <f>VLOOKUP(A55,Estimate!A:C,3,FALSE)</f>
        <v>Provision of Temporary Roadways, Sidetracks &amp; Detours</v>
      </c>
      <c r="C55" s="169" t="s">
        <v>710</v>
      </c>
      <c r="D55" s="269">
        <v>1</v>
      </c>
      <c r="E55" s="169" t="str">
        <f>VLOOKUP(A55,Estimate!A:D,4,FALSE)</f>
        <v xml:space="preserve">LS   </v>
      </c>
      <c r="G55" s="98"/>
    </row>
    <row r="56" spans="1:7" x14ac:dyDescent="0.25">
      <c r="A56" s="167">
        <v>41</v>
      </c>
      <c r="B56" s="168" t="str">
        <f>VLOOKUP(A56,Estimate!A:C,3,FALSE)</f>
        <v>Temporary Erosion &amp; Sedimentation Control</v>
      </c>
      <c r="C56" s="169" t="s">
        <v>710</v>
      </c>
      <c r="D56" s="269">
        <v>1</v>
      </c>
      <c r="E56" s="169" t="str">
        <f>VLOOKUP(A56,Estimate!A:D,4,FALSE)</f>
        <v xml:space="preserve">LS   </v>
      </c>
      <c r="G56" s="98"/>
    </row>
    <row r="57" spans="1:7" x14ac:dyDescent="0.25">
      <c r="A57" s="167">
        <v>41.1</v>
      </c>
      <c r="B57" s="168" t="str">
        <f>VLOOKUP(A57,Estimate!A:C,3,FALSE)</f>
        <v>Bobcat</v>
      </c>
      <c r="C57" s="169" t="s">
        <v>400</v>
      </c>
      <c r="D57" s="269">
        <v>10</v>
      </c>
      <c r="E57" s="169" t="str">
        <f>VLOOKUP(A57,Estimate!A:D,4,FALSE)</f>
        <v xml:space="preserve">hr   </v>
      </c>
      <c r="G57" s="98"/>
    </row>
    <row r="58" spans="1:7" x14ac:dyDescent="0.25">
      <c r="A58" s="167">
        <v>42</v>
      </c>
      <c r="B58" s="168" t="str">
        <f>VLOOKUP(A58,Estimate!A:C,3,FALSE)</f>
        <v>Clearing &amp; Grubbing</v>
      </c>
      <c r="C58" s="169" t="s">
        <v>710</v>
      </c>
      <c r="D58" s="269">
        <v>1</v>
      </c>
      <c r="E58" s="169" t="str">
        <f>VLOOKUP(A58,Estimate!A:D,4,FALSE)</f>
        <v xml:space="preserve">LS   </v>
      </c>
      <c r="G58" s="98"/>
    </row>
    <row r="59" spans="1:7" x14ac:dyDescent="0.25">
      <c r="A59" s="167">
        <v>42.1</v>
      </c>
      <c r="B59" s="168" t="str">
        <f>VLOOKUP(A59,Estimate!A:C,3,FALSE)</f>
        <v>Grader</v>
      </c>
      <c r="C59" s="169" t="s">
        <v>400</v>
      </c>
      <c r="D59" s="269">
        <v>0.06</v>
      </c>
      <c r="E59" s="169" t="str">
        <f>VLOOKUP(A59,Estimate!A:D,4,FALSE)</f>
        <v xml:space="preserve">hr   </v>
      </c>
      <c r="G59" s="98"/>
    </row>
    <row r="60" spans="1:7" x14ac:dyDescent="0.25">
      <c r="A60" s="167">
        <v>43</v>
      </c>
      <c r="B60" s="168" t="str">
        <f>VLOOKUP(A60,Estimate!A:C,3,FALSE)</f>
        <v>Special Item - Demolition of structures(concrete slabs, culverts pipes)</v>
      </c>
      <c r="C60" s="169" t="s">
        <v>710</v>
      </c>
      <c r="D60" s="269">
        <v>1</v>
      </c>
      <c r="E60" s="169" t="str">
        <f>VLOOKUP(A60,Estimate!A:D,4,FALSE)</f>
        <v xml:space="preserve">LS   </v>
      </c>
      <c r="G60" s="98"/>
    </row>
    <row r="61" spans="1:7" x14ac:dyDescent="0.25">
      <c r="A61" s="167">
        <v>43.1</v>
      </c>
      <c r="B61" s="168" t="str">
        <f>VLOOKUP(A61,Estimate!A:C,3,FALSE)</f>
        <v>Excavator - 25T</v>
      </c>
      <c r="C61" s="169" t="s">
        <v>400</v>
      </c>
      <c r="D61" s="269">
        <v>0.03</v>
      </c>
      <c r="E61" s="169" t="str">
        <f>VLOOKUP(A61,Estimate!A:D,4,FALSE)</f>
        <v xml:space="preserve">hr   </v>
      </c>
      <c r="G61" s="98"/>
    </row>
    <row r="62" spans="1:7" x14ac:dyDescent="0.25">
      <c r="A62" s="167">
        <v>44</v>
      </c>
      <c r="B62" s="168" t="str">
        <f>VLOOKUP(A62,Estimate!A:C,3,FALSE)</f>
        <v>Removal &amp; Stockpiling of Topsoil for Re-use</v>
      </c>
      <c r="C62" s="169" t="s">
        <v>710</v>
      </c>
      <c r="D62" s="269">
        <v>700</v>
      </c>
      <c r="E62" s="169" t="str">
        <f>VLOOKUP(A62,Estimate!A:D,4,FALSE)</f>
        <v xml:space="preserve">cum  </v>
      </c>
      <c r="G62" s="98"/>
    </row>
    <row r="63" spans="1:7" x14ac:dyDescent="0.25">
      <c r="A63" s="167">
        <v>44.1</v>
      </c>
      <c r="B63" s="168" t="str">
        <f>VLOOKUP(A63,Estimate!A:C,3,FALSE)</f>
        <v>Excavator - 25T</v>
      </c>
      <c r="C63" s="169" t="s">
        <v>400</v>
      </c>
      <c r="D63" s="269">
        <v>33.33</v>
      </c>
      <c r="E63" s="169" t="str">
        <f>VLOOKUP(A63,Estimate!A:D,4,FALSE)</f>
        <v xml:space="preserve">hr   </v>
      </c>
      <c r="G63" s="98"/>
    </row>
    <row r="64" spans="1:7" s="98" customFormat="1" x14ac:dyDescent="0.25">
      <c r="A64" s="167">
        <v>44.2</v>
      </c>
      <c r="B64" s="168" t="str">
        <f>VLOOKUP(A64,Estimate!A:C,3,FALSE)</f>
        <v>General Earthworks (Cut)</v>
      </c>
      <c r="C64" s="169" t="s">
        <v>710</v>
      </c>
      <c r="D64" s="269">
        <v>1220</v>
      </c>
      <c r="E64" s="169" t="str">
        <f>VLOOKUP(A64,Estimate!A:D,4,FALSE)</f>
        <v xml:space="preserve">cum  </v>
      </c>
    </row>
    <row r="65" spans="1:7" s="98" customFormat="1" x14ac:dyDescent="0.25">
      <c r="A65" s="167">
        <v>44.3</v>
      </c>
      <c r="B65" s="168" t="str">
        <f>VLOOKUP(A65,Estimate!A:C,3,FALSE)</f>
        <v>Excavator - 25T</v>
      </c>
      <c r="C65" s="169" t="s">
        <v>400</v>
      </c>
      <c r="D65" s="269">
        <v>44.44</v>
      </c>
      <c r="E65" s="169" t="str">
        <f>VLOOKUP(A65,Estimate!A:D,4,FALSE)</f>
        <v xml:space="preserve">hr   </v>
      </c>
    </row>
    <row r="66" spans="1:7" x14ac:dyDescent="0.25">
      <c r="A66" s="167">
        <v>45</v>
      </c>
      <c r="B66" s="168" t="str">
        <f>VLOOKUP(A66,Estimate!A:C,3,FALSE)</f>
        <v>General Earthworks (Fill)</v>
      </c>
      <c r="C66" s="169" t="s">
        <v>710</v>
      </c>
      <c r="D66" s="269">
        <v>410</v>
      </c>
      <c r="E66" s="169" t="str">
        <f>VLOOKUP(A66,Estimate!A:D,4,FALSE)</f>
        <v xml:space="preserve">cum  </v>
      </c>
      <c r="G66" s="98"/>
    </row>
    <row r="67" spans="1:7" x14ac:dyDescent="0.25">
      <c r="A67" s="167">
        <v>45.1</v>
      </c>
      <c r="B67" s="168" t="str">
        <f>VLOOKUP(A67,Estimate!A:C,3,FALSE)</f>
        <v>Grader</v>
      </c>
      <c r="C67" s="169" t="s">
        <v>400</v>
      </c>
      <c r="D67" s="269">
        <v>44.44</v>
      </c>
      <c r="E67" s="169" t="str">
        <f>VLOOKUP(A67,Estimate!A:D,4,FALSE)</f>
        <v xml:space="preserve">hr   </v>
      </c>
      <c r="G67" s="98"/>
    </row>
    <row r="68" spans="1:7" ht="30" x14ac:dyDescent="0.25">
      <c r="A68" s="167">
        <v>46</v>
      </c>
      <c r="B68" s="168" t="str">
        <f>VLOOKUP(A68,Estimate!A:C,3,FALSE)</f>
        <v>Replace unsuitable material below subgrade with select material complete (Provisional)</v>
      </c>
      <c r="C68" s="169" t="s">
        <v>710</v>
      </c>
      <c r="D68" s="269">
        <v>10</v>
      </c>
      <c r="E68" s="169" t="str">
        <f>VLOOKUP(A68,Estimate!A:D,4,FALSE)</f>
        <v xml:space="preserve">cum  </v>
      </c>
      <c r="G68" s="98"/>
    </row>
    <row r="69" spans="1:7" x14ac:dyDescent="0.25">
      <c r="A69" s="167">
        <v>46.1</v>
      </c>
      <c r="B69" s="168" t="str">
        <f>VLOOKUP(A69,Estimate!A:C,3,FALSE)</f>
        <v>Excavator - 25T</v>
      </c>
      <c r="C69" s="169" t="s">
        <v>400</v>
      </c>
      <c r="D69" s="269">
        <v>10</v>
      </c>
      <c r="E69" s="169" t="str">
        <f>VLOOKUP(A69,Estimate!A:D,4,FALSE)</f>
        <v xml:space="preserve">hr   </v>
      </c>
      <c r="G69" s="98"/>
    </row>
    <row r="70" spans="1:7" x14ac:dyDescent="0.25">
      <c r="A70" s="167">
        <v>46.2</v>
      </c>
      <c r="B70" s="168" t="str">
        <f>VLOOKUP(A70,Estimate!A:C,3,FALSE)</f>
        <v>Grader</v>
      </c>
      <c r="C70" s="169" t="s">
        <v>400</v>
      </c>
      <c r="D70" s="269">
        <v>33.33</v>
      </c>
      <c r="E70" s="169" t="str">
        <f>VLOOKUP(A70,Estimate!A:D,4,FALSE)</f>
        <v xml:space="preserve">hr   </v>
      </c>
      <c r="G70" s="98"/>
    </row>
    <row r="71" spans="1:7" x14ac:dyDescent="0.25">
      <c r="A71" s="167">
        <v>47</v>
      </c>
      <c r="B71" s="168" t="str">
        <f>VLOOKUP(A71,Estimate!A:C,3,FALSE)</f>
        <v>Excavation in Roak (Unrippable)</v>
      </c>
      <c r="C71" s="169" t="s">
        <v>710</v>
      </c>
      <c r="D71" s="269">
        <v>5</v>
      </c>
      <c r="E71" s="169" t="str">
        <f>VLOOKUP(A71,Estimate!A:D,4,FALSE)</f>
        <v xml:space="preserve">cum  </v>
      </c>
      <c r="G71" s="98"/>
    </row>
    <row r="72" spans="1:7" x14ac:dyDescent="0.25">
      <c r="A72" s="167">
        <v>48</v>
      </c>
      <c r="B72" s="168" t="str">
        <f>VLOOKUP(A72,Estimate!A:C,3,FALSE)</f>
        <v>Minor Rural Accesses</v>
      </c>
      <c r="C72" s="169" t="s">
        <v>710</v>
      </c>
      <c r="D72" s="269">
        <v>36</v>
      </c>
      <c r="E72" s="169" t="str">
        <f>VLOOKUP(A72,Estimate!A:D,4,FALSE)</f>
        <v xml:space="preserve">ea   </v>
      </c>
      <c r="G72" s="98"/>
    </row>
    <row r="73" spans="1:7" x14ac:dyDescent="0.25">
      <c r="A73" s="167">
        <v>49</v>
      </c>
      <c r="B73" s="168" t="str">
        <f>VLOOKUP(A73,Estimate!A:C,3,FALSE)</f>
        <v>Excavation for stromwater structures</v>
      </c>
      <c r="C73" s="169" t="s">
        <v>710</v>
      </c>
      <c r="D73" s="269">
        <v>300</v>
      </c>
      <c r="E73" s="169" t="str">
        <f>VLOOKUP(A73,Estimate!A:D,4,FALSE)</f>
        <v xml:space="preserve">cum  </v>
      </c>
      <c r="G73" s="98"/>
    </row>
    <row r="74" spans="1:7" x14ac:dyDescent="0.25">
      <c r="A74" s="167">
        <v>49.1</v>
      </c>
      <c r="B74" s="168" t="str">
        <f>VLOOKUP(A74,Estimate!A:C,3,FALSE)</f>
        <v>Excavator - 25T</v>
      </c>
      <c r="C74" s="169" t="s">
        <v>400</v>
      </c>
      <c r="D74" s="269">
        <v>20</v>
      </c>
      <c r="E74" s="169" t="str">
        <f>VLOOKUP(A74,Estimate!A:D,4,FALSE)</f>
        <v xml:space="preserve">hr   </v>
      </c>
      <c r="G74" s="98"/>
    </row>
    <row r="75" spans="1:7" x14ac:dyDescent="0.25">
      <c r="A75" s="167">
        <v>50</v>
      </c>
      <c r="B75" s="168" t="str">
        <f>VLOOKUP(A75,Estimate!A:C,3,FALSE)</f>
        <v>Removal / Demolition of Drainage Components</v>
      </c>
      <c r="C75" s="169" t="s">
        <v>710</v>
      </c>
      <c r="D75" s="269">
        <v>1</v>
      </c>
      <c r="E75" s="169" t="str">
        <f>VLOOKUP(A75,Estimate!A:D,4,FALSE)</f>
        <v xml:space="preserve">LS   </v>
      </c>
      <c r="G75" s="98"/>
    </row>
    <row r="76" spans="1:7" x14ac:dyDescent="0.25">
      <c r="A76" s="167">
        <v>51</v>
      </c>
      <c r="B76" s="168" t="str">
        <f>VLOOKUP(A76,Estimate!A:C,3,FALSE)</f>
        <v>375 RCP</v>
      </c>
      <c r="C76" s="169" t="s">
        <v>710</v>
      </c>
      <c r="D76" s="269">
        <v>58</v>
      </c>
      <c r="E76" s="169" t="str">
        <f>VLOOKUP(A76,Estimate!A:D,4,FALSE)</f>
        <v xml:space="preserve">m    </v>
      </c>
      <c r="G76" s="98"/>
    </row>
    <row r="77" spans="1:7" x14ac:dyDescent="0.25">
      <c r="A77" s="167">
        <v>51.1</v>
      </c>
      <c r="B77" s="168" t="str">
        <f>VLOOKUP(A77,Estimate!A:C,3,FALSE)</f>
        <v>Excavator - 25T</v>
      </c>
      <c r="C77" s="169" t="s">
        <v>400</v>
      </c>
      <c r="D77" s="269">
        <v>0.97</v>
      </c>
      <c r="E77" s="169" t="str">
        <f>VLOOKUP(A77,Estimate!A:D,4,FALSE)</f>
        <v xml:space="preserve">hr   </v>
      </c>
      <c r="G77" s="98"/>
    </row>
    <row r="78" spans="1:7" x14ac:dyDescent="0.25">
      <c r="A78" s="167">
        <v>52</v>
      </c>
      <c r="B78" s="168" t="str">
        <f>VLOOKUP(A78,Estimate!A:C,3,FALSE)</f>
        <v>450 RCP</v>
      </c>
      <c r="C78" s="169" t="s">
        <v>710</v>
      </c>
      <c r="D78" s="269">
        <v>44</v>
      </c>
      <c r="E78" s="169" t="str">
        <f>VLOOKUP(A78,Estimate!A:D,4,FALSE)</f>
        <v xml:space="preserve">m    </v>
      </c>
      <c r="G78" s="98"/>
    </row>
    <row r="79" spans="1:7" x14ac:dyDescent="0.25">
      <c r="A79" s="167">
        <v>52.2</v>
      </c>
      <c r="B79" s="168" t="str">
        <f>VLOOKUP(A79,Estimate!A:C,3,FALSE)</f>
        <v>Excavator - 25T</v>
      </c>
      <c r="C79" s="169" t="s">
        <v>400</v>
      </c>
      <c r="D79" s="269">
        <v>0.92</v>
      </c>
      <c r="E79" s="169" t="str">
        <f>VLOOKUP(A79,Estimate!A:D,4,FALSE)</f>
        <v xml:space="preserve">hr   </v>
      </c>
      <c r="G79" s="98"/>
    </row>
    <row r="80" spans="1:7" x14ac:dyDescent="0.25">
      <c r="A80" s="167">
        <v>53</v>
      </c>
      <c r="B80" s="168" t="str">
        <f>VLOOKUP(A80,Estimate!A:C,3,FALSE)</f>
        <v>Insitu RCBC Base Slab</v>
      </c>
      <c r="C80" s="169" t="s">
        <v>710</v>
      </c>
      <c r="D80" s="269">
        <v>57</v>
      </c>
      <c r="E80" s="169" t="str">
        <f>VLOOKUP(A80,Estimate!A:D,4,FALSE)</f>
        <v xml:space="preserve">cum  </v>
      </c>
      <c r="G80" s="98"/>
    </row>
    <row r="81" spans="1:7" x14ac:dyDescent="0.25">
      <c r="A81" s="167">
        <v>54</v>
      </c>
      <c r="B81" s="168" t="str">
        <f>VLOOKUP(A81,Estimate!A:C,3,FALSE)</f>
        <v>Culvert 4S - 1200 x 450 (4.8m)</v>
      </c>
      <c r="C81" s="169" t="s">
        <v>710</v>
      </c>
      <c r="D81" s="269">
        <v>0</v>
      </c>
      <c r="E81" s="169">
        <f>VLOOKUP(A81,Estimate!A:D,4,FALSE)</f>
        <v>0</v>
      </c>
      <c r="G81" s="98"/>
    </row>
    <row r="82" spans="1:7" x14ac:dyDescent="0.25">
      <c r="A82" s="167">
        <v>54.1</v>
      </c>
      <c r="B82" s="168" t="str">
        <f>VLOOKUP(A82,Estimate!A:C,3,FALSE)</f>
        <v>Area</v>
      </c>
      <c r="C82" s="169" t="s">
        <v>710</v>
      </c>
      <c r="D82" s="269">
        <v>8</v>
      </c>
      <c r="E82" s="169" t="str">
        <f>VLOOKUP(A82,Estimate!A:D,4,FALSE)</f>
        <v xml:space="preserve">m²   </v>
      </c>
      <c r="G82" s="98"/>
    </row>
    <row r="83" spans="1:7" x14ac:dyDescent="0.25">
      <c r="A83" s="167">
        <v>55</v>
      </c>
      <c r="B83" s="168" t="str">
        <f>VLOOKUP(A83,Estimate!A:C,3,FALSE)</f>
        <v>Culvert 4AB - 1200 x 450 (4.8m)</v>
      </c>
      <c r="C83" s="169" t="s">
        <v>710</v>
      </c>
      <c r="D83" s="269">
        <v>0</v>
      </c>
      <c r="E83" s="169">
        <f>VLOOKUP(A83,Estimate!A:D,4,FALSE)</f>
        <v>0</v>
      </c>
      <c r="G83" s="98"/>
    </row>
    <row r="84" spans="1:7" x14ac:dyDescent="0.25">
      <c r="A84" s="167">
        <v>55.1</v>
      </c>
      <c r="B84" s="168" t="str">
        <f>VLOOKUP(A84,Estimate!A:C,3,FALSE)</f>
        <v>Area</v>
      </c>
      <c r="C84" s="169" t="s">
        <v>710</v>
      </c>
      <c r="D84" s="269">
        <v>8</v>
      </c>
      <c r="E84" s="169" t="str">
        <f>VLOOKUP(A84,Estimate!A:D,4,FALSE)</f>
        <v xml:space="preserve">m²   </v>
      </c>
      <c r="G84" s="98"/>
    </row>
    <row r="85" spans="1:7" x14ac:dyDescent="0.25">
      <c r="A85" s="167">
        <v>56</v>
      </c>
      <c r="B85" s="168" t="str">
        <f>VLOOKUP(A85,Estimate!A:C,3,FALSE)</f>
        <v>Culvert 5E - 2/1200 x 450 (6m)</v>
      </c>
      <c r="C85" s="169" t="s">
        <v>710</v>
      </c>
      <c r="D85" s="269">
        <v>0</v>
      </c>
      <c r="E85" s="169">
        <f>VLOOKUP(A85,Estimate!A:D,4,FALSE)</f>
        <v>0</v>
      </c>
      <c r="G85" s="98"/>
    </row>
    <row r="86" spans="1:7" x14ac:dyDescent="0.25">
      <c r="A86" s="167">
        <v>56.1</v>
      </c>
      <c r="B86" s="168" t="str">
        <f>VLOOKUP(A86,Estimate!A:C,3,FALSE)</f>
        <v>Area</v>
      </c>
      <c r="C86" s="169" t="s">
        <v>710</v>
      </c>
      <c r="D86" s="269">
        <v>18</v>
      </c>
      <c r="E86" s="169" t="str">
        <f>VLOOKUP(A86,Estimate!A:D,4,FALSE)</f>
        <v xml:space="preserve">m²   </v>
      </c>
      <c r="G86" s="98"/>
    </row>
    <row r="87" spans="1:7" x14ac:dyDescent="0.25">
      <c r="A87" s="167">
        <v>57</v>
      </c>
      <c r="B87" s="168" t="str">
        <f>VLOOKUP(A87,Estimate!A:C,3,FALSE)</f>
        <v>Culvert 6D - 3/1200 x 600 (6m)</v>
      </c>
      <c r="C87" s="169" t="s">
        <v>710</v>
      </c>
      <c r="D87" s="269">
        <v>0</v>
      </c>
      <c r="E87" s="169">
        <f>VLOOKUP(A87,Estimate!A:D,4,FALSE)</f>
        <v>0</v>
      </c>
      <c r="G87" s="98"/>
    </row>
    <row r="88" spans="1:7" x14ac:dyDescent="0.25">
      <c r="A88" s="167">
        <v>57.1</v>
      </c>
      <c r="B88" s="168" t="str">
        <f>VLOOKUP(A88,Estimate!A:C,3,FALSE)</f>
        <v>Area</v>
      </c>
      <c r="C88" s="169" t="s">
        <v>710</v>
      </c>
      <c r="D88" s="269">
        <v>28</v>
      </c>
      <c r="E88" s="169" t="str">
        <f>VLOOKUP(A88,Estimate!A:D,4,FALSE)</f>
        <v xml:space="preserve">m²   </v>
      </c>
      <c r="G88" s="98"/>
    </row>
    <row r="89" spans="1:7" x14ac:dyDescent="0.25">
      <c r="A89" s="167">
        <v>58</v>
      </c>
      <c r="B89" s="168" t="str">
        <f>VLOOKUP(A89,Estimate!A:C,3,FALSE)</f>
        <v>Culvert 6F - 2/1200 x 600 (6m)</v>
      </c>
      <c r="C89" s="169" t="s">
        <v>710</v>
      </c>
      <c r="D89" s="269">
        <v>0</v>
      </c>
      <c r="E89" s="169">
        <f>VLOOKUP(A89,Estimate!A:D,4,FALSE)</f>
        <v>0</v>
      </c>
      <c r="G89" s="98"/>
    </row>
    <row r="90" spans="1:7" x14ac:dyDescent="0.25">
      <c r="A90" s="167">
        <v>58.1</v>
      </c>
      <c r="B90" s="168" t="str">
        <f>VLOOKUP(A90,Estimate!A:C,3,FALSE)</f>
        <v>Area</v>
      </c>
      <c r="C90" s="169" t="s">
        <v>710</v>
      </c>
      <c r="D90" s="269">
        <v>18</v>
      </c>
      <c r="E90" s="169" t="str">
        <f>VLOOKUP(A90,Estimate!A:D,4,FALSE)</f>
        <v xml:space="preserve">m²   </v>
      </c>
      <c r="G90" s="98"/>
    </row>
    <row r="91" spans="1:7" x14ac:dyDescent="0.25">
      <c r="A91" s="167">
        <v>59</v>
      </c>
      <c r="B91" s="168" t="str">
        <f>VLOOKUP(A91,Estimate!A:C,3,FALSE)</f>
        <v>Culvert 6K - 2/1200 x 450 (4.8m)</v>
      </c>
      <c r="C91" s="169" t="s">
        <v>710</v>
      </c>
      <c r="D91" s="269">
        <v>0</v>
      </c>
      <c r="E91" s="169">
        <f>VLOOKUP(A91,Estimate!A:D,4,FALSE)</f>
        <v>0</v>
      </c>
      <c r="G91" s="98"/>
    </row>
    <row r="92" spans="1:7" x14ac:dyDescent="0.25">
      <c r="A92" s="167">
        <v>59.1</v>
      </c>
      <c r="B92" s="168" t="str">
        <f>VLOOKUP(A92,Estimate!A:C,3,FALSE)</f>
        <v>Area</v>
      </c>
      <c r="C92" s="169" t="s">
        <v>710</v>
      </c>
      <c r="D92" s="269">
        <v>18</v>
      </c>
      <c r="E92" s="169" t="str">
        <f>VLOOKUP(A92,Estimate!A:D,4,FALSE)</f>
        <v xml:space="preserve">m²   </v>
      </c>
      <c r="G92" s="98"/>
    </row>
    <row r="93" spans="1:7" x14ac:dyDescent="0.25">
      <c r="A93" s="167">
        <v>60</v>
      </c>
      <c r="B93" s="168" t="str">
        <f>VLOOKUP(A93,Estimate!A:C,3,FALSE)</f>
        <v>Culvert 6M - 2/1200 x 450 (4.8m)</v>
      </c>
      <c r="C93" s="169" t="s">
        <v>710</v>
      </c>
      <c r="D93" s="269">
        <v>0</v>
      </c>
      <c r="E93" s="169">
        <f>VLOOKUP(A93,Estimate!A:D,4,FALSE)</f>
        <v>0</v>
      </c>
      <c r="G93" s="98"/>
    </row>
    <row r="94" spans="1:7" x14ac:dyDescent="0.25">
      <c r="A94" s="167">
        <v>60.1</v>
      </c>
      <c r="B94" s="168" t="str">
        <f>VLOOKUP(A94,Estimate!A:C,3,FALSE)</f>
        <v>Area</v>
      </c>
      <c r="C94" s="169" t="s">
        <v>710</v>
      </c>
      <c r="D94" s="269">
        <v>18</v>
      </c>
      <c r="E94" s="169" t="str">
        <f>VLOOKUP(A94,Estimate!A:D,4,FALSE)</f>
        <v xml:space="preserve">m²   </v>
      </c>
      <c r="G94" s="98"/>
    </row>
    <row r="95" spans="1:7" x14ac:dyDescent="0.25">
      <c r="A95" s="167">
        <v>61</v>
      </c>
      <c r="B95" s="168" t="str">
        <f>VLOOKUP(A95,Estimate!A:C,3,FALSE)</f>
        <v>Culvert 6P - 1200 x 450 (4.8m)</v>
      </c>
      <c r="C95" s="169" t="s">
        <v>710</v>
      </c>
      <c r="D95" s="269">
        <v>0</v>
      </c>
      <c r="E95" s="169">
        <f>VLOOKUP(A95,Estimate!A:D,4,FALSE)</f>
        <v>0</v>
      </c>
      <c r="G95" s="98"/>
    </row>
    <row r="96" spans="1:7" x14ac:dyDescent="0.25">
      <c r="A96" s="167">
        <v>61.1</v>
      </c>
      <c r="B96" s="168" t="str">
        <f>VLOOKUP(A96,Estimate!A:C,3,FALSE)</f>
        <v>Area</v>
      </c>
      <c r="C96" s="169" t="s">
        <v>710</v>
      </c>
      <c r="D96" s="269">
        <v>8</v>
      </c>
      <c r="E96" s="169" t="str">
        <f>VLOOKUP(A96,Estimate!A:D,4,FALSE)</f>
        <v xml:space="preserve">m²   </v>
      </c>
      <c r="G96" s="98"/>
    </row>
    <row r="97" spans="1:7" x14ac:dyDescent="0.25">
      <c r="A97" s="167">
        <v>62</v>
      </c>
      <c r="B97" s="168" t="str">
        <f>VLOOKUP(A97,Estimate!A:C,3,FALSE)</f>
        <v>Culvert 6T - 1200 x 450 (6m)</v>
      </c>
      <c r="C97" s="169" t="s">
        <v>710</v>
      </c>
      <c r="D97" s="269">
        <v>0</v>
      </c>
      <c r="E97" s="169">
        <f>VLOOKUP(A97,Estimate!A:D,4,FALSE)</f>
        <v>0</v>
      </c>
      <c r="G97" s="98"/>
    </row>
    <row r="98" spans="1:7" x14ac:dyDescent="0.25">
      <c r="A98" s="167">
        <v>62.1</v>
      </c>
      <c r="B98" s="168" t="str">
        <f>VLOOKUP(A98,Estimate!A:C,3,FALSE)</f>
        <v>Area</v>
      </c>
      <c r="C98" s="169" t="s">
        <v>710</v>
      </c>
      <c r="D98" s="269">
        <v>11</v>
      </c>
      <c r="E98" s="169" t="str">
        <f>VLOOKUP(A98,Estimate!A:D,4,FALSE)</f>
        <v xml:space="preserve">m²   </v>
      </c>
      <c r="G98" s="98"/>
    </row>
    <row r="99" spans="1:7" x14ac:dyDescent="0.25">
      <c r="A99" s="167">
        <v>63</v>
      </c>
      <c r="B99" s="168" t="str">
        <f>VLOOKUP(A99,Estimate!A:C,3,FALSE)</f>
        <v>Culvert 4U 2/1200 x 600 (10.8m) Under Road</v>
      </c>
      <c r="C99" s="169" t="s">
        <v>710</v>
      </c>
      <c r="D99" s="269">
        <v>0</v>
      </c>
      <c r="E99" s="169">
        <f>VLOOKUP(A99,Estimate!A:D,4,FALSE)</f>
        <v>0</v>
      </c>
      <c r="G99" s="98"/>
    </row>
    <row r="100" spans="1:7" x14ac:dyDescent="0.25">
      <c r="A100" s="167">
        <v>63.1</v>
      </c>
      <c r="B100" s="168" t="str">
        <f>VLOOKUP(A100,Estimate!A:C,3,FALSE)</f>
        <v>Area</v>
      </c>
      <c r="C100" s="169" t="s">
        <v>710</v>
      </c>
      <c r="D100" s="269">
        <v>35.4</v>
      </c>
      <c r="E100" s="169" t="str">
        <f>VLOOKUP(A100,Estimate!A:D,4,FALSE)</f>
        <v xml:space="preserve">m²   </v>
      </c>
      <c r="G100" s="98"/>
    </row>
    <row r="101" spans="1:7" x14ac:dyDescent="0.25">
      <c r="A101" s="167">
        <v>64</v>
      </c>
      <c r="B101" s="168" t="str">
        <f>VLOOKUP(A101,Estimate!A:C,3,FALSE)</f>
        <v>Culvert 4AA - 3/1200 x 450 (9.6m) Under Road</v>
      </c>
      <c r="C101" s="169" t="s">
        <v>710</v>
      </c>
      <c r="D101" s="269">
        <v>0</v>
      </c>
      <c r="E101" s="169">
        <f>VLOOKUP(A101,Estimate!A:D,4,FALSE)</f>
        <v>0</v>
      </c>
      <c r="G101" s="98"/>
    </row>
    <row r="102" spans="1:7" x14ac:dyDescent="0.25">
      <c r="A102" s="167">
        <v>64.099999999999994</v>
      </c>
      <c r="B102" s="168" t="str">
        <f>VLOOKUP(A102,Estimate!A:C,3,FALSE)</f>
        <v>Area</v>
      </c>
      <c r="C102" s="169" t="s">
        <v>710</v>
      </c>
      <c r="D102" s="269">
        <v>44.2</v>
      </c>
      <c r="E102" s="169" t="str">
        <f>VLOOKUP(A102,Estimate!A:D,4,FALSE)</f>
        <v xml:space="preserve">m²   </v>
      </c>
      <c r="G102" s="98"/>
    </row>
    <row r="103" spans="1:7" x14ac:dyDescent="0.25">
      <c r="A103" s="167">
        <v>65</v>
      </c>
      <c r="B103" s="168" t="str">
        <f>VLOOKUP(A103,Estimate!A:C,3,FALSE)</f>
        <v>Culvert 5D - 2/1200 x 600 ((.6m) Under Road</v>
      </c>
      <c r="C103" s="169" t="s">
        <v>710</v>
      </c>
      <c r="D103" s="269">
        <v>0</v>
      </c>
      <c r="E103" s="169">
        <f>VLOOKUP(A103,Estimate!A:D,4,FALSE)</f>
        <v>0</v>
      </c>
      <c r="G103" s="98"/>
    </row>
    <row r="104" spans="1:7" x14ac:dyDescent="0.25">
      <c r="A104" s="167">
        <v>65.099999999999994</v>
      </c>
      <c r="B104" s="168" t="str">
        <f>VLOOKUP(A104,Estimate!A:C,3,FALSE)</f>
        <v>Area</v>
      </c>
      <c r="C104" s="169" t="s">
        <v>710</v>
      </c>
      <c r="D104" s="269">
        <v>28.8</v>
      </c>
      <c r="E104" s="169" t="str">
        <f>VLOOKUP(A104,Estimate!A:D,4,FALSE)</f>
        <v xml:space="preserve">m²   </v>
      </c>
      <c r="G104" s="98"/>
    </row>
    <row r="105" spans="1:7" x14ac:dyDescent="0.25">
      <c r="A105" s="167">
        <v>66</v>
      </c>
      <c r="B105" s="168" t="str">
        <f>VLOOKUP(A105,Estimate!A:C,3,FALSE)</f>
        <v>Culvert 5M - 4/1200 x 600 (10.8m) Under Road</v>
      </c>
      <c r="C105" s="169" t="s">
        <v>710</v>
      </c>
      <c r="D105" s="269">
        <v>0</v>
      </c>
      <c r="E105" s="169">
        <f>VLOOKUP(A105,Estimate!A:D,4,FALSE)</f>
        <v>0</v>
      </c>
      <c r="G105" s="98"/>
    </row>
    <row r="106" spans="1:7" x14ac:dyDescent="0.25">
      <c r="A106" s="167">
        <v>66.099999999999994</v>
      </c>
      <c r="B106" s="168" t="str">
        <f>VLOOKUP(A106,Estimate!A:C,3,FALSE)</f>
        <v>Area</v>
      </c>
      <c r="C106" s="169" t="s">
        <v>710</v>
      </c>
      <c r="D106" s="269">
        <v>69</v>
      </c>
      <c r="E106" s="169" t="str">
        <f>VLOOKUP(A106,Estimate!A:D,4,FALSE)</f>
        <v xml:space="preserve">m²   </v>
      </c>
      <c r="G106" s="98"/>
    </row>
    <row r="107" spans="1:7" x14ac:dyDescent="0.25">
      <c r="A107" s="167">
        <v>67</v>
      </c>
      <c r="B107" s="168" t="str">
        <f>VLOOKUP(A107,Estimate!A:C,3,FALSE)</f>
        <v>Culvert 6B - 1200 x 450 (9.6m) Under Road</v>
      </c>
      <c r="C107" s="169" t="s">
        <v>710</v>
      </c>
      <c r="D107" s="269">
        <v>0</v>
      </c>
      <c r="E107" s="169">
        <f>VLOOKUP(A107,Estimate!A:D,4,FALSE)</f>
        <v>0</v>
      </c>
      <c r="G107" s="98"/>
    </row>
    <row r="108" spans="1:7" x14ac:dyDescent="0.25">
      <c r="A108" s="167">
        <v>67.099999999999994</v>
      </c>
      <c r="B108" s="168" t="str">
        <f>VLOOKUP(A108,Estimate!A:C,3,FALSE)</f>
        <v>Area</v>
      </c>
      <c r="C108" s="169" t="s">
        <v>710</v>
      </c>
      <c r="D108" s="269">
        <v>15.5</v>
      </c>
      <c r="E108" s="169" t="str">
        <f>VLOOKUP(A108,Estimate!A:D,4,FALSE)</f>
        <v xml:space="preserve">m²   </v>
      </c>
      <c r="G108" s="98"/>
    </row>
    <row r="109" spans="1:7" x14ac:dyDescent="0.25">
      <c r="A109" s="167">
        <v>68</v>
      </c>
      <c r="B109" s="168" t="str">
        <f>VLOOKUP(A109,Estimate!A:C,3,FALSE)</f>
        <v>Culvert 6V - 1200 x 450 (9.6m) Under Road</v>
      </c>
      <c r="C109" s="169" t="s">
        <v>710</v>
      </c>
      <c r="D109" s="269">
        <v>0</v>
      </c>
      <c r="E109" s="169">
        <f>VLOOKUP(A109,Estimate!A:D,4,FALSE)</f>
        <v>0</v>
      </c>
      <c r="G109" s="98"/>
    </row>
    <row r="110" spans="1:7" x14ac:dyDescent="0.25">
      <c r="A110" s="167">
        <v>68.099999999999994</v>
      </c>
      <c r="B110" s="168" t="str">
        <f>VLOOKUP(A110,Estimate!A:C,3,FALSE)</f>
        <v>Area</v>
      </c>
      <c r="C110" s="169" t="s">
        <v>710</v>
      </c>
      <c r="D110" s="269">
        <v>15.5</v>
      </c>
      <c r="E110" s="169" t="str">
        <f>VLOOKUP(A110,Estimate!A:D,4,FALSE)</f>
        <v xml:space="preserve">m²   </v>
      </c>
      <c r="G110" s="98"/>
    </row>
    <row r="111" spans="1:7" x14ac:dyDescent="0.25">
      <c r="A111" s="167">
        <v>69</v>
      </c>
      <c r="B111" s="168" t="str">
        <f>VLOOKUP(A111,Estimate!A:C,3,FALSE)</f>
        <v>RCBC - 1200 x 450</v>
      </c>
      <c r="C111" s="169" t="s">
        <v>710</v>
      </c>
      <c r="D111" s="269">
        <v>0</v>
      </c>
      <c r="E111" s="169" t="str">
        <f>VLOOKUP(A111,Estimate!A:D,4,FALSE)</f>
        <v xml:space="preserve">m    </v>
      </c>
      <c r="G111" s="98"/>
    </row>
    <row r="112" spans="1:7" x14ac:dyDescent="0.25">
      <c r="A112" s="167">
        <v>70</v>
      </c>
      <c r="B112" s="168" t="str">
        <f>VLOOKUP(A112,Estimate!A:C,3,FALSE)</f>
        <v>Culvert 4S - 1200 x 450 (4.8m)</v>
      </c>
      <c r="C112" s="169" t="s">
        <v>710</v>
      </c>
      <c r="D112" s="269">
        <v>0</v>
      </c>
      <c r="E112" s="169">
        <f>VLOOKUP(A112,Estimate!A:D,4,FALSE)</f>
        <v>0</v>
      </c>
      <c r="G112" s="98"/>
    </row>
    <row r="113" spans="1:7" x14ac:dyDescent="0.25">
      <c r="A113" s="167">
        <v>70.099999999999994</v>
      </c>
      <c r="B113" s="168" t="str">
        <f>VLOOKUP(A113,Estimate!A:C,3,FALSE)</f>
        <v>Box Units to Stand</v>
      </c>
      <c r="C113" s="169" t="s">
        <v>710</v>
      </c>
      <c r="D113" s="269">
        <v>4</v>
      </c>
      <c r="E113" s="169" t="str">
        <f>VLOOKUP(A113,Estimate!A:D,4,FALSE)</f>
        <v>ea</v>
      </c>
      <c r="G113" s="98"/>
    </row>
    <row r="114" spans="1:7" x14ac:dyDescent="0.25">
      <c r="A114" s="167">
        <v>70.2</v>
      </c>
      <c r="B114" s="168" t="str">
        <f>VLOOKUP(A114,Estimate!A:C,3,FALSE)</f>
        <v>Hand Placed Backfill</v>
      </c>
      <c r="C114" s="169" t="s">
        <v>710</v>
      </c>
      <c r="D114" s="269">
        <v>15</v>
      </c>
      <c r="E114" s="169" t="str">
        <f>VLOOKUP(A114,Estimate!A:D,4,FALSE)</f>
        <v>m3</v>
      </c>
      <c r="G114" s="98"/>
    </row>
    <row r="115" spans="1:7" x14ac:dyDescent="0.25">
      <c r="A115" s="167">
        <v>70.3</v>
      </c>
      <c r="B115" s="168" t="str">
        <f>VLOOKUP(A115,Estimate!A:C,3,FALSE)</f>
        <v>Excavator - 25T</v>
      </c>
      <c r="C115" s="169" t="s">
        <v>400</v>
      </c>
      <c r="D115" s="269">
        <v>2</v>
      </c>
      <c r="E115" s="169" t="str">
        <f>VLOOKUP(A115,Estimate!A:D,4,FALSE)</f>
        <v xml:space="preserve">hr   </v>
      </c>
      <c r="G115" s="98"/>
    </row>
    <row r="116" spans="1:7" x14ac:dyDescent="0.25">
      <c r="A116" s="167">
        <v>70.400000000000006</v>
      </c>
      <c r="B116" s="168" t="str">
        <f>VLOOKUP(A116,Estimate!A:C,3,FALSE)</f>
        <v>Bobcat</v>
      </c>
      <c r="C116" s="169" t="s">
        <v>400</v>
      </c>
      <c r="D116" s="269">
        <v>3</v>
      </c>
      <c r="E116" s="169" t="str">
        <f>VLOOKUP(A116,Estimate!A:D,4,FALSE)</f>
        <v xml:space="preserve">hr   </v>
      </c>
      <c r="G116" s="98"/>
    </row>
    <row r="117" spans="1:7" x14ac:dyDescent="0.25">
      <c r="A117" s="167">
        <v>71</v>
      </c>
      <c r="B117" s="168" t="str">
        <f>VLOOKUP(A117,Estimate!A:C,3,FALSE)</f>
        <v>Culvert 4AB - 1200 x 450 (4.8m)</v>
      </c>
      <c r="C117" s="169" t="s">
        <v>710</v>
      </c>
      <c r="D117" s="269">
        <v>0</v>
      </c>
      <c r="E117" s="169">
        <f>VLOOKUP(A117,Estimate!A:D,4,FALSE)</f>
        <v>0</v>
      </c>
      <c r="G117" s="98"/>
    </row>
    <row r="118" spans="1:7" x14ac:dyDescent="0.25">
      <c r="A118" s="167">
        <v>71.099999999999994</v>
      </c>
      <c r="B118" s="168" t="str">
        <f>VLOOKUP(A118,Estimate!A:C,3,FALSE)</f>
        <v>Box Units to Stand</v>
      </c>
      <c r="C118" s="169" t="s">
        <v>710</v>
      </c>
      <c r="D118" s="269">
        <v>4</v>
      </c>
      <c r="E118" s="169" t="str">
        <f>VLOOKUP(A118,Estimate!A:D,4,FALSE)</f>
        <v>ea</v>
      </c>
      <c r="G118" s="98"/>
    </row>
    <row r="119" spans="1:7" x14ac:dyDescent="0.25">
      <c r="A119" s="167">
        <v>71.2</v>
      </c>
      <c r="B119" s="168" t="str">
        <f>VLOOKUP(A119,Estimate!A:C,3,FALSE)</f>
        <v>Hand Placed Backfill</v>
      </c>
      <c r="C119" s="169" t="s">
        <v>710</v>
      </c>
      <c r="D119" s="269">
        <v>15</v>
      </c>
      <c r="E119" s="169" t="str">
        <f>VLOOKUP(A119,Estimate!A:D,4,FALSE)</f>
        <v>m3</v>
      </c>
      <c r="G119" s="98"/>
    </row>
    <row r="120" spans="1:7" x14ac:dyDescent="0.25">
      <c r="A120" s="167">
        <v>71.3</v>
      </c>
      <c r="B120" s="168" t="str">
        <f>VLOOKUP(A120,Estimate!A:C,3,FALSE)</f>
        <v>Excavator - 25T</v>
      </c>
      <c r="C120" s="169" t="s">
        <v>400</v>
      </c>
      <c r="D120" s="269">
        <v>2</v>
      </c>
      <c r="E120" s="169" t="str">
        <f>VLOOKUP(A120,Estimate!A:D,4,FALSE)</f>
        <v xml:space="preserve">hr   </v>
      </c>
      <c r="G120" s="98"/>
    </row>
    <row r="121" spans="1:7" x14ac:dyDescent="0.25">
      <c r="A121" s="167">
        <v>71.400000000000006</v>
      </c>
      <c r="B121" s="168" t="str">
        <f>VLOOKUP(A121,Estimate!A:C,3,FALSE)</f>
        <v>Bobcat</v>
      </c>
      <c r="C121" s="169" t="s">
        <v>400</v>
      </c>
      <c r="D121" s="269">
        <v>3</v>
      </c>
      <c r="E121" s="169" t="str">
        <f>VLOOKUP(A121,Estimate!A:D,4,FALSE)</f>
        <v xml:space="preserve">hr   </v>
      </c>
      <c r="G121" s="98"/>
    </row>
    <row r="122" spans="1:7" x14ac:dyDescent="0.25">
      <c r="A122" s="167">
        <v>72</v>
      </c>
      <c r="B122" s="168" t="str">
        <f>VLOOKUP(A122,Estimate!A:C,3,FALSE)</f>
        <v>Culvert 5E - 2/1200 x 450 (6m)</v>
      </c>
      <c r="C122" s="169" t="s">
        <v>710</v>
      </c>
      <c r="D122" s="269">
        <v>0</v>
      </c>
      <c r="E122" s="169">
        <f>VLOOKUP(A122,Estimate!A:D,4,FALSE)</f>
        <v>0</v>
      </c>
      <c r="G122" s="98"/>
    </row>
    <row r="123" spans="1:7" x14ac:dyDescent="0.25">
      <c r="A123" s="167">
        <v>72.099999999999994</v>
      </c>
      <c r="B123" s="168" t="str">
        <f>VLOOKUP(A123,Estimate!A:C,3,FALSE)</f>
        <v>Box Units to Stand</v>
      </c>
      <c r="C123" s="169" t="s">
        <v>710</v>
      </c>
      <c r="D123" s="269">
        <v>10</v>
      </c>
      <c r="E123" s="169" t="str">
        <f>VLOOKUP(A123,Estimate!A:D,4,FALSE)</f>
        <v>ea</v>
      </c>
      <c r="G123" s="98"/>
    </row>
    <row r="124" spans="1:7" x14ac:dyDescent="0.25">
      <c r="A124" s="167">
        <v>72.2</v>
      </c>
      <c r="B124" s="168" t="str">
        <f>VLOOKUP(A124,Estimate!A:C,3,FALSE)</f>
        <v>Hand Placed Backfill</v>
      </c>
      <c r="C124" s="169" t="s">
        <v>710</v>
      </c>
      <c r="D124" s="269">
        <v>24</v>
      </c>
      <c r="E124" s="169" t="str">
        <f>VLOOKUP(A124,Estimate!A:D,4,FALSE)</f>
        <v>m3</v>
      </c>
      <c r="G124" s="98"/>
    </row>
    <row r="125" spans="1:7" x14ac:dyDescent="0.25">
      <c r="A125" s="167">
        <v>72.3</v>
      </c>
      <c r="B125" s="168" t="str">
        <f>VLOOKUP(A125,Estimate!A:C,3,FALSE)</f>
        <v>Excavator - 25T</v>
      </c>
      <c r="C125" s="169" t="s">
        <v>400</v>
      </c>
      <c r="D125" s="269">
        <v>2</v>
      </c>
      <c r="E125" s="169" t="str">
        <f>VLOOKUP(A125,Estimate!A:D,4,FALSE)</f>
        <v xml:space="preserve">hr   </v>
      </c>
      <c r="G125" s="98"/>
    </row>
    <row r="126" spans="1:7" x14ac:dyDescent="0.25">
      <c r="A126" s="167">
        <v>72.400000000000006</v>
      </c>
      <c r="B126" s="168" t="str">
        <f>VLOOKUP(A126,Estimate!A:C,3,FALSE)</f>
        <v>Bobcat</v>
      </c>
      <c r="C126" s="169" t="s">
        <v>400</v>
      </c>
      <c r="D126" s="269">
        <v>3</v>
      </c>
      <c r="E126" s="169" t="str">
        <f>VLOOKUP(A126,Estimate!A:D,4,FALSE)</f>
        <v xml:space="preserve">hr   </v>
      </c>
      <c r="G126" s="98"/>
    </row>
    <row r="127" spans="1:7" x14ac:dyDescent="0.25">
      <c r="A127" s="167">
        <v>73</v>
      </c>
      <c r="B127" s="168" t="str">
        <f>VLOOKUP(A127,Estimate!A:C,3,FALSE)</f>
        <v>Culvert 6K - 2/1200 x 450 (4.8m)</v>
      </c>
      <c r="C127" s="169" t="s">
        <v>710</v>
      </c>
      <c r="D127" s="269">
        <v>0</v>
      </c>
      <c r="E127" s="169">
        <f>VLOOKUP(A127,Estimate!A:D,4,FALSE)</f>
        <v>0</v>
      </c>
      <c r="G127" s="98"/>
    </row>
    <row r="128" spans="1:7" x14ac:dyDescent="0.25">
      <c r="A128" s="167">
        <v>73.099999999999994</v>
      </c>
      <c r="B128" s="168" t="str">
        <f>VLOOKUP(A128,Estimate!A:C,3,FALSE)</f>
        <v>Box Units to Stand</v>
      </c>
      <c r="C128" s="169" t="s">
        <v>710</v>
      </c>
      <c r="D128" s="269">
        <v>8</v>
      </c>
      <c r="E128" s="169" t="str">
        <f>VLOOKUP(A128,Estimate!A:D,4,FALSE)</f>
        <v>ea</v>
      </c>
      <c r="G128" s="98"/>
    </row>
    <row r="129" spans="1:7" x14ac:dyDescent="0.25">
      <c r="A129" s="167">
        <v>73.2</v>
      </c>
      <c r="B129" s="168" t="str">
        <f>VLOOKUP(A129,Estimate!A:C,3,FALSE)</f>
        <v>Hand Placed Backfill</v>
      </c>
      <c r="C129" s="169" t="s">
        <v>710</v>
      </c>
      <c r="D129" s="269">
        <v>15</v>
      </c>
      <c r="E129" s="169" t="str">
        <f>VLOOKUP(A129,Estimate!A:D,4,FALSE)</f>
        <v>m3</v>
      </c>
      <c r="G129" s="98"/>
    </row>
    <row r="130" spans="1:7" x14ac:dyDescent="0.25">
      <c r="A130" s="167">
        <v>73.3</v>
      </c>
      <c r="B130" s="168" t="str">
        <f>VLOOKUP(A130,Estimate!A:C,3,FALSE)</f>
        <v>Excavator - 25T</v>
      </c>
      <c r="C130" s="169" t="s">
        <v>400</v>
      </c>
      <c r="D130" s="269">
        <v>2</v>
      </c>
      <c r="E130" s="169" t="str">
        <f>VLOOKUP(A130,Estimate!A:D,4,FALSE)</f>
        <v xml:space="preserve">hr   </v>
      </c>
      <c r="G130" s="98"/>
    </row>
    <row r="131" spans="1:7" x14ac:dyDescent="0.25">
      <c r="A131" s="167">
        <v>73.400000000000006</v>
      </c>
      <c r="B131" s="168" t="str">
        <f>VLOOKUP(A131,Estimate!A:C,3,FALSE)</f>
        <v>Bobcat</v>
      </c>
      <c r="C131" s="169" t="s">
        <v>400</v>
      </c>
      <c r="D131" s="269">
        <v>3</v>
      </c>
      <c r="E131" s="169" t="str">
        <f>VLOOKUP(A131,Estimate!A:D,4,FALSE)</f>
        <v xml:space="preserve">hr   </v>
      </c>
      <c r="G131" s="98"/>
    </row>
    <row r="132" spans="1:7" x14ac:dyDescent="0.25">
      <c r="A132" s="167">
        <v>74</v>
      </c>
      <c r="B132" s="168" t="str">
        <f>VLOOKUP(A132,Estimate!A:C,3,FALSE)</f>
        <v>Culvert 6M - 2/1200 x 450 (4.8m)</v>
      </c>
      <c r="C132" s="169" t="s">
        <v>710</v>
      </c>
      <c r="D132" s="269">
        <v>0</v>
      </c>
      <c r="E132" s="169">
        <f>VLOOKUP(A132,Estimate!A:D,4,FALSE)</f>
        <v>0</v>
      </c>
      <c r="G132" s="98"/>
    </row>
    <row r="133" spans="1:7" x14ac:dyDescent="0.25">
      <c r="A133" s="167">
        <v>74.099999999999994</v>
      </c>
      <c r="B133" s="168" t="str">
        <f>VLOOKUP(A133,Estimate!A:C,3,FALSE)</f>
        <v>Box Units to Stand</v>
      </c>
      <c r="C133" s="169" t="s">
        <v>710</v>
      </c>
      <c r="D133" s="269">
        <v>8</v>
      </c>
      <c r="E133" s="169" t="str">
        <f>VLOOKUP(A133,Estimate!A:D,4,FALSE)</f>
        <v>ea</v>
      </c>
      <c r="G133" s="98"/>
    </row>
    <row r="134" spans="1:7" x14ac:dyDescent="0.25">
      <c r="A134" s="167">
        <v>74.2</v>
      </c>
      <c r="B134" s="168" t="str">
        <f>VLOOKUP(A134,Estimate!A:C,3,FALSE)</f>
        <v>Hand Placed Backfill</v>
      </c>
      <c r="C134" s="169" t="s">
        <v>710</v>
      </c>
      <c r="D134" s="269">
        <v>15</v>
      </c>
      <c r="E134" s="169" t="str">
        <f>VLOOKUP(A134,Estimate!A:D,4,FALSE)</f>
        <v>m3</v>
      </c>
      <c r="G134" s="98"/>
    </row>
    <row r="135" spans="1:7" x14ac:dyDescent="0.25">
      <c r="A135" s="167">
        <v>74.3</v>
      </c>
      <c r="B135" s="168" t="str">
        <f>VLOOKUP(A135,Estimate!A:C,3,FALSE)</f>
        <v>Excavator - 25T</v>
      </c>
      <c r="C135" s="169" t="s">
        <v>400</v>
      </c>
      <c r="D135" s="269">
        <v>2</v>
      </c>
      <c r="E135" s="169" t="str">
        <f>VLOOKUP(A135,Estimate!A:D,4,FALSE)</f>
        <v xml:space="preserve">hr   </v>
      </c>
      <c r="G135" s="98"/>
    </row>
    <row r="136" spans="1:7" x14ac:dyDescent="0.25">
      <c r="A136" s="167">
        <v>74.400000000000006</v>
      </c>
      <c r="B136" s="168" t="str">
        <f>VLOOKUP(A136,Estimate!A:C,3,FALSE)</f>
        <v>Bobcat</v>
      </c>
      <c r="C136" s="169" t="s">
        <v>400</v>
      </c>
      <c r="D136" s="269">
        <v>3</v>
      </c>
      <c r="E136" s="169" t="str">
        <f>VLOOKUP(A136,Estimate!A:D,4,FALSE)</f>
        <v xml:space="preserve">hr   </v>
      </c>
      <c r="G136" s="98"/>
    </row>
    <row r="137" spans="1:7" x14ac:dyDescent="0.25">
      <c r="A137" s="167">
        <v>75</v>
      </c>
      <c r="B137" s="168" t="str">
        <f>VLOOKUP(A137,Estimate!A:C,3,FALSE)</f>
        <v>Culvert 6P - 1200 x 450 (4.8m)</v>
      </c>
      <c r="C137" s="169" t="s">
        <v>710</v>
      </c>
      <c r="D137" s="269">
        <v>0</v>
      </c>
      <c r="E137" s="169">
        <f>VLOOKUP(A137,Estimate!A:D,4,FALSE)</f>
        <v>0</v>
      </c>
      <c r="G137" s="98"/>
    </row>
    <row r="138" spans="1:7" x14ac:dyDescent="0.25">
      <c r="A138" s="167">
        <v>75.099999999999994</v>
      </c>
      <c r="B138" s="168" t="str">
        <f>VLOOKUP(A138,Estimate!A:C,3,FALSE)</f>
        <v>Box Units to Stand</v>
      </c>
      <c r="C138" s="169" t="s">
        <v>710</v>
      </c>
      <c r="D138" s="269">
        <v>4</v>
      </c>
      <c r="E138" s="169" t="str">
        <f>VLOOKUP(A138,Estimate!A:D,4,FALSE)</f>
        <v>ea</v>
      </c>
      <c r="G138" s="98"/>
    </row>
    <row r="139" spans="1:7" x14ac:dyDescent="0.25">
      <c r="A139" s="167">
        <v>75.2</v>
      </c>
      <c r="B139" s="168" t="str">
        <f>VLOOKUP(A139,Estimate!A:C,3,FALSE)</f>
        <v>Hand Placed Backfill</v>
      </c>
      <c r="C139" s="169" t="s">
        <v>710</v>
      </c>
      <c r="D139" s="269">
        <v>15</v>
      </c>
      <c r="E139" s="169" t="str">
        <f>VLOOKUP(A139,Estimate!A:D,4,FALSE)</f>
        <v>m3</v>
      </c>
      <c r="G139" s="98"/>
    </row>
    <row r="140" spans="1:7" x14ac:dyDescent="0.25">
      <c r="A140" s="167">
        <v>75.3</v>
      </c>
      <c r="B140" s="168" t="str">
        <f>VLOOKUP(A140,Estimate!A:C,3,FALSE)</f>
        <v>Excavator - 25T</v>
      </c>
      <c r="C140" s="169" t="s">
        <v>400</v>
      </c>
      <c r="D140" s="269">
        <v>2</v>
      </c>
      <c r="E140" s="169" t="str">
        <f>VLOOKUP(A140,Estimate!A:D,4,FALSE)</f>
        <v xml:space="preserve">hr   </v>
      </c>
      <c r="G140" s="98"/>
    </row>
    <row r="141" spans="1:7" x14ac:dyDescent="0.25">
      <c r="A141" s="167">
        <v>75.400000000000006</v>
      </c>
      <c r="B141" s="168" t="str">
        <f>VLOOKUP(A141,Estimate!A:C,3,FALSE)</f>
        <v>Bobcat</v>
      </c>
      <c r="C141" s="169" t="s">
        <v>400</v>
      </c>
      <c r="D141" s="269">
        <v>3</v>
      </c>
      <c r="E141" s="169" t="str">
        <f>VLOOKUP(A141,Estimate!A:D,4,FALSE)</f>
        <v xml:space="preserve">hr   </v>
      </c>
      <c r="G141" s="98"/>
    </row>
    <row r="142" spans="1:7" x14ac:dyDescent="0.25">
      <c r="A142" s="167">
        <v>76</v>
      </c>
      <c r="B142" s="168" t="str">
        <f>VLOOKUP(A142,Estimate!A:C,3,FALSE)</f>
        <v>Culvert 6T - 1200 x 450 (6m)</v>
      </c>
      <c r="C142" s="169" t="s">
        <v>710</v>
      </c>
      <c r="D142" s="269">
        <v>0</v>
      </c>
      <c r="E142" s="169">
        <f>VLOOKUP(A142,Estimate!A:D,4,FALSE)</f>
        <v>0</v>
      </c>
      <c r="G142" s="98"/>
    </row>
    <row r="143" spans="1:7" x14ac:dyDescent="0.25">
      <c r="A143" s="167">
        <v>76.099999999999994</v>
      </c>
      <c r="B143" s="168" t="str">
        <f>VLOOKUP(A143,Estimate!A:C,3,FALSE)</f>
        <v>Box Units to Stand</v>
      </c>
      <c r="C143" s="169" t="s">
        <v>710</v>
      </c>
      <c r="D143" s="269">
        <v>5</v>
      </c>
      <c r="E143" s="169" t="str">
        <f>VLOOKUP(A143,Estimate!A:D,4,FALSE)</f>
        <v>ea</v>
      </c>
      <c r="G143" s="98"/>
    </row>
    <row r="144" spans="1:7" x14ac:dyDescent="0.25">
      <c r="A144" s="167">
        <v>76.2</v>
      </c>
      <c r="B144" s="168" t="str">
        <f>VLOOKUP(A144,Estimate!A:C,3,FALSE)</f>
        <v>Hand Placed Backfill</v>
      </c>
      <c r="C144" s="169" t="s">
        <v>710</v>
      </c>
      <c r="D144" s="269">
        <v>18</v>
      </c>
      <c r="E144" s="169" t="str">
        <f>VLOOKUP(A144,Estimate!A:D,4,FALSE)</f>
        <v>m3</v>
      </c>
      <c r="G144" s="98"/>
    </row>
    <row r="145" spans="1:7" x14ac:dyDescent="0.25">
      <c r="A145" s="167">
        <v>76.3</v>
      </c>
      <c r="B145" s="168" t="str">
        <f>VLOOKUP(A145,Estimate!A:C,3,FALSE)</f>
        <v>Excavator - 25T</v>
      </c>
      <c r="C145" s="169" t="s">
        <v>400</v>
      </c>
      <c r="D145" s="269">
        <v>2</v>
      </c>
      <c r="E145" s="169" t="str">
        <f>VLOOKUP(A145,Estimate!A:D,4,FALSE)</f>
        <v xml:space="preserve">hr   </v>
      </c>
      <c r="G145" s="98"/>
    </row>
    <row r="146" spans="1:7" x14ac:dyDescent="0.25">
      <c r="A146" s="167">
        <v>76.400000000000006</v>
      </c>
      <c r="B146" s="168" t="str">
        <f>VLOOKUP(A146,Estimate!A:C,3,FALSE)</f>
        <v>Bobcat</v>
      </c>
      <c r="C146" s="169" t="s">
        <v>400</v>
      </c>
      <c r="D146" s="269">
        <v>3</v>
      </c>
      <c r="E146" s="169" t="str">
        <f>VLOOKUP(A146,Estimate!A:D,4,FALSE)</f>
        <v xml:space="preserve">hr   </v>
      </c>
      <c r="G146" s="98"/>
    </row>
    <row r="147" spans="1:7" x14ac:dyDescent="0.25">
      <c r="A147" s="167">
        <v>77</v>
      </c>
      <c r="B147" s="168" t="str">
        <f>VLOOKUP(A147,Estimate!A:C,3,FALSE)</f>
        <v>Culvert 4AA - 3/1200 x 450 (9.6m) Under Road</v>
      </c>
      <c r="C147" s="169" t="s">
        <v>710</v>
      </c>
      <c r="D147" s="269">
        <v>0</v>
      </c>
      <c r="E147" s="169">
        <f>VLOOKUP(A147,Estimate!A:D,4,FALSE)</f>
        <v>0</v>
      </c>
      <c r="G147" s="98"/>
    </row>
    <row r="148" spans="1:7" x14ac:dyDescent="0.25">
      <c r="A148" s="167">
        <v>77.099999999999994</v>
      </c>
      <c r="B148" s="168" t="str">
        <f>VLOOKUP(A148,Estimate!A:C,3,FALSE)</f>
        <v>Box Units to Stand</v>
      </c>
      <c r="C148" s="169" t="s">
        <v>710</v>
      </c>
      <c r="D148" s="269">
        <v>24</v>
      </c>
      <c r="E148" s="169" t="str">
        <f>VLOOKUP(A148,Estimate!A:D,4,FALSE)</f>
        <v>ea</v>
      </c>
      <c r="G148" s="98"/>
    </row>
    <row r="149" spans="1:7" x14ac:dyDescent="0.25">
      <c r="A149" s="167">
        <v>77.2</v>
      </c>
      <c r="B149" s="168" t="str">
        <f>VLOOKUP(A149,Estimate!A:C,3,FALSE)</f>
        <v>Hand Placed Backfill</v>
      </c>
      <c r="C149" s="169" t="s">
        <v>710</v>
      </c>
      <c r="D149" s="269">
        <v>30</v>
      </c>
      <c r="E149" s="169" t="str">
        <f>VLOOKUP(A149,Estimate!A:D,4,FALSE)</f>
        <v>m3</v>
      </c>
      <c r="G149" s="98"/>
    </row>
    <row r="150" spans="1:7" x14ac:dyDescent="0.25">
      <c r="A150" s="167">
        <v>77.3</v>
      </c>
      <c r="B150" s="168" t="str">
        <f>VLOOKUP(A150,Estimate!A:C,3,FALSE)</f>
        <v>Excavator - 25T</v>
      </c>
      <c r="C150" s="169" t="s">
        <v>400</v>
      </c>
      <c r="D150" s="269">
        <v>2</v>
      </c>
      <c r="E150" s="169" t="str">
        <f>VLOOKUP(A150,Estimate!A:D,4,FALSE)</f>
        <v xml:space="preserve">hr   </v>
      </c>
      <c r="G150" s="98"/>
    </row>
    <row r="151" spans="1:7" x14ac:dyDescent="0.25">
      <c r="A151" s="167">
        <v>77.400000000000006</v>
      </c>
      <c r="B151" s="168" t="str">
        <f>VLOOKUP(A151,Estimate!A:C,3,FALSE)</f>
        <v>Bobcat</v>
      </c>
      <c r="C151" s="169" t="s">
        <v>400</v>
      </c>
      <c r="D151" s="269">
        <v>3</v>
      </c>
      <c r="E151" s="169" t="str">
        <f>VLOOKUP(A151,Estimate!A:D,4,FALSE)</f>
        <v xml:space="preserve">hr   </v>
      </c>
      <c r="G151" s="98"/>
    </row>
    <row r="152" spans="1:7" x14ac:dyDescent="0.25">
      <c r="A152" s="167">
        <v>78</v>
      </c>
      <c r="B152" s="168" t="str">
        <f>VLOOKUP(A152,Estimate!A:C,3,FALSE)</f>
        <v>Culvert 6B - 1200 x 450 (9.6m) Under Road</v>
      </c>
      <c r="C152" s="169" t="s">
        <v>710</v>
      </c>
      <c r="D152" s="269">
        <v>0</v>
      </c>
      <c r="E152" s="169">
        <f>VLOOKUP(A152,Estimate!A:D,4,FALSE)</f>
        <v>0</v>
      </c>
      <c r="G152" s="98"/>
    </row>
    <row r="153" spans="1:7" x14ac:dyDescent="0.25">
      <c r="A153" s="167">
        <v>78.099999999999994</v>
      </c>
      <c r="B153" s="168" t="str">
        <f>VLOOKUP(A153,Estimate!A:C,3,FALSE)</f>
        <v>Box Units to Stand</v>
      </c>
      <c r="C153" s="169" t="s">
        <v>710</v>
      </c>
      <c r="D153" s="269">
        <v>8</v>
      </c>
      <c r="E153" s="169" t="str">
        <f>VLOOKUP(A153,Estimate!A:D,4,FALSE)</f>
        <v>ea</v>
      </c>
      <c r="G153" s="98"/>
    </row>
    <row r="154" spans="1:7" x14ac:dyDescent="0.25">
      <c r="A154" s="167">
        <v>78.2</v>
      </c>
      <c r="B154" s="168" t="str">
        <f>VLOOKUP(A154,Estimate!A:C,3,FALSE)</f>
        <v>Hand Placed Backfill</v>
      </c>
      <c r="C154" s="169" t="s">
        <v>710</v>
      </c>
      <c r="D154" s="269">
        <v>24</v>
      </c>
      <c r="E154" s="169" t="str">
        <f>VLOOKUP(A154,Estimate!A:D,4,FALSE)</f>
        <v>m3</v>
      </c>
      <c r="G154" s="98"/>
    </row>
    <row r="155" spans="1:7" x14ac:dyDescent="0.25">
      <c r="A155" s="167">
        <v>78.3</v>
      </c>
      <c r="B155" s="168" t="str">
        <f>VLOOKUP(A155,Estimate!A:C,3,FALSE)</f>
        <v>Excavator - 25T</v>
      </c>
      <c r="C155" s="169" t="s">
        <v>400</v>
      </c>
      <c r="D155" s="269">
        <v>2</v>
      </c>
      <c r="E155" s="169" t="str">
        <f>VLOOKUP(A155,Estimate!A:D,4,FALSE)</f>
        <v xml:space="preserve">hr   </v>
      </c>
      <c r="G155" s="98"/>
    </row>
    <row r="156" spans="1:7" x14ac:dyDescent="0.25">
      <c r="A156" s="167">
        <v>78.400000000000006</v>
      </c>
      <c r="B156" s="168" t="str">
        <f>VLOOKUP(A156,Estimate!A:C,3,FALSE)</f>
        <v>Bobcat</v>
      </c>
      <c r="C156" s="169" t="s">
        <v>400</v>
      </c>
      <c r="D156" s="269">
        <v>3</v>
      </c>
      <c r="E156" s="169" t="str">
        <f>VLOOKUP(A156,Estimate!A:D,4,FALSE)</f>
        <v xml:space="preserve">hr   </v>
      </c>
      <c r="G156" s="98"/>
    </row>
    <row r="157" spans="1:7" x14ac:dyDescent="0.25">
      <c r="A157" s="167">
        <v>79</v>
      </c>
      <c r="B157" s="168" t="str">
        <f>VLOOKUP(A157,Estimate!A:C,3,FALSE)</f>
        <v>Culvert 6V - 1200 x 450 (9.6m) Under Road</v>
      </c>
      <c r="C157" s="169" t="s">
        <v>710</v>
      </c>
      <c r="D157" s="269">
        <v>0</v>
      </c>
      <c r="E157" s="169">
        <f>VLOOKUP(A157,Estimate!A:D,4,FALSE)</f>
        <v>0</v>
      </c>
      <c r="G157" s="98"/>
    </row>
    <row r="158" spans="1:7" x14ac:dyDescent="0.25">
      <c r="A158" s="167">
        <v>79.099999999999994</v>
      </c>
      <c r="B158" s="168" t="str">
        <f>VLOOKUP(A158,Estimate!A:C,3,FALSE)</f>
        <v>Box Units to Stand</v>
      </c>
      <c r="C158" s="169" t="s">
        <v>710</v>
      </c>
      <c r="D158" s="269">
        <v>8</v>
      </c>
      <c r="E158" s="169" t="str">
        <f>VLOOKUP(A158,Estimate!A:D,4,FALSE)</f>
        <v>ea</v>
      </c>
      <c r="G158" s="98"/>
    </row>
    <row r="159" spans="1:7" x14ac:dyDescent="0.25">
      <c r="A159" s="167">
        <v>79.2</v>
      </c>
      <c r="B159" s="168" t="str">
        <f>VLOOKUP(A159,Estimate!A:C,3,FALSE)</f>
        <v>Hand Placed Backfill</v>
      </c>
      <c r="C159" s="169" t="s">
        <v>710</v>
      </c>
      <c r="D159" s="269">
        <v>24</v>
      </c>
      <c r="E159" s="169" t="str">
        <f>VLOOKUP(A159,Estimate!A:D,4,FALSE)</f>
        <v>m3</v>
      </c>
      <c r="G159" s="98"/>
    </row>
    <row r="160" spans="1:7" x14ac:dyDescent="0.25">
      <c r="A160" s="167">
        <v>79.3</v>
      </c>
      <c r="B160" s="168" t="str">
        <f>VLOOKUP(A160,Estimate!A:C,3,FALSE)</f>
        <v>Excavator - 25T</v>
      </c>
      <c r="C160" s="169" t="s">
        <v>400</v>
      </c>
      <c r="D160" s="269">
        <v>2</v>
      </c>
      <c r="E160" s="169" t="str">
        <f>VLOOKUP(A160,Estimate!A:D,4,FALSE)</f>
        <v xml:space="preserve">hr   </v>
      </c>
      <c r="G160" s="98"/>
    </row>
    <row r="161" spans="1:7" x14ac:dyDescent="0.25">
      <c r="A161" s="167">
        <v>79.400000000000006</v>
      </c>
      <c r="B161" s="168" t="str">
        <f>VLOOKUP(A161,Estimate!A:C,3,FALSE)</f>
        <v>Bobcat</v>
      </c>
      <c r="C161" s="169" t="s">
        <v>400</v>
      </c>
      <c r="D161" s="269">
        <v>3</v>
      </c>
      <c r="E161" s="169" t="str">
        <f>VLOOKUP(A161,Estimate!A:D,4,FALSE)</f>
        <v xml:space="preserve">hr   </v>
      </c>
      <c r="G161" s="98"/>
    </row>
    <row r="162" spans="1:7" x14ac:dyDescent="0.25">
      <c r="A162" s="167">
        <v>80</v>
      </c>
      <c r="B162" s="168" t="str">
        <f>VLOOKUP(A162,Estimate!A:C,3,FALSE)</f>
        <v>RCBC - 1200 x 600</v>
      </c>
      <c r="C162" s="169" t="s">
        <v>710</v>
      </c>
      <c r="D162" s="269">
        <v>0</v>
      </c>
      <c r="E162" s="169" t="str">
        <f>VLOOKUP(A162,Estimate!A:D,4,FALSE)</f>
        <v xml:space="preserve">m    </v>
      </c>
      <c r="G162" s="98"/>
    </row>
    <row r="163" spans="1:7" x14ac:dyDescent="0.25">
      <c r="A163" s="167">
        <v>81</v>
      </c>
      <c r="B163" s="168" t="str">
        <f>VLOOKUP(A163,Estimate!A:C,3,FALSE)</f>
        <v>Culvert 6D - 3/1200 x 600 (6m)</v>
      </c>
      <c r="C163" s="169" t="s">
        <v>710</v>
      </c>
      <c r="D163" s="269">
        <v>0</v>
      </c>
      <c r="E163" s="169">
        <f>VLOOKUP(A163,Estimate!A:D,4,FALSE)</f>
        <v>0</v>
      </c>
      <c r="G163" s="98"/>
    </row>
    <row r="164" spans="1:7" x14ac:dyDescent="0.25">
      <c r="A164" s="167">
        <v>81.099999999999994</v>
      </c>
      <c r="B164" s="168" t="str">
        <f>VLOOKUP(A164,Estimate!A:C,3,FALSE)</f>
        <v>Box Units to Stand</v>
      </c>
      <c r="C164" s="169" t="s">
        <v>710</v>
      </c>
      <c r="D164" s="269">
        <v>15</v>
      </c>
      <c r="E164" s="169" t="str">
        <f>VLOOKUP(A164,Estimate!A:D,4,FALSE)</f>
        <v>ea</v>
      </c>
      <c r="G164" s="98"/>
    </row>
    <row r="165" spans="1:7" x14ac:dyDescent="0.25">
      <c r="A165" s="167">
        <v>81.2</v>
      </c>
      <c r="B165" s="168" t="str">
        <f>VLOOKUP(A165,Estimate!A:C,3,FALSE)</f>
        <v>Hand Placed Backfill</v>
      </c>
      <c r="C165" s="169" t="s">
        <v>710</v>
      </c>
      <c r="D165" s="269">
        <v>18</v>
      </c>
      <c r="E165" s="169" t="str">
        <f>VLOOKUP(A165,Estimate!A:D,4,FALSE)</f>
        <v>m3</v>
      </c>
      <c r="G165" s="98"/>
    </row>
    <row r="166" spans="1:7" x14ac:dyDescent="0.25">
      <c r="A166" s="167">
        <v>81.3</v>
      </c>
      <c r="B166" s="168" t="str">
        <f>VLOOKUP(A166,Estimate!A:C,3,FALSE)</f>
        <v>Excavator - 25T</v>
      </c>
      <c r="C166" s="169" t="s">
        <v>400</v>
      </c>
      <c r="D166" s="269">
        <v>2</v>
      </c>
      <c r="E166" s="169" t="str">
        <f>VLOOKUP(A166,Estimate!A:D,4,FALSE)</f>
        <v xml:space="preserve">hr   </v>
      </c>
      <c r="G166" s="98"/>
    </row>
    <row r="167" spans="1:7" x14ac:dyDescent="0.25">
      <c r="A167" s="167">
        <v>81.400000000000006</v>
      </c>
      <c r="B167" s="168" t="str">
        <f>VLOOKUP(A167,Estimate!A:C,3,FALSE)</f>
        <v>Bobcat</v>
      </c>
      <c r="C167" s="169" t="s">
        <v>400</v>
      </c>
      <c r="D167" s="269">
        <v>3</v>
      </c>
      <c r="E167" s="169" t="str">
        <f>VLOOKUP(A167,Estimate!A:D,4,FALSE)</f>
        <v xml:space="preserve">hr   </v>
      </c>
      <c r="G167" s="98"/>
    </row>
    <row r="168" spans="1:7" x14ac:dyDescent="0.25">
      <c r="A168" s="167">
        <v>82</v>
      </c>
      <c r="B168" s="168" t="str">
        <f>VLOOKUP(A168,Estimate!A:C,3,FALSE)</f>
        <v>Culvert 6F - 2/1200 x 600 (6m)</v>
      </c>
      <c r="C168" s="169" t="s">
        <v>710</v>
      </c>
      <c r="D168" s="269">
        <v>0</v>
      </c>
      <c r="E168" s="169">
        <f>VLOOKUP(A168,Estimate!A:D,4,FALSE)</f>
        <v>0</v>
      </c>
      <c r="G168" s="98"/>
    </row>
    <row r="169" spans="1:7" x14ac:dyDescent="0.25">
      <c r="A169" s="167">
        <v>82.1</v>
      </c>
      <c r="B169" s="168" t="str">
        <f>VLOOKUP(A169,Estimate!A:C,3,FALSE)</f>
        <v>Box Units to Stand</v>
      </c>
      <c r="C169" s="169" t="s">
        <v>710</v>
      </c>
      <c r="D169" s="269">
        <v>10</v>
      </c>
      <c r="E169" s="169" t="str">
        <f>VLOOKUP(A169,Estimate!A:D,4,FALSE)</f>
        <v>ea</v>
      </c>
      <c r="G169" s="98"/>
    </row>
    <row r="170" spans="1:7" x14ac:dyDescent="0.25">
      <c r="A170" s="167">
        <v>82.2</v>
      </c>
      <c r="B170" s="168" t="str">
        <f>VLOOKUP(A170,Estimate!A:C,3,FALSE)</f>
        <v>Hand Placed Backfill</v>
      </c>
      <c r="C170" s="169" t="s">
        <v>710</v>
      </c>
      <c r="D170" s="269">
        <v>18</v>
      </c>
      <c r="E170" s="169" t="str">
        <f>VLOOKUP(A170,Estimate!A:D,4,FALSE)</f>
        <v>m3</v>
      </c>
      <c r="G170" s="98"/>
    </row>
    <row r="171" spans="1:7" x14ac:dyDescent="0.25">
      <c r="A171" s="167">
        <v>82.3</v>
      </c>
      <c r="B171" s="168" t="str">
        <f>VLOOKUP(A171,Estimate!A:C,3,FALSE)</f>
        <v>Excavator - 25T</v>
      </c>
      <c r="C171" s="169" t="s">
        <v>400</v>
      </c>
      <c r="D171" s="269">
        <v>2</v>
      </c>
      <c r="E171" s="169" t="str">
        <f>VLOOKUP(A171,Estimate!A:D,4,FALSE)</f>
        <v xml:space="preserve">hr   </v>
      </c>
      <c r="G171" s="98"/>
    </row>
    <row r="172" spans="1:7" x14ac:dyDescent="0.25">
      <c r="A172" s="167">
        <v>82.4</v>
      </c>
      <c r="B172" s="168" t="str">
        <f>VLOOKUP(A172,Estimate!A:C,3,FALSE)</f>
        <v>Bobcat</v>
      </c>
      <c r="C172" s="169" t="s">
        <v>400</v>
      </c>
      <c r="D172" s="269">
        <v>3</v>
      </c>
      <c r="E172" s="169" t="str">
        <f>VLOOKUP(A172,Estimate!A:D,4,FALSE)</f>
        <v xml:space="preserve">hr   </v>
      </c>
      <c r="G172" s="98"/>
    </row>
    <row r="173" spans="1:7" x14ac:dyDescent="0.25">
      <c r="A173" s="167">
        <v>83</v>
      </c>
      <c r="B173" s="168" t="str">
        <f>VLOOKUP(A173,Estimate!A:C,3,FALSE)</f>
        <v>Culvert 4U 2/1200 x 600 (10.8m) Under Road</v>
      </c>
      <c r="C173" s="169" t="s">
        <v>710</v>
      </c>
      <c r="D173" s="269">
        <v>0</v>
      </c>
      <c r="E173" s="169">
        <f>VLOOKUP(A173,Estimate!A:D,4,FALSE)</f>
        <v>0</v>
      </c>
      <c r="G173" s="98"/>
    </row>
    <row r="174" spans="1:7" x14ac:dyDescent="0.25">
      <c r="A174" s="167">
        <v>83.1</v>
      </c>
      <c r="B174" s="168" t="str">
        <f>VLOOKUP(A174,Estimate!A:C,3,FALSE)</f>
        <v>Box Units to Stand</v>
      </c>
      <c r="C174" s="169" t="s">
        <v>710</v>
      </c>
      <c r="D174" s="269">
        <v>36</v>
      </c>
      <c r="E174" s="169" t="str">
        <f>VLOOKUP(A174,Estimate!A:D,4,FALSE)</f>
        <v>ea</v>
      </c>
      <c r="G174" s="98"/>
    </row>
    <row r="175" spans="1:7" x14ac:dyDescent="0.25">
      <c r="A175" s="167">
        <v>83.2</v>
      </c>
      <c r="B175" s="168" t="str">
        <f>VLOOKUP(A175,Estimate!A:C,3,FALSE)</f>
        <v>Hand Placed Backfill</v>
      </c>
      <c r="C175" s="169" t="s">
        <v>710</v>
      </c>
      <c r="D175" s="269">
        <v>32</v>
      </c>
      <c r="E175" s="169" t="str">
        <f>VLOOKUP(A175,Estimate!A:D,4,FALSE)</f>
        <v>m3</v>
      </c>
      <c r="G175" s="98"/>
    </row>
    <row r="176" spans="1:7" x14ac:dyDescent="0.25">
      <c r="A176" s="167">
        <v>83.3</v>
      </c>
      <c r="B176" s="168" t="str">
        <f>VLOOKUP(A176,Estimate!A:C,3,FALSE)</f>
        <v>Excavator - 25T</v>
      </c>
      <c r="C176" s="169" t="s">
        <v>400</v>
      </c>
      <c r="D176" s="269">
        <v>2</v>
      </c>
      <c r="E176" s="169" t="str">
        <f>VLOOKUP(A176,Estimate!A:D,4,FALSE)</f>
        <v xml:space="preserve">hr   </v>
      </c>
      <c r="G176" s="98"/>
    </row>
    <row r="177" spans="1:7" x14ac:dyDescent="0.25">
      <c r="A177" s="167">
        <v>83.4</v>
      </c>
      <c r="B177" s="168" t="str">
        <f>VLOOKUP(A177,Estimate!A:C,3,FALSE)</f>
        <v>Bobcat</v>
      </c>
      <c r="C177" s="169" t="s">
        <v>400</v>
      </c>
      <c r="D177" s="269">
        <v>3</v>
      </c>
      <c r="E177" s="169" t="str">
        <f>VLOOKUP(A177,Estimate!A:D,4,FALSE)</f>
        <v xml:space="preserve">hr   </v>
      </c>
      <c r="G177" s="98"/>
    </row>
    <row r="178" spans="1:7" x14ac:dyDescent="0.25">
      <c r="A178" s="167">
        <v>84</v>
      </c>
      <c r="B178" s="168" t="str">
        <f>VLOOKUP(A178,Estimate!A:C,3,FALSE)</f>
        <v>Culvert 5D - 2/1200 x 600 ((.6m) Under Road</v>
      </c>
      <c r="C178" s="169" t="s">
        <v>710</v>
      </c>
      <c r="D178" s="269">
        <v>0</v>
      </c>
      <c r="E178" s="169">
        <f>VLOOKUP(A178,Estimate!A:D,4,FALSE)</f>
        <v>0</v>
      </c>
      <c r="G178" s="98"/>
    </row>
    <row r="179" spans="1:7" x14ac:dyDescent="0.25">
      <c r="A179" s="167">
        <v>84.1</v>
      </c>
      <c r="B179" s="168" t="str">
        <f>VLOOKUP(A179,Estimate!A:C,3,FALSE)</f>
        <v>Box Units to Stand</v>
      </c>
      <c r="C179" s="169" t="s">
        <v>710</v>
      </c>
      <c r="D179" s="269">
        <v>10</v>
      </c>
      <c r="E179" s="169" t="str">
        <f>VLOOKUP(A179,Estimate!A:D,4,FALSE)</f>
        <v>ea</v>
      </c>
      <c r="G179" s="98"/>
    </row>
    <row r="180" spans="1:7" x14ac:dyDescent="0.25">
      <c r="A180" s="167">
        <v>84.2</v>
      </c>
      <c r="B180" s="168" t="str">
        <f>VLOOKUP(A180,Estimate!A:C,3,FALSE)</f>
        <v>Hand Placed Backfill</v>
      </c>
      <c r="C180" s="169" t="s">
        <v>710</v>
      </c>
      <c r="D180" s="269">
        <v>18</v>
      </c>
      <c r="E180" s="169" t="str">
        <f>VLOOKUP(A180,Estimate!A:D,4,FALSE)</f>
        <v>m3</v>
      </c>
      <c r="G180" s="98"/>
    </row>
    <row r="181" spans="1:7" x14ac:dyDescent="0.25">
      <c r="A181" s="167">
        <v>84.3</v>
      </c>
      <c r="B181" s="168" t="str">
        <f>VLOOKUP(A181,Estimate!A:C,3,FALSE)</f>
        <v>Excavator - 25T</v>
      </c>
      <c r="C181" s="169" t="s">
        <v>400</v>
      </c>
      <c r="D181" s="269">
        <v>2</v>
      </c>
      <c r="E181" s="169" t="str">
        <f>VLOOKUP(A181,Estimate!A:D,4,FALSE)</f>
        <v xml:space="preserve">hr   </v>
      </c>
      <c r="G181" s="98"/>
    </row>
    <row r="182" spans="1:7" x14ac:dyDescent="0.25">
      <c r="A182" s="167">
        <v>84.4</v>
      </c>
      <c r="B182" s="168" t="str">
        <f>VLOOKUP(A182,Estimate!A:C,3,FALSE)</f>
        <v>Bobcat</v>
      </c>
      <c r="C182" s="169" t="s">
        <v>400</v>
      </c>
      <c r="D182" s="269">
        <v>3</v>
      </c>
      <c r="E182" s="169" t="str">
        <f>VLOOKUP(A182,Estimate!A:D,4,FALSE)</f>
        <v xml:space="preserve">hr   </v>
      </c>
      <c r="G182" s="98"/>
    </row>
    <row r="183" spans="1:7" x14ac:dyDescent="0.25">
      <c r="A183" s="167">
        <v>85</v>
      </c>
      <c r="B183" s="168" t="str">
        <f>VLOOKUP(A183,Estimate!A:C,3,FALSE)</f>
        <v>Culvert 5M - 4/1200 x 600 (10.8m) Under Road</v>
      </c>
      <c r="C183" s="169" t="s">
        <v>710</v>
      </c>
      <c r="D183" s="269">
        <v>0</v>
      </c>
      <c r="E183" s="169">
        <f>VLOOKUP(A183,Estimate!A:D,4,FALSE)</f>
        <v>0</v>
      </c>
      <c r="G183" s="98"/>
    </row>
    <row r="184" spans="1:7" x14ac:dyDescent="0.25">
      <c r="A184" s="167">
        <v>85.1</v>
      </c>
      <c r="B184" s="168" t="str">
        <f>VLOOKUP(A184,Estimate!A:C,3,FALSE)</f>
        <v>Box Units to Stand</v>
      </c>
      <c r="C184" s="169" t="s">
        <v>710</v>
      </c>
      <c r="D184" s="269">
        <v>36</v>
      </c>
      <c r="E184" s="169" t="str">
        <f>VLOOKUP(A184,Estimate!A:D,4,FALSE)</f>
        <v>ea</v>
      </c>
      <c r="G184" s="98"/>
    </row>
    <row r="185" spans="1:7" x14ac:dyDescent="0.25">
      <c r="A185" s="167">
        <v>85.2</v>
      </c>
      <c r="B185" s="168" t="str">
        <f>VLOOKUP(A185,Estimate!A:C,3,FALSE)</f>
        <v>Hand Placed Backfill</v>
      </c>
      <c r="C185" s="169" t="s">
        <v>710</v>
      </c>
      <c r="D185" s="269">
        <v>30</v>
      </c>
      <c r="E185" s="169" t="str">
        <f>VLOOKUP(A185,Estimate!A:D,4,FALSE)</f>
        <v>m3</v>
      </c>
      <c r="G185" s="98"/>
    </row>
    <row r="186" spans="1:7" x14ac:dyDescent="0.25">
      <c r="A186" s="167">
        <v>85.3</v>
      </c>
      <c r="B186" s="168" t="str">
        <f>VLOOKUP(A186,Estimate!A:C,3,FALSE)</f>
        <v>Excavator - 25T</v>
      </c>
      <c r="C186" s="169" t="s">
        <v>400</v>
      </c>
      <c r="D186" s="269">
        <v>2</v>
      </c>
      <c r="E186" s="169" t="str">
        <f>VLOOKUP(A186,Estimate!A:D,4,FALSE)</f>
        <v xml:space="preserve">hr   </v>
      </c>
      <c r="G186" s="98"/>
    </row>
    <row r="187" spans="1:7" x14ac:dyDescent="0.25">
      <c r="A187" s="167">
        <v>85.4</v>
      </c>
      <c r="B187" s="168" t="str">
        <f>VLOOKUP(A187,Estimate!A:C,3,FALSE)</f>
        <v>Bobcat</v>
      </c>
      <c r="C187" s="169" t="s">
        <v>400</v>
      </c>
      <c r="D187" s="269">
        <v>3</v>
      </c>
      <c r="E187" s="169" t="str">
        <f>VLOOKUP(A187,Estimate!A:D,4,FALSE)</f>
        <v xml:space="preserve">hr   </v>
      </c>
      <c r="G187" s="98"/>
    </row>
    <row r="188" spans="1:7" x14ac:dyDescent="0.25">
      <c r="A188" s="167">
        <v>86</v>
      </c>
      <c r="B188" s="168" t="str">
        <f>VLOOKUP(A188,Estimate!A:C,3,FALSE)</f>
        <v>Cast in situ headwalls</v>
      </c>
      <c r="C188" s="169" t="s">
        <v>710</v>
      </c>
      <c r="D188" s="269">
        <v>35</v>
      </c>
      <c r="E188" s="169" t="str">
        <f>VLOOKUP(A188,Estimate!A:D,4,FALSE)</f>
        <v xml:space="preserve">cum  </v>
      </c>
      <c r="G188" s="98"/>
    </row>
    <row r="189" spans="1:7" x14ac:dyDescent="0.25">
      <c r="A189" s="167">
        <v>87</v>
      </c>
      <c r="B189" s="168" t="str">
        <f>VLOOKUP(A189,Estimate!A:C,3,FALSE)</f>
        <v>375 HW</v>
      </c>
      <c r="C189" s="169" t="s">
        <v>710</v>
      </c>
      <c r="D189" s="269">
        <v>1</v>
      </c>
      <c r="E189" s="169" t="str">
        <f>VLOOKUP(A189,Estimate!A:D,4,FALSE)</f>
        <v xml:space="preserve">ea   </v>
      </c>
      <c r="G189" s="98"/>
    </row>
    <row r="190" spans="1:7" x14ac:dyDescent="0.25">
      <c r="A190" s="167">
        <v>87.1</v>
      </c>
      <c r="B190" s="168" t="str">
        <f>VLOOKUP(A190,Estimate!A:C,3,FALSE)</f>
        <v>Excavator - 25T</v>
      </c>
      <c r="C190" s="169" t="s">
        <v>400</v>
      </c>
      <c r="D190" s="269">
        <v>1</v>
      </c>
      <c r="E190" s="169" t="str">
        <f>VLOOKUP(A190,Estimate!A:D,4,FALSE)</f>
        <v xml:space="preserve">hr   </v>
      </c>
      <c r="G190" s="98"/>
    </row>
    <row r="191" spans="1:7" x14ac:dyDescent="0.25">
      <c r="A191" s="167">
        <v>88</v>
      </c>
      <c r="B191" s="168" t="str">
        <f>VLOOKUP(A191,Estimate!A:C,3,FALSE)</f>
        <v>375 Sloping HW</v>
      </c>
      <c r="C191" s="169" t="s">
        <v>710</v>
      </c>
      <c r="D191" s="269">
        <v>18</v>
      </c>
      <c r="E191" s="169" t="str">
        <f>VLOOKUP(A191,Estimate!A:D,4,FALSE)</f>
        <v xml:space="preserve">ea   </v>
      </c>
      <c r="G191" s="98"/>
    </row>
    <row r="192" spans="1:7" x14ac:dyDescent="0.25">
      <c r="A192" s="167">
        <v>88.1</v>
      </c>
      <c r="B192" s="168" t="str">
        <f>VLOOKUP(A192,Estimate!A:C,3,FALSE)</f>
        <v>Excavator - 25T</v>
      </c>
      <c r="C192" s="169" t="s">
        <v>400</v>
      </c>
      <c r="D192" s="269">
        <v>1</v>
      </c>
      <c r="E192" s="169" t="str">
        <f>VLOOKUP(A192,Estimate!A:D,4,FALSE)</f>
        <v xml:space="preserve">hr   </v>
      </c>
      <c r="G192" s="98"/>
    </row>
    <row r="193" spans="1:7" x14ac:dyDescent="0.25">
      <c r="A193" s="167">
        <v>89</v>
      </c>
      <c r="B193" s="168" t="str">
        <f>VLOOKUP(A193,Estimate!A:C,3,FALSE)</f>
        <v>450 Sloping HW</v>
      </c>
      <c r="C193" s="169" t="s">
        <v>710</v>
      </c>
      <c r="D193" s="269">
        <v>20</v>
      </c>
      <c r="E193" s="169" t="str">
        <f>VLOOKUP(A193,Estimate!A:D,4,FALSE)</f>
        <v xml:space="preserve">ea   </v>
      </c>
      <c r="G193" s="98"/>
    </row>
    <row r="194" spans="1:7" x14ac:dyDescent="0.25">
      <c r="A194" s="167">
        <v>89.1</v>
      </c>
      <c r="B194" s="168" t="str">
        <f>VLOOKUP(A194,Estimate!A:C,3,FALSE)</f>
        <v>Excavator - 25T</v>
      </c>
      <c r="C194" s="169" t="s">
        <v>400</v>
      </c>
      <c r="D194" s="269">
        <v>1</v>
      </c>
      <c r="E194" s="169" t="str">
        <f>VLOOKUP(A194,Estimate!A:D,4,FALSE)</f>
        <v xml:space="preserve">hr   </v>
      </c>
      <c r="G194" s="98"/>
    </row>
    <row r="195" spans="1:7" x14ac:dyDescent="0.25">
      <c r="A195" s="167">
        <v>90</v>
      </c>
      <c r="B195" s="168" t="str">
        <f>VLOOKUP(A195,Estimate!A:C,3,FALSE)</f>
        <v>B1 Kerb</v>
      </c>
      <c r="C195" s="169" t="s">
        <v>710</v>
      </c>
      <c r="D195" s="269">
        <v>48</v>
      </c>
      <c r="E195" s="169" t="str">
        <f>VLOOKUP(A195,Estimate!A:D,4,FALSE)</f>
        <v xml:space="preserve">m    </v>
      </c>
      <c r="G195" s="98"/>
    </row>
    <row r="196" spans="1:7" x14ac:dyDescent="0.25">
      <c r="A196" s="167">
        <v>91</v>
      </c>
      <c r="B196" s="168" t="str">
        <f>VLOOKUP(A196,Estimate!A:C,3,FALSE)</f>
        <v>SM5 Kerb</v>
      </c>
      <c r="C196" s="169" t="s">
        <v>710</v>
      </c>
      <c r="D196" s="269">
        <v>62</v>
      </c>
      <c r="E196" s="169" t="str">
        <f>VLOOKUP(A196,Estimate!A:D,4,FALSE)</f>
        <v xml:space="preserve">m    </v>
      </c>
      <c r="G196" s="98"/>
    </row>
    <row r="197" spans="1:7" x14ac:dyDescent="0.25">
      <c r="A197" s="167">
        <v>92</v>
      </c>
      <c r="B197" s="168" t="str">
        <f>VLOOKUP(A197,Estimate!A:C,3,FALSE)</f>
        <v>Sub-soil</v>
      </c>
      <c r="C197" s="169" t="s">
        <v>710</v>
      </c>
      <c r="D197" s="269">
        <v>1520</v>
      </c>
      <c r="E197" s="169" t="str">
        <f>VLOOKUP(A197,Estimate!A:D,4,FALSE)</f>
        <v xml:space="preserve">m    </v>
      </c>
      <c r="G197" s="98"/>
    </row>
    <row r="198" spans="1:7" x14ac:dyDescent="0.25">
      <c r="A198" s="167">
        <v>92.1</v>
      </c>
      <c r="B198" s="168" t="str">
        <f>VLOOKUP(A198,Estimate!A:C,3,FALSE)</f>
        <v>Excavator - 25T</v>
      </c>
      <c r="C198" s="169" t="s">
        <v>400</v>
      </c>
      <c r="D198" s="269">
        <v>11.11</v>
      </c>
      <c r="E198" s="169" t="str">
        <f>VLOOKUP(A198,Estimate!A:D,4,FALSE)</f>
        <v xml:space="preserve">hr   </v>
      </c>
      <c r="G198" s="98"/>
    </row>
    <row r="199" spans="1:7" x14ac:dyDescent="0.25">
      <c r="A199" s="167">
        <v>93</v>
      </c>
      <c r="B199" s="168" t="str">
        <f>VLOOKUP(A199,Estimate!A:C,3,FALSE)</f>
        <v>PAVEMENTS</v>
      </c>
      <c r="C199" s="169" t="s">
        <v>710</v>
      </c>
      <c r="D199" s="269">
        <v>0</v>
      </c>
      <c r="E199" s="169">
        <f>VLOOKUP(A199,Estimate!A:D,4,FALSE)</f>
        <v>0</v>
      </c>
      <c r="G199" s="98"/>
    </row>
    <row r="200" spans="1:7" x14ac:dyDescent="0.25">
      <c r="A200" s="167">
        <v>94</v>
      </c>
      <c r="B200" s="168" t="str">
        <f>VLOOKUP(A200,Estimate!A:C,3,FALSE)</f>
        <v>Place only 2.3</v>
      </c>
      <c r="C200" s="169" t="s">
        <v>710</v>
      </c>
      <c r="D200" s="269">
        <v>1135</v>
      </c>
      <c r="E200" s="169" t="str">
        <f>VLOOKUP(A200,Estimate!A:D,4,FALSE)</f>
        <v>m3</v>
      </c>
      <c r="G200" s="98"/>
    </row>
    <row r="201" spans="1:7" x14ac:dyDescent="0.25">
      <c r="A201" s="167">
        <v>95</v>
      </c>
      <c r="B201" s="168" t="str">
        <f>VLOOKUP(A201,Estimate!A:C,3,FALSE)</f>
        <v>Grader</v>
      </c>
      <c r="C201" s="169" t="s">
        <v>400</v>
      </c>
      <c r="D201" s="269">
        <v>44.44</v>
      </c>
      <c r="E201" s="169" t="str">
        <f>VLOOKUP(A201,Estimate!A:D,4,FALSE)</f>
        <v xml:space="preserve">hr   </v>
      </c>
      <c r="G201" s="98"/>
    </row>
    <row r="202" spans="1:7" x14ac:dyDescent="0.25">
      <c r="A202" s="167">
        <v>96</v>
      </c>
      <c r="B202" s="168" t="str">
        <f>VLOOKUP(A202,Estimate!A:C,3,FALSE)</f>
        <v>Place Only 2.1</v>
      </c>
      <c r="C202" s="169" t="s">
        <v>710</v>
      </c>
      <c r="D202" s="269">
        <v>1490</v>
      </c>
      <c r="E202" s="169" t="str">
        <f>VLOOKUP(A202,Estimate!A:D,4,FALSE)</f>
        <v>m3</v>
      </c>
      <c r="G202" s="98"/>
    </row>
    <row r="203" spans="1:7" x14ac:dyDescent="0.25">
      <c r="A203" s="167">
        <v>96.1</v>
      </c>
      <c r="B203" s="168" t="str">
        <f>VLOOKUP(A203,Estimate!A:C,3,FALSE)</f>
        <v>Grader</v>
      </c>
      <c r="C203" s="169" t="s">
        <v>400</v>
      </c>
      <c r="D203" s="269">
        <v>66.67</v>
      </c>
      <c r="E203" s="169" t="str">
        <f>VLOOKUP(A203,Estimate!A:D,4,FALSE)</f>
        <v xml:space="preserve">hr   </v>
      </c>
      <c r="G203" s="98"/>
    </row>
    <row r="204" spans="1:7" s="98" customFormat="1" x14ac:dyDescent="0.25">
      <c r="A204" s="167">
        <v>96.2</v>
      </c>
      <c r="B204" s="168" t="str">
        <f>VLOOKUP(A204,Estimate!A:C,3,FALSE)</f>
        <v>Grader</v>
      </c>
      <c r="C204" s="169" t="s">
        <v>400</v>
      </c>
      <c r="D204" s="269">
        <v>300</v>
      </c>
      <c r="E204" s="169" t="str">
        <f>VLOOKUP(A204,Estimate!A:D,4,FALSE)</f>
        <v xml:space="preserve">hr   </v>
      </c>
    </row>
    <row r="205" spans="1:7" x14ac:dyDescent="0.25">
      <c r="A205" s="167">
        <v>97</v>
      </c>
      <c r="B205" s="168" t="str">
        <f>VLOOKUP(A205,Estimate!A:C,3,FALSE)</f>
        <v>First Coat AMC5</v>
      </c>
      <c r="C205" s="169" t="s">
        <v>710</v>
      </c>
      <c r="D205" s="269">
        <v>9380</v>
      </c>
      <c r="E205" s="169" t="str">
        <f>VLOOKUP(A205,Estimate!A:D,4,FALSE)</f>
        <v xml:space="preserve">sqm  </v>
      </c>
      <c r="G205" s="98"/>
    </row>
    <row r="206" spans="1:7" x14ac:dyDescent="0.25">
      <c r="A206" s="167">
        <v>98</v>
      </c>
      <c r="B206" s="168" t="str">
        <f>VLOOKUP(A206,Estimate!A:C,3,FALSE)</f>
        <v>Second Coat</v>
      </c>
      <c r="C206" s="169" t="s">
        <v>710</v>
      </c>
      <c r="D206" s="269">
        <v>9380</v>
      </c>
      <c r="E206" s="169" t="str">
        <f>VLOOKUP(A206,Estimate!A:D,4,FALSE)</f>
        <v xml:space="preserve">sqm  </v>
      </c>
      <c r="G206" s="98"/>
    </row>
    <row r="207" spans="1:7" x14ac:dyDescent="0.25">
      <c r="A207" s="167">
        <v>99</v>
      </c>
      <c r="B207" s="168" t="str">
        <f>VLOOKUP(A207,Estimate!A:C,3,FALSE)</f>
        <v>Pavement Markings - Longitudinal Lines</v>
      </c>
      <c r="C207" s="169" t="s">
        <v>710</v>
      </c>
      <c r="D207" s="269">
        <v>3404</v>
      </c>
      <c r="E207" s="169" t="str">
        <f>VLOOKUP(A207,Estimate!A:D,4,FALSE)</f>
        <v xml:space="preserve">m    </v>
      </c>
      <c r="G207" s="98"/>
    </row>
    <row r="208" spans="1:7" x14ac:dyDescent="0.25">
      <c r="A208" s="167">
        <v>100</v>
      </c>
      <c r="B208" s="168" t="str">
        <f>VLOOKUP(A208,Estimate!A:C,3,FALSE)</f>
        <v>Pavement Marking (Transverse etc)</v>
      </c>
      <c r="C208" s="169" t="s">
        <v>710</v>
      </c>
      <c r="D208" s="269">
        <v>1</v>
      </c>
      <c r="E208" s="169" t="str">
        <f>VLOOKUP(A208,Estimate!A:D,4,FALSE)</f>
        <v xml:space="preserve">LS   </v>
      </c>
      <c r="G208" s="98"/>
    </row>
    <row r="209" spans="1:7" x14ac:dyDescent="0.25">
      <c r="A209" s="167">
        <v>101</v>
      </c>
      <c r="B209" s="168" t="str">
        <f>VLOOKUP(A209,Estimate!A:C,3,FALSE)</f>
        <v>Remove &amp; reinstate exisiting signs &amp; supports</v>
      </c>
      <c r="C209" s="169" t="s">
        <v>710</v>
      </c>
      <c r="D209" s="269">
        <v>1</v>
      </c>
      <c r="E209" s="169" t="str">
        <f>VLOOKUP(A209,Estimate!A:D,4,FALSE)</f>
        <v xml:space="preserve">LS   </v>
      </c>
      <c r="G209" s="98"/>
    </row>
    <row r="210" spans="1:7" x14ac:dyDescent="0.25">
      <c r="A210" s="167">
        <v>102</v>
      </c>
      <c r="B210" s="168" t="str">
        <f>VLOOKUP(A210,Estimate!A:C,3,FALSE)</f>
        <v>Supply &amp; Install all signs complete</v>
      </c>
      <c r="C210" s="169" t="s">
        <v>710</v>
      </c>
      <c r="D210" s="269">
        <v>26</v>
      </c>
      <c r="E210" s="169" t="str">
        <f>VLOOKUP(A210,Estimate!A:D,4,FALSE)</f>
        <v xml:space="preserve">ea   </v>
      </c>
      <c r="G210" s="98"/>
    </row>
    <row r="211" spans="1:7" x14ac:dyDescent="0.25">
      <c r="A211" s="167">
        <v>102.1</v>
      </c>
      <c r="B211" s="168" t="str">
        <f>VLOOKUP(A211,Estimate!A:C,3,FALSE)</f>
        <v>Labour</v>
      </c>
      <c r="C211" s="169" t="s">
        <v>398</v>
      </c>
      <c r="D211" s="269">
        <v>2</v>
      </c>
      <c r="E211" s="169" t="str">
        <f>VLOOKUP(A211,Estimate!A:D,4,FALSE)</f>
        <v xml:space="preserve">hr   </v>
      </c>
      <c r="G211" s="98"/>
    </row>
    <row r="212" spans="1:7" x14ac:dyDescent="0.25">
      <c r="A212" s="167">
        <v>103</v>
      </c>
      <c r="B212" s="168" t="str">
        <f>VLOOKUP(A212,Estimate!A:C,3,FALSE)</f>
        <v>Guide Posts</v>
      </c>
      <c r="C212" s="169" t="s">
        <v>710</v>
      </c>
      <c r="D212" s="269">
        <v>131</v>
      </c>
      <c r="E212" s="169" t="str">
        <f>VLOOKUP(A212,Estimate!A:D,4,FALSE)</f>
        <v xml:space="preserve">ea   </v>
      </c>
      <c r="G212" s="98"/>
    </row>
    <row r="213" spans="1:7" x14ac:dyDescent="0.25">
      <c r="A213" s="167">
        <v>104</v>
      </c>
      <c r="B213" s="168" t="str">
        <f>VLOOKUP(A213,Estimate!A:C,3,FALSE)</f>
        <v>MISCELLANEOUS</v>
      </c>
      <c r="C213" s="169"/>
      <c r="D213" s="269"/>
      <c r="E213" s="169"/>
      <c r="G213" s="98"/>
    </row>
    <row r="214" spans="1:7" x14ac:dyDescent="0.25">
      <c r="A214" s="167">
        <v>105</v>
      </c>
      <c r="B214" s="168" t="str">
        <f>VLOOKUP(A214,Estimate!A:C,3,FALSE)</f>
        <v>Grass seeding</v>
      </c>
      <c r="C214" s="169" t="s">
        <v>710</v>
      </c>
      <c r="D214" s="269">
        <v>9200</v>
      </c>
      <c r="E214" s="169" t="str">
        <f>VLOOKUP(A214,Estimate!A:D,4,FALSE)</f>
        <v xml:space="preserve">sqm  </v>
      </c>
      <c r="G214" s="98"/>
    </row>
    <row r="215" spans="1:7" x14ac:dyDescent="0.25">
      <c r="A215" s="167">
        <v>106</v>
      </c>
      <c r="B215" s="168" t="str">
        <f>VLOOKUP(A215,Estimate!A:C,3,FALSE)</f>
        <v>Sawcut Bitumen pavement</v>
      </c>
      <c r="C215" s="169" t="s">
        <v>710</v>
      </c>
      <c r="D215" s="269">
        <v>53</v>
      </c>
      <c r="E215" s="169" t="str">
        <f>VLOOKUP(A215,Estimate!A:D,4,FALSE)</f>
        <v xml:space="preserve">m    </v>
      </c>
      <c r="G215" s="98"/>
    </row>
    <row r="216" spans="1:7" x14ac:dyDescent="0.25">
      <c r="A216" s="167">
        <v>107</v>
      </c>
      <c r="B216" s="168" t="str">
        <f>VLOOKUP(A216,Estimate!A:C,3,FALSE)</f>
        <v>Locate &amp; Protect Services</v>
      </c>
      <c r="C216" s="169" t="s">
        <v>710</v>
      </c>
      <c r="D216" s="269">
        <v>0</v>
      </c>
      <c r="E216" s="169" t="str">
        <f>VLOOKUP(A216,Estimate!A:D,4,FALSE)</f>
        <v xml:space="preserve">LS   </v>
      </c>
      <c r="G216" s="98"/>
    </row>
    <row r="217" spans="1:7" x14ac:dyDescent="0.25">
      <c r="A217" s="167">
        <v>107.1</v>
      </c>
      <c r="B217" s="168" t="str">
        <f>VLOOKUP(A217,Estimate!A:C,3,FALSE)</f>
        <v>Service Locator</v>
      </c>
      <c r="C217" s="169" t="s">
        <v>400</v>
      </c>
      <c r="D217" s="269">
        <v>18</v>
      </c>
      <c r="E217" s="169" t="str">
        <f>VLOOKUP(A217,Estimate!A:D,4,FALSE)</f>
        <v xml:space="preserve">hr   </v>
      </c>
      <c r="G217" s="98"/>
    </row>
    <row r="218" spans="1:7" x14ac:dyDescent="0.25">
      <c r="A218" s="167">
        <v>108</v>
      </c>
      <c r="B218" s="168" t="str">
        <f>VLOOKUP(A218,Estimate!A:C,3,FALSE)</f>
        <v>As Constructed Plans</v>
      </c>
      <c r="C218" s="169" t="s">
        <v>710</v>
      </c>
      <c r="D218" s="269">
        <v>0</v>
      </c>
      <c r="E218" s="169" t="str">
        <f>VLOOKUP(A218,Estimate!A:D,4,FALSE)</f>
        <v xml:space="preserve">LS   </v>
      </c>
      <c r="G218" s="98"/>
    </row>
    <row r="219" spans="1:7" x14ac:dyDescent="0.25">
      <c r="A219" s="167">
        <v>108.1</v>
      </c>
      <c r="B219" s="168" t="str">
        <f>VLOOKUP(A219,Estimate!A:C,3,FALSE)</f>
        <v>Surveyor</v>
      </c>
      <c r="C219" s="169" t="s">
        <v>400</v>
      </c>
      <c r="D219" s="269">
        <v>45</v>
      </c>
      <c r="E219" s="169" t="str">
        <f>VLOOKUP(A219,Estimate!A:D,4,FALSE)</f>
        <v xml:space="preserve">hr   </v>
      </c>
      <c r="G219" s="98"/>
    </row>
    <row r="220" spans="1:7" x14ac:dyDescent="0.25">
      <c r="A220" s="167">
        <v>109</v>
      </c>
      <c r="B220" s="168" t="str">
        <f>VLOOKUP(A220,Estimate!A:C,3,FALSE)</f>
        <v>Principal Supply of Precast Conrete Items</v>
      </c>
      <c r="C220" s="169" t="s">
        <v>710</v>
      </c>
      <c r="D220" s="269">
        <v>0</v>
      </c>
      <c r="E220" s="169" t="str">
        <f>VLOOKUP(A220,Estimate!A:D,4,FALSE)</f>
        <v xml:space="preserve">each </v>
      </c>
      <c r="G220" s="98"/>
    </row>
    <row r="221" spans="1:7" x14ac:dyDescent="0.25">
      <c r="A221" s="167">
        <v>109.1</v>
      </c>
      <c r="B221" s="168" t="str">
        <f>VLOOKUP(A221,Estimate!A:C,3,FALSE)</f>
        <v>375 RCP</v>
      </c>
      <c r="C221" s="169" t="s">
        <v>710</v>
      </c>
      <c r="D221" s="269">
        <v>-58</v>
      </c>
      <c r="E221" s="169" t="str">
        <f>VLOOKUP(A221,Estimate!A:D,4,FALSE)</f>
        <v xml:space="preserve">m    </v>
      </c>
      <c r="G221" s="98"/>
    </row>
    <row r="222" spans="1:7" s="98" customFormat="1" x14ac:dyDescent="0.25">
      <c r="A222" s="167">
        <v>109.2</v>
      </c>
      <c r="B222" s="168" t="str">
        <f>VLOOKUP(A222,Estimate!A:C,3,FALSE)</f>
        <v>450 RCP FJ CL2</v>
      </c>
      <c r="C222" s="169" t="s">
        <v>710</v>
      </c>
      <c r="D222" s="269">
        <v>-44</v>
      </c>
      <c r="E222" s="169" t="str">
        <f>VLOOKUP(A222,Estimate!A:D,4,FALSE)</f>
        <v xml:space="preserve">m    </v>
      </c>
    </row>
    <row r="223" spans="1:7" s="98" customFormat="1" x14ac:dyDescent="0.25">
      <c r="A223" s="167">
        <v>109.3</v>
      </c>
      <c r="B223" s="168" t="str">
        <f>VLOOKUP(A223,Estimate!A:C,3,FALSE)</f>
        <v>RCBC - 1200 x 450</v>
      </c>
      <c r="C223" s="169" t="s">
        <v>710</v>
      </c>
      <c r="D223" s="269">
        <v>-100</v>
      </c>
      <c r="E223" s="169" t="str">
        <f>VLOOKUP(A223,Estimate!A:D,4,FALSE)</f>
        <v xml:space="preserve">m    </v>
      </c>
    </row>
    <row r="224" spans="1:7" s="98" customFormat="1" x14ac:dyDescent="0.25">
      <c r="A224" s="167">
        <v>109.4</v>
      </c>
      <c r="B224" s="168" t="str">
        <f>VLOOKUP(A224,Estimate!A:C,3,FALSE)</f>
        <v>RCBC - 1200 x 600</v>
      </c>
      <c r="C224" s="169" t="s">
        <v>710</v>
      </c>
      <c r="D224" s="269">
        <v>-114</v>
      </c>
      <c r="E224" s="169" t="str">
        <f>VLOOKUP(A224,Estimate!A:D,4,FALSE)</f>
        <v xml:space="preserve">m    </v>
      </c>
    </row>
    <row r="225" spans="1:7" s="98" customFormat="1" x14ac:dyDescent="0.25">
      <c r="A225" s="167">
        <v>109.5</v>
      </c>
      <c r="B225" s="168" t="str">
        <f>VLOOKUP(A225,Estimate!A:C,3,FALSE)</f>
        <v>HW - 375</v>
      </c>
      <c r="C225" s="169" t="s">
        <v>710</v>
      </c>
      <c r="D225" s="269">
        <v>-1</v>
      </c>
      <c r="E225" s="169" t="str">
        <f>VLOOKUP(A225,Estimate!A:D,4,FALSE)</f>
        <v xml:space="preserve">each </v>
      </c>
    </row>
    <row r="226" spans="1:7" s="98" customFormat="1" x14ac:dyDescent="0.25">
      <c r="A226" s="167">
        <v>109.6</v>
      </c>
      <c r="B226" s="168" t="str">
        <f>VLOOKUP(A226,Estimate!A:C,3,FALSE)</f>
        <v>HW - 375 Sloping</v>
      </c>
      <c r="C226" s="169" t="s">
        <v>710</v>
      </c>
      <c r="D226" s="269">
        <v>-18</v>
      </c>
      <c r="E226" s="169" t="str">
        <f>VLOOKUP(A226,Estimate!A:D,4,FALSE)</f>
        <v xml:space="preserve">each </v>
      </c>
    </row>
    <row r="227" spans="1:7" s="98" customFormat="1" x14ac:dyDescent="0.25">
      <c r="A227" s="167">
        <v>109.7</v>
      </c>
      <c r="B227" s="168" t="str">
        <f>VLOOKUP(A227,Estimate!A:C,3,FALSE)</f>
        <v>HW - 450 Sloping</v>
      </c>
      <c r="C227" s="169" t="s">
        <v>710</v>
      </c>
      <c r="D227" s="269">
        <v>-20</v>
      </c>
      <c r="E227" s="169" t="str">
        <f>VLOOKUP(A227,Estimate!A:D,4,FALSE)</f>
        <v xml:space="preserve">each </v>
      </c>
    </row>
    <row r="228" spans="1:7" s="98" customFormat="1" x14ac:dyDescent="0.25">
      <c r="A228" s="167">
        <v>110</v>
      </c>
      <c r="B228" s="168" t="str">
        <f>VLOOKUP(A228,Estimate!A:C,3,FALSE)</f>
        <v>Additional 375RCP at chainage 230.</v>
      </c>
      <c r="C228" s="169" t="s">
        <v>710</v>
      </c>
      <c r="D228" s="269">
        <v>0</v>
      </c>
      <c r="E228" s="169" t="str">
        <f>VLOOKUP(A228,Estimate!A:D,4,FALSE)</f>
        <v xml:space="preserve">each </v>
      </c>
    </row>
    <row r="229" spans="1:7" x14ac:dyDescent="0.25">
      <c r="A229" s="167">
        <v>110.1</v>
      </c>
      <c r="B229" s="168" t="str">
        <f>VLOOKUP(A229,Estimate!A:C,3,FALSE)</f>
        <v>Install Only New RCP:</v>
      </c>
      <c r="C229" s="169" t="s">
        <v>710</v>
      </c>
      <c r="D229" s="269">
        <v>4.88</v>
      </c>
      <c r="E229" s="169" t="str">
        <f>VLOOKUP(A229,Estimate!A:D,4,FALSE)</f>
        <v>m</v>
      </c>
      <c r="G229" s="98"/>
    </row>
    <row r="230" spans="1:7" x14ac:dyDescent="0.25">
      <c r="A230" s="167">
        <v>110.2</v>
      </c>
      <c r="B230" s="168" t="str">
        <f>VLOOKUP(A230,Estimate!A:C,3,FALSE)</f>
        <v>Excavator - 25T</v>
      </c>
      <c r="C230" s="169" t="s">
        <v>400</v>
      </c>
      <c r="D230" s="269">
        <v>0.97</v>
      </c>
      <c r="E230" s="169" t="str">
        <f>VLOOKUP(A230,Estimate!A:D,4,FALSE)</f>
        <v xml:space="preserve">hr   </v>
      </c>
      <c r="G230" s="98"/>
    </row>
    <row r="231" spans="1:7" x14ac:dyDescent="0.25">
      <c r="A231" s="167">
        <v>110.3</v>
      </c>
      <c r="B231" s="168" t="str">
        <f>VLOOKUP(A231,Estimate!A:C,3,FALSE)</f>
        <v>Excavator - 25T</v>
      </c>
      <c r="C231" s="169" t="s">
        <v>400</v>
      </c>
      <c r="D231" s="269">
        <v>1</v>
      </c>
      <c r="E231" s="169" t="str">
        <f>VLOOKUP(A231,Estimate!A:D,4,FALSE)</f>
        <v xml:space="preserve">hr   </v>
      </c>
      <c r="G231" s="98"/>
    </row>
    <row r="232" spans="1:7" ht="30" x14ac:dyDescent="0.25">
      <c r="A232" s="167">
        <v>110.4</v>
      </c>
      <c r="B232" s="168" t="str">
        <f>VLOOKUP(A232,Estimate!A:C,3,FALSE)</f>
        <v>Haul, place, spread, compact &amp; trim (No supply). Round trip of one hour to Foxdale &amp; back to Proserpine. Haul in T&amp;D.</v>
      </c>
      <c r="C232" s="169" t="s">
        <v>710</v>
      </c>
      <c r="D232" s="269">
        <v>2.98</v>
      </c>
      <c r="E232" s="169" t="str">
        <f>VLOOKUP(A232,Estimate!A:D,4,FALSE)</f>
        <v>m3</v>
      </c>
      <c r="G232" s="98"/>
    </row>
    <row r="233" spans="1:7" x14ac:dyDescent="0.25">
      <c r="A233" s="167">
        <v>110.5</v>
      </c>
      <c r="B233" s="168" t="str">
        <f>VLOOKUP(A233,Estimate!A:C,3,FALSE)</f>
        <v>Grader</v>
      </c>
      <c r="C233" s="169" t="s">
        <v>400</v>
      </c>
      <c r="D233" s="269">
        <v>66.67</v>
      </c>
      <c r="E233" s="169" t="str">
        <f>VLOOKUP(A233,Estimate!A:D,4,FALSE)</f>
        <v xml:space="preserve">hr   </v>
      </c>
      <c r="G233" s="98"/>
    </row>
    <row r="234" spans="1:7" x14ac:dyDescent="0.25">
      <c r="A234" s="167">
        <v>110.6</v>
      </c>
      <c r="B234" s="168" t="str">
        <f>VLOOKUP(A234,Estimate!A:C,3,FALSE)</f>
        <v>Grader</v>
      </c>
      <c r="C234" s="169" t="s">
        <v>400</v>
      </c>
      <c r="D234" s="269">
        <v>300</v>
      </c>
      <c r="E234" s="169" t="str">
        <f>VLOOKUP(A234,Estimate!A:D,4,FALSE)</f>
        <v xml:space="preserve">hr   </v>
      </c>
      <c r="G234" s="98"/>
    </row>
    <row r="235" spans="1:7" x14ac:dyDescent="0.25">
      <c r="A235" s="167">
        <v>110.7</v>
      </c>
      <c r="B235" s="168" t="str">
        <f>VLOOKUP(A235,Estimate!A:C,3,FALSE)</f>
        <v>Primer Seal:</v>
      </c>
      <c r="C235" s="169" t="s">
        <v>710</v>
      </c>
      <c r="D235" s="269">
        <v>19.52</v>
      </c>
      <c r="E235" s="169" t="str">
        <f>VLOOKUP(A235,Estimate!A:D,4,FALSE)</f>
        <v xml:space="preserve">m²   </v>
      </c>
      <c r="G235" s="98"/>
    </row>
    <row r="236" spans="1:7" x14ac:dyDescent="0.25">
      <c r="A236" s="167">
        <v>112</v>
      </c>
      <c r="B236" s="168" t="str">
        <f>VLOOKUP(A236,Estimate!A:C,3,FALSE)</f>
        <v>Revised Seal Design</v>
      </c>
      <c r="C236" s="169" t="s">
        <v>710</v>
      </c>
      <c r="D236" s="269">
        <v>9380</v>
      </c>
      <c r="E236" s="169" t="str">
        <f>VLOOKUP(A236,Estimate!A:D,4,FALSE)</f>
        <v>m2</v>
      </c>
      <c r="G236" s="98"/>
    </row>
    <row r="237" spans="1:7" x14ac:dyDescent="0.25">
      <c r="A237" s="167">
        <v>113</v>
      </c>
      <c r="B237" s="168" t="str">
        <f>VLOOKUP(A237,Estimate!A:C,3,FALSE)</f>
        <v>Shape table drain chainage 523-725</v>
      </c>
      <c r="C237" s="169" t="s">
        <v>710</v>
      </c>
      <c r="D237" s="269">
        <v>251</v>
      </c>
      <c r="E237" s="169" t="str">
        <f>VLOOKUP(A237,Estimate!A:D,4,FALSE)</f>
        <v>m3</v>
      </c>
      <c r="G237" s="98"/>
    </row>
    <row r="238" spans="1:7" x14ac:dyDescent="0.25">
      <c r="A238" s="167">
        <v>113.1</v>
      </c>
      <c r="B238" s="168" t="str">
        <f>VLOOKUP(A238,Estimate!A:C,3,FALSE)</f>
        <v>Excavator - 25T</v>
      </c>
      <c r="C238" s="169" t="s">
        <v>400</v>
      </c>
      <c r="D238" s="269">
        <v>44.44</v>
      </c>
      <c r="E238" s="169" t="str">
        <f>VLOOKUP(A238,Estimate!A:D,4,FALSE)</f>
        <v xml:space="preserve">hr   </v>
      </c>
      <c r="G238" s="98"/>
    </row>
    <row r="239" spans="1:7" x14ac:dyDescent="0.25">
      <c r="A239" s="167">
        <v>114</v>
      </c>
      <c r="B239" s="168" t="str">
        <f>VLOOKUP(A239,Estimate!A:C,3,FALSE)</f>
        <v>Nicol St - Revised pavement design</v>
      </c>
      <c r="C239" s="169" t="s">
        <v>710</v>
      </c>
      <c r="D239" s="269">
        <v>0</v>
      </c>
      <c r="E239" s="169" t="str">
        <f>VLOOKUP(A239,Estimate!A:D,4,FALSE)</f>
        <v xml:space="preserve">each </v>
      </c>
      <c r="G239" s="98"/>
    </row>
    <row r="240" spans="1:7" x14ac:dyDescent="0.25">
      <c r="A240" s="167">
        <v>114.1</v>
      </c>
      <c r="B240" s="168" t="str">
        <f>VLOOKUP(A240,Estimate!A:C,3,FALSE)</f>
        <v>General Earthworks (Cut)</v>
      </c>
      <c r="C240" s="169" t="s">
        <v>710</v>
      </c>
      <c r="D240" s="269">
        <v>-524</v>
      </c>
      <c r="E240" s="169" t="str">
        <f>VLOOKUP(A240,Estimate!A:D,4,FALSE)</f>
        <v>m3</v>
      </c>
      <c r="G240" s="98"/>
    </row>
    <row r="241" spans="1:7" x14ac:dyDescent="0.25">
      <c r="A241" s="170">
        <v>114.2</v>
      </c>
      <c r="B241" s="168" t="str">
        <f>VLOOKUP(A241,Estimate!A:C,3,FALSE)</f>
        <v>Excavator - 25T</v>
      </c>
      <c r="C241" s="169" t="s">
        <v>400</v>
      </c>
      <c r="D241" s="269">
        <v>43.54</v>
      </c>
      <c r="E241" s="169" t="str">
        <f>VLOOKUP(A241,Estimate!A:D,4,FALSE)</f>
        <v xml:space="preserve">hr   </v>
      </c>
      <c r="G241" s="98"/>
    </row>
    <row r="242" spans="1:7" x14ac:dyDescent="0.25">
      <c r="A242" s="170">
        <v>114.3</v>
      </c>
      <c r="B242" s="168" t="str">
        <f>VLOOKUP(A242,Estimate!A:C,3,FALSE)</f>
        <v>Place Only 2.3</v>
      </c>
      <c r="C242" s="169" t="s">
        <v>710</v>
      </c>
      <c r="D242" s="269">
        <v>-332</v>
      </c>
      <c r="E242" s="169" t="str">
        <f>VLOOKUP(A242,Estimate!A:D,4,FALSE)</f>
        <v>m3</v>
      </c>
      <c r="G242" s="98"/>
    </row>
    <row r="243" spans="1:7" x14ac:dyDescent="0.25">
      <c r="A243" s="170">
        <v>114.4</v>
      </c>
      <c r="B243" s="168" t="str">
        <f>VLOOKUP(A243,Estimate!A:C,3,FALSE)</f>
        <v>Grader</v>
      </c>
      <c r="C243" s="169" t="s">
        <v>400</v>
      </c>
      <c r="D243" s="269">
        <v>44.44</v>
      </c>
      <c r="E243" s="169" t="str">
        <f>VLOOKUP(A243,Estimate!A:D,4,FALSE)</f>
        <v xml:space="preserve">hr   </v>
      </c>
      <c r="G243" s="98"/>
    </row>
    <row r="244" spans="1:7" x14ac:dyDescent="0.25">
      <c r="A244" s="167">
        <v>114.5</v>
      </c>
      <c r="B244" s="168" t="str">
        <f>VLOOKUP(A244,Estimate!A:C,3,FALSE)</f>
        <v>Place Only 2.1</v>
      </c>
      <c r="C244" s="169" t="s">
        <v>710</v>
      </c>
      <c r="D244" s="269">
        <v>-282</v>
      </c>
      <c r="E244" s="169" t="str">
        <f>VLOOKUP(A244,Estimate!A:D,4,FALSE)</f>
        <v>m3</v>
      </c>
      <c r="G244" s="98"/>
    </row>
    <row r="245" spans="1:7" x14ac:dyDescent="0.25">
      <c r="A245" s="167">
        <v>114.6</v>
      </c>
      <c r="B245" s="168" t="str">
        <f>VLOOKUP(A245,Estimate!A:C,3,FALSE)</f>
        <v>Grader</v>
      </c>
      <c r="C245" s="169" t="s">
        <v>400</v>
      </c>
      <c r="D245" s="269">
        <v>44.44</v>
      </c>
      <c r="E245" s="169" t="str">
        <f>VLOOKUP(A245,Estimate!A:D,4,FALSE)</f>
        <v xml:space="preserve">hr   </v>
      </c>
      <c r="G245" s="98"/>
    </row>
    <row r="246" spans="1:7" x14ac:dyDescent="0.25">
      <c r="A246" s="167">
        <v>114.7</v>
      </c>
      <c r="B246" s="168" t="str">
        <f>VLOOKUP(A246,Estimate!A:C,3,FALSE)</f>
        <v>Grader</v>
      </c>
      <c r="C246" s="169" t="s">
        <v>400</v>
      </c>
      <c r="D246" s="269">
        <v>300</v>
      </c>
      <c r="E246" s="169" t="str">
        <f>VLOOKUP(A246,Estimate!A:D,4,FALSE)</f>
        <v xml:space="preserve">hr   </v>
      </c>
      <c r="G246" s="98"/>
    </row>
    <row r="247" spans="1:7" x14ac:dyDescent="0.25">
      <c r="A247" s="167">
        <v>114.8</v>
      </c>
      <c r="B247" s="168" t="str">
        <f>VLOOKUP(A247,Estimate!A:C,3,FALSE)</f>
        <v>Special Item - Take Up &amp; Stabilise &amp; Relay as Working Platform</v>
      </c>
      <c r="C247" s="169" t="s">
        <v>710</v>
      </c>
      <c r="D247" s="269">
        <v>9</v>
      </c>
      <c r="E247" s="169" t="str">
        <f>VLOOKUP(A247,Estimate!A:D,4,FALSE)</f>
        <v>m3</v>
      </c>
      <c r="G247" s="98"/>
    </row>
    <row r="248" spans="1:7" x14ac:dyDescent="0.25">
      <c r="A248" s="167">
        <v>114.9</v>
      </c>
      <c r="B248" s="168" t="str">
        <f>VLOOKUP(A248,Estimate!A:C,3,FALSE)</f>
        <v>Cement</v>
      </c>
      <c r="C248" s="169" t="s">
        <v>710</v>
      </c>
      <c r="D248" s="269">
        <v>1.2E-2</v>
      </c>
      <c r="E248" s="169" t="str">
        <f>VLOOKUP(A248,Estimate!A:D,4,FALSE)</f>
        <v>tonne</v>
      </c>
      <c r="G248" s="98"/>
    </row>
    <row r="249" spans="1:7" x14ac:dyDescent="0.25">
      <c r="A249" s="167">
        <v>114.91</v>
      </c>
      <c r="B249" s="168" t="str">
        <f>VLOOKUP(A249,Estimate!A:C,3,FALSE)</f>
        <v>CAT297 Stabiliser</v>
      </c>
      <c r="C249" s="169" t="s">
        <v>400</v>
      </c>
      <c r="D249" s="269">
        <v>66.67</v>
      </c>
      <c r="E249" s="169" t="str">
        <f>VLOOKUP(A249,Estimate!A:D,4,FALSE)</f>
        <v xml:space="preserve">hr   </v>
      </c>
      <c r="G249" s="98"/>
    </row>
    <row r="250" spans="1:7" x14ac:dyDescent="0.25">
      <c r="A250" s="167">
        <v>115</v>
      </c>
      <c r="B250" s="168" t="str">
        <f>VLOOKUP(A250,Estimate!A:C,3,FALSE)</f>
        <v>Nicol St - Additional drain outlet</v>
      </c>
      <c r="C250" s="169" t="s">
        <v>710</v>
      </c>
      <c r="D250" s="269">
        <v>50</v>
      </c>
      <c r="E250" s="169" t="str">
        <f>VLOOKUP(A250,Estimate!A:D,4,FALSE)</f>
        <v xml:space="preserve">each </v>
      </c>
      <c r="G250" s="98"/>
    </row>
    <row r="251" spans="1:7" x14ac:dyDescent="0.25">
      <c r="A251" s="167">
        <v>115.1</v>
      </c>
      <c r="B251" s="168" t="str">
        <f>VLOOKUP(A251,Estimate!A:C,3,FALSE)</f>
        <v>Excavator - 8T</v>
      </c>
      <c r="C251" s="169" t="s">
        <v>400</v>
      </c>
      <c r="D251" s="269">
        <v>5</v>
      </c>
      <c r="E251" s="169" t="str">
        <f>VLOOKUP(A251,Estimate!A:D,4,FALSE)</f>
        <v xml:space="preserve">hr   </v>
      </c>
      <c r="G251" s="98"/>
    </row>
    <row r="252" spans="1:7" x14ac:dyDescent="0.25">
      <c r="A252" s="167">
        <v>116</v>
      </c>
      <c r="B252" s="168" t="str">
        <f>VLOOKUP(A252,Estimate!A:C,3,FALSE)</f>
        <v>Nicol St - Subgrade pavement repairs</v>
      </c>
      <c r="C252" s="169" t="s">
        <v>710</v>
      </c>
      <c r="D252" s="269">
        <v>0</v>
      </c>
      <c r="E252" s="169" t="str">
        <f>VLOOKUP(A252,Estimate!A:D,4,FALSE)</f>
        <v xml:space="preserve">each </v>
      </c>
      <c r="G252" s="98"/>
    </row>
    <row r="253" spans="1:7" x14ac:dyDescent="0.25">
      <c r="A253" s="167">
        <v>116.1</v>
      </c>
      <c r="B253" s="168" t="str">
        <f>VLOOKUP(A253,Estimate!A:C,3,FALSE)</f>
        <v>Special Item - Take Up &amp; Stabilise &amp; Relay as Working Platform</v>
      </c>
      <c r="C253" s="169" t="s">
        <v>710</v>
      </c>
      <c r="D253" s="269">
        <v>96.4</v>
      </c>
      <c r="E253" s="169" t="str">
        <f>VLOOKUP(A253,Estimate!A:D,4,FALSE)</f>
        <v>m3</v>
      </c>
      <c r="G253" s="98"/>
    </row>
    <row r="254" spans="1:7" x14ac:dyDescent="0.25">
      <c r="A254" s="167">
        <v>116.2</v>
      </c>
      <c r="B254" s="168" t="str">
        <f>VLOOKUP(A254,Estimate!A:C,3,FALSE)</f>
        <v>Cement</v>
      </c>
      <c r="C254" s="169" t="s">
        <v>710</v>
      </c>
      <c r="D254" s="269">
        <v>1.2E-2</v>
      </c>
      <c r="E254" s="169" t="str">
        <f>VLOOKUP(A254,Estimate!A:D,4,FALSE)</f>
        <v>tonne</v>
      </c>
      <c r="G254" s="98"/>
    </row>
    <row r="255" spans="1:7" x14ac:dyDescent="0.25">
      <c r="A255" s="167">
        <v>116.3</v>
      </c>
      <c r="B255" s="168" t="str">
        <f>VLOOKUP(A255,Estimate!A:C,3,FALSE)</f>
        <v>CAT297 Stabiliser</v>
      </c>
      <c r="C255" s="169" t="s">
        <v>400</v>
      </c>
      <c r="D255" s="269">
        <v>66.67</v>
      </c>
      <c r="E255" s="169" t="str">
        <f>VLOOKUP(A255,Estimate!A:D,4,FALSE)</f>
        <v xml:space="preserve">hr   </v>
      </c>
      <c r="G255" s="98"/>
    </row>
    <row r="256" spans="1:7" x14ac:dyDescent="0.25">
      <c r="A256" s="167">
        <v>116.4</v>
      </c>
      <c r="B256" s="168" t="str">
        <f>VLOOKUP(A256,Estimate!A:C,3,FALSE)</f>
        <v>Geotextiles:</v>
      </c>
      <c r="C256" s="169" t="s">
        <v>710</v>
      </c>
      <c r="D256" s="269">
        <v>380</v>
      </c>
      <c r="E256" s="169">
        <f>VLOOKUP(A256,Estimate!A:D,4,FALSE)</f>
        <v>0</v>
      </c>
      <c r="G256" s="98"/>
    </row>
    <row r="257" spans="1:7" x14ac:dyDescent="0.25">
      <c r="A257" s="167">
        <v>117</v>
      </c>
      <c r="B257" s="168" t="str">
        <f>VLOOKUP(A257,Estimate!A:C,3,FALSE)</f>
        <v>Nicol St - Additional works to water services</v>
      </c>
      <c r="C257" s="169" t="s">
        <v>710</v>
      </c>
      <c r="D257" s="269">
        <v>1</v>
      </c>
      <c r="E257" s="169" t="str">
        <f>VLOOKUP(A257,Estimate!A:D,4,FALSE)</f>
        <v xml:space="preserve">each </v>
      </c>
      <c r="G257" s="98"/>
    </row>
    <row r="258" spans="1:7" x14ac:dyDescent="0.25">
      <c r="A258" s="167">
        <v>118</v>
      </c>
      <c r="B258" s="168" t="str">
        <f>VLOOKUP(A258,Estimate!A:C,3,FALSE)</f>
        <v>Wright Rd - Drainage works ch1300</v>
      </c>
      <c r="C258" s="169" t="s">
        <v>710</v>
      </c>
      <c r="D258" s="269">
        <v>0</v>
      </c>
      <c r="E258" s="169" t="str">
        <f>VLOOKUP(A258,Estimate!A:D,4,FALSE)</f>
        <v xml:space="preserve">each </v>
      </c>
      <c r="G258" s="98"/>
    </row>
    <row r="259" spans="1:7" x14ac:dyDescent="0.25">
      <c r="A259" s="167">
        <v>118.1</v>
      </c>
      <c r="B259" s="168" t="str">
        <f>VLOOKUP(A259,Estimate!A:C,3,FALSE)</f>
        <v>Excavator - 25T</v>
      </c>
      <c r="C259" s="169" t="s">
        <v>400</v>
      </c>
      <c r="D259" s="269">
        <v>18</v>
      </c>
      <c r="E259" s="169" t="str">
        <f>VLOOKUP(A259,Estimate!A:D,4,FALSE)</f>
        <v xml:space="preserve">hr   </v>
      </c>
      <c r="G259" s="98"/>
    </row>
    <row r="260" spans="1:7" x14ac:dyDescent="0.25">
      <c r="A260" s="167">
        <v>118.2</v>
      </c>
      <c r="B260" s="168" t="str">
        <f>VLOOKUP(A260,Estimate!A:C,3,FALSE)</f>
        <v>Grass Seeding</v>
      </c>
      <c r="C260" s="169" t="s">
        <v>710</v>
      </c>
      <c r="D260" s="269">
        <v>500</v>
      </c>
      <c r="E260" s="169" t="str">
        <f>VLOOKUP(A260,Estimate!A:D,4,FALSE)</f>
        <v xml:space="preserve">hr   </v>
      </c>
      <c r="G260" s="98"/>
    </row>
    <row r="261" spans="1:7" x14ac:dyDescent="0.25">
      <c r="A261" s="167">
        <v>119</v>
      </c>
      <c r="B261" s="168" t="str">
        <f>VLOOKUP(A261,Estimate!A:C,3,FALSE)</f>
        <v>Wright Rd - Additional culvert no.06</v>
      </c>
      <c r="C261" s="169" t="s">
        <v>710</v>
      </c>
      <c r="D261" s="269">
        <v>0</v>
      </c>
      <c r="E261" s="169" t="str">
        <f>VLOOKUP(A261,Estimate!A:D,4,FALSE)</f>
        <v xml:space="preserve">each </v>
      </c>
      <c r="G261" s="98"/>
    </row>
    <row r="262" spans="1:7" x14ac:dyDescent="0.25">
      <c r="A262" s="167">
        <v>119.1</v>
      </c>
      <c r="B262" s="168" t="str">
        <f>VLOOKUP(A262,Estimate!A:C,3,FALSE)</f>
        <v>Install Only New RCP:</v>
      </c>
      <c r="C262" s="169" t="s">
        <v>710</v>
      </c>
      <c r="D262" s="269">
        <v>4.88</v>
      </c>
      <c r="E262" s="169">
        <f>VLOOKUP(A262,Estimate!A:D,4,FALSE)</f>
        <v>0</v>
      </c>
      <c r="G262" s="98"/>
    </row>
    <row r="263" spans="1:7" x14ac:dyDescent="0.25">
      <c r="A263" s="167">
        <v>119.2</v>
      </c>
      <c r="B263" s="168" t="str">
        <f>VLOOKUP(A263,Estimate!A:C,3,FALSE)</f>
        <v>Excavator - 25T</v>
      </c>
      <c r="C263" s="169" t="s">
        <v>400</v>
      </c>
      <c r="D263" s="269">
        <v>0.97</v>
      </c>
      <c r="E263" s="169" t="str">
        <f>VLOOKUP(A263,Estimate!A:D,4,FALSE)</f>
        <v xml:space="preserve">hr   </v>
      </c>
      <c r="G263" s="98"/>
    </row>
    <row r="264" spans="1:7" x14ac:dyDescent="0.25">
      <c r="A264" s="167">
        <v>119.3</v>
      </c>
      <c r="B264" s="168" t="str">
        <f>VLOOKUP(A264,Estimate!A:C,3,FALSE)</f>
        <v>Excavator - 25T</v>
      </c>
      <c r="C264" s="169" t="s">
        <v>400</v>
      </c>
      <c r="D264" s="269">
        <v>1</v>
      </c>
      <c r="E264" s="169" t="str">
        <f>VLOOKUP(A264,Estimate!A:D,4,FALSE)</f>
        <v xml:space="preserve">hr   </v>
      </c>
      <c r="G264" s="98"/>
    </row>
    <row r="265" spans="1:7" ht="30" x14ac:dyDescent="0.25">
      <c r="A265" s="167">
        <v>119.4</v>
      </c>
      <c r="B265" s="168" t="str">
        <f>VLOOKUP(A265,Estimate!A:C,3,FALSE)</f>
        <v>Haul, place, spread, compact &amp; trim (No supply). Round trip of one hour to Foxdale &amp; back to Proserpine. Haul in T&amp;D.</v>
      </c>
      <c r="C265" s="169" t="s">
        <v>710</v>
      </c>
      <c r="D265" s="269">
        <v>2.98</v>
      </c>
      <c r="E265" s="169" t="str">
        <f>VLOOKUP(A265,Estimate!A:D,4,FALSE)</f>
        <v>m3</v>
      </c>
      <c r="G265" s="98"/>
    </row>
    <row r="266" spans="1:7" x14ac:dyDescent="0.25">
      <c r="A266" s="167">
        <v>119.5</v>
      </c>
      <c r="B266" s="168" t="str">
        <f>VLOOKUP(A266,Estimate!A:C,3,FALSE)</f>
        <v>Grader</v>
      </c>
      <c r="C266" s="169" t="s">
        <v>400</v>
      </c>
      <c r="D266" s="269">
        <v>66.67</v>
      </c>
      <c r="E266" s="169" t="str">
        <f>VLOOKUP(A266,Estimate!A:D,4,FALSE)</f>
        <v xml:space="preserve">hr   </v>
      </c>
      <c r="G266" s="98"/>
    </row>
    <row r="267" spans="1:7" x14ac:dyDescent="0.25">
      <c r="A267" s="167">
        <v>119.6</v>
      </c>
      <c r="B267" s="168" t="str">
        <f>VLOOKUP(A267,Estimate!A:C,3,FALSE)</f>
        <v>Grader</v>
      </c>
      <c r="C267" s="169" t="s">
        <v>400</v>
      </c>
      <c r="D267" s="269">
        <v>300</v>
      </c>
      <c r="E267" s="169" t="str">
        <f>VLOOKUP(A267,Estimate!A:D,4,FALSE)</f>
        <v xml:space="preserve">hr   </v>
      </c>
      <c r="G267" s="98"/>
    </row>
    <row r="268" spans="1:7" x14ac:dyDescent="0.25">
      <c r="A268" s="167">
        <v>119.7</v>
      </c>
      <c r="B268" s="168" t="str">
        <f>VLOOKUP(A268,Estimate!A:C,3,FALSE)</f>
        <v>Primer Seal:</v>
      </c>
      <c r="C268" s="169" t="s">
        <v>710</v>
      </c>
      <c r="D268" s="269">
        <v>19.52</v>
      </c>
      <c r="E268" s="169" t="str">
        <f>VLOOKUP(A268,Estimate!A:D,4,FALSE)</f>
        <v xml:space="preserve">m²   </v>
      </c>
      <c r="G268" s="98"/>
    </row>
    <row r="269" spans="1:7" x14ac:dyDescent="0.25">
      <c r="A269" s="167">
        <v>120</v>
      </c>
      <c r="B269" s="168" t="str">
        <f>VLOOKUP(A269,Estimate!A:C,3,FALSE)</f>
        <v>Wright Rd - Driveway works</v>
      </c>
      <c r="C269" s="169" t="s">
        <v>710</v>
      </c>
      <c r="D269" s="269">
        <v>200</v>
      </c>
      <c r="E269" s="169" t="str">
        <f>VLOOKUP(A269,Estimate!A:D,4,FALSE)</f>
        <v xml:space="preserve">each </v>
      </c>
      <c r="G269" s="98"/>
    </row>
    <row r="270" spans="1:7" x14ac:dyDescent="0.25">
      <c r="A270" s="167">
        <v>121</v>
      </c>
      <c r="B270" s="168" t="str">
        <f>VLOOKUP(A270,Estimate!A:C,3,FALSE)</f>
        <v>Nicol St - Kerb ramp reconstruction</v>
      </c>
      <c r="C270" s="169" t="s">
        <v>710</v>
      </c>
      <c r="D270" s="269">
        <v>2</v>
      </c>
      <c r="E270" s="169" t="str">
        <f>VLOOKUP(A270,Estimate!A:D,4,FALSE)</f>
        <v xml:space="preserve">each </v>
      </c>
      <c r="G270" s="98"/>
    </row>
    <row r="271" spans="1:7" x14ac:dyDescent="0.25">
      <c r="A271" s="167">
        <v>122</v>
      </c>
      <c r="B271" s="168" t="str">
        <f>VLOOKUP(A271,Estimate!A:C,3,FALSE)</f>
        <v>Nicol St - Removal of Unsuitable - Telstra Cable</v>
      </c>
      <c r="C271" s="169" t="s">
        <v>710</v>
      </c>
      <c r="D271" s="269">
        <v>33.799999999999997</v>
      </c>
      <c r="E271" s="169" t="str">
        <f>VLOOKUP(A271,Estimate!A:D,4,FALSE)</f>
        <v xml:space="preserve">each </v>
      </c>
      <c r="G271" s="98"/>
    </row>
    <row r="272" spans="1:7" x14ac:dyDescent="0.25">
      <c r="A272" s="167">
        <v>122.1</v>
      </c>
      <c r="B272" s="168" t="str">
        <f>VLOOKUP(A272,Estimate!A:C,3,FALSE)</f>
        <v>Excavator - 25T</v>
      </c>
      <c r="C272" s="169" t="s">
        <v>400</v>
      </c>
      <c r="D272" s="269">
        <v>10</v>
      </c>
      <c r="E272" s="169" t="str">
        <f>VLOOKUP(A272,Estimate!A:D,4,FALSE)</f>
        <v xml:space="preserve">hr   </v>
      </c>
      <c r="G272" s="98"/>
    </row>
    <row r="273" spans="1:7" x14ac:dyDescent="0.25">
      <c r="A273" s="167">
        <v>122.2</v>
      </c>
      <c r="B273" s="168" t="str">
        <f>VLOOKUP(A273,Estimate!A:C,3,FALSE)</f>
        <v>Grader</v>
      </c>
      <c r="C273" s="169" t="s">
        <v>400</v>
      </c>
      <c r="D273" s="269">
        <v>33.33</v>
      </c>
      <c r="E273" s="169" t="str">
        <f>VLOOKUP(A273,Estimate!A:D,4,FALSE)</f>
        <v xml:space="preserve">hr   </v>
      </c>
      <c r="G273" s="98"/>
    </row>
    <row r="274" spans="1:7" x14ac:dyDescent="0.25">
      <c r="A274" s="167">
        <v>123</v>
      </c>
      <c r="B274" s="168" t="str">
        <f>VLOOKUP(A274,Estimate!A:C,3,FALSE)</f>
        <v>Wright Road - Scour &amp; Batter Protection</v>
      </c>
      <c r="C274" s="169" t="s">
        <v>710</v>
      </c>
      <c r="D274" s="269">
        <v>0</v>
      </c>
      <c r="E274" s="169" t="str">
        <f>VLOOKUP(A274,Estimate!A:D,4,FALSE)</f>
        <v xml:space="preserve">each </v>
      </c>
      <c r="G274" s="98"/>
    </row>
    <row r="275" spans="1:7" x14ac:dyDescent="0.25">
      <c r="A275" s="167">
        <v>124</v>
      </c>
      <c r="B275" s="168" t="str">
        <f>VLOOKUP(A275,Estimate!A:C,3,FALSE)</f>
        <v>Scour Protection</v>
      </c>
      <c r="C275" s="169" t="s">
        <v>710</v>
      </c>
      <c r="D275" s="269">
        <v>18</v>
      </c>
      <c r="E275" s="169" t="str">
        <f>VLOOKUP(A275,Estimate!A:D,4,FALSE)</f>
        <v xml:space="preserve">each </v>
      </c>
      <c r="G275" s="98"/>
    </row>
    <row r="276" spans="1:7" x14ac:dyDescent="0.25">
      <c r="A276" s="167">
        <v>124.1</v>
      </c>
      <c r="B276" s="168" t="str">
        <f>VLOOKUP(A276,Estimate!A:C,3,FALSE)</f>
        <v>Excavator - 25T</v>
      </c>
      <c r="C276" s="169" t="s">
        <v>400</v>
      </c>
      <c r="D276" s="269">
        <v>22.22</v>
      </c>
      <c r="E276" s="169" t="str">
        <f>VLOOKUP(A276,Estimate!A:D,4,FALSE)</f>
        <v xml:space="preserve">hr   </v>
      </c>
      <c r="G276" s="98"/>
    </row>
    <row r="277" spans="1:7" x14ac:dyDescent="0.25">
      <c r="A277" s="167">
        <v>125</v>
      </c>
      <c r="B277" s="168" t="str">
        <f>VLOOKUP(A277,Estimate!A:C,3,FALSE)</f>
        <v>Drain Widening - Lot 130</v>
      </c>
      <c r="C277" s="169" t="s">
        <v>710</v>
      </c>
      <c r="D277" s="269">
        <v>200</v>
      </c>
      <c r="E277" s="169" t="str">
        <f>VLOOKUP(A277,Estimate!A:D,4,FALSE)</f>
        <v xml:space="preserve">each </v>
      </c>
      <c r="G277" s="98"/>
    </row>
    <row r="278" spans="1:7" x14ac:dyDescent="0.25">
      <c r="A278" s="167">
        <v>125.1</v>
      </c>
      <c r="B278" s="168" t="str">
        <f>VLOOKUP(A278,Estimate!A:C,3,FALSE)</f>
        <v>Excavator - 25T</v>
      </c>
      <c r="C278" s="169" t="s">
        <v>400</v>
      </c>
      <c r="D278" s="269">
        <v>22.22</v>
      </c>
      <c r="E278" s="169" t="str">
        <f>VLOOKUP(A278,Estimate!A:D,4,FALSE)</f>
        <v xml:space="preserve">hr   </v>
      </c>
      <c r="G278" s="98"/>
    </row>
    <row r="279" spans="1:7" x14ac:dyDescent="0.25">
      <c r="A279" s="167">
        <v>126</v>
      </c>
      <c r="B279" s="168" t="str">
        <f>VLOOKUP(A279,Estimate!A:C,3,FALSE)</f>
        <v>Batter Protection - Lot 130</v>
      </c>
      <c r="C279" s="169" t="s">
        <v>710</v>
      </c>
      <c r="D279" s="269">
        <v>2</v>
      </c>
      <c r="E279" s="169" t="str">
        <f>VLOOKUP(A279,Estimate!A:D,4,FALSE)</f>
        <v xml:space="preserve">each </v>
      </c>
      <c r="G279" s="98"/>
    </row>
    <row r="280" spans="1:7" x14ac:dyDescent="0.25">
      <c r="A280" s="167">
        <v>126.1</v>
      </c>
      <c r="B280" s="168" t="str">
        <f>VLOOKUP(A280,Estimate!A:C,3,FALSE)</f>
        <v>Excavator - 25T</v>
      </c>
      <c r="C280" s="169" t="s">
        <v>400</v>
      </c>
      <c r="D280" s="269">
        <v>0.33</v>
      </c>
      <c r="E280" s="169" t="str">
        <f>VLOOKUP(A280,Estimate!A:D,4,FALSE)</f>
        <v xml:space="preserve">hr   </v>
      </c>
      <c r="G280" s="98"/>
    </row>
    <row r="281" spans="1:7" x14ac:dyDescent="0.25">
      <c r="A281" s="167">
        <v>127</v>
      </c>
      <c r="B281" s="168" t="str">
        <f>VLOOKUP(A281,Estimate!A:C,3,FALSE)</f>
        <v>Culvert Extension - Lot 30</v>
      </c>
      <c r="C281" s="169" t="s">
        <v>710</v>
      </c>
      <c r="D281" s="269">
        <v>0</v>
      </c>
      <c r="E281" s="169" t="str">
        <f>VLOOKUP(A281,Estimate!A:D,4,FALSE)</f>
        <v xml:space="preserve">m    </v>
      </c>
      <c r="G281" s="98"/>
    </row>
    <row r="282" spans="1:7" x14ac:dyDescent="0.25">
      <c r="A282" s="167">
        <v>127.1</v>
      </c>
      <c r="B282" s="168" t="str">
        <f>VLOOKUP(A282,Estimate!A:C,3,FALSE)</f>
        <v>Area</v>
      </c>
      <c r="C282" s="169" t="s">
        <v>710</v>
      </c>
      <c r="D282" s="269">
        <v>4</v>
      </c>
      <c r="E282" s="169" t="str">
        <f>VLOOKUP(A282,Estimate!A:D,4,FALSE)</f>
        <v xml:space="preserve">m²   </v>
      </c>
      <c r="G282" s="98"/>
    </row>
    <row r="283" spans="1:7" x14ac:dyDescent="0.25">
      <c r="A283" s="167">
        <v>127.2</v>
      </c>
      <c r="B283" s="168" t="str">
        <f>VLOOKUP(A283,Estimate!A:C,3,FALSE)</f>
        <v>Box Units to Stand</v>
      </c>
      <c r="C283" s="169" t="s">
        <v>710</v>
      </c>
      <c r="D283" s="269">
        <v>2</v>
      </c>
      <c r="E283" s="169" t="str">
        <f>VLOOKUP(A283,Estimate!A:D,4,FALSE)</f>
        <v>ea</v>
      </c>
      <c r="G283" s="98"/>
    </row>
    <row r="284" spans="1:7" x14ac:dyDescent="0.25">
      <c r="A284" s="167">
        <v>127.3</v>
      </c>
      <c r="B284" s="168" t="str">
        <f>VLOOKUP(A284,Estimate!A:C,3,FALSE)</f>
        <v>Hand Placed Backfill</v>
      </c>
      <c r="C284" s="169" t="s">
        <v>710</v>
      </c>
      <c r="D284" s="269">
        <v>15</v>
      </c>
      <c r="E284" s="169" t="str">
        <f>VLOOKUP(A284,Estimate!A:D,4,FALSE)</f>
        <v>m3</v>
      </c>
      <c r="G284" s="98"/>
    </row>
    <row r="285" spans="1:7" x14ac:dyDescent="0.25">
      <c r="A285" s="167">
        <v>127.4</v>
      </c>
      <c r="B285" s="168" t="str">
        <f>VLOOKUP(A285,Estimate!A:C,3,FALSE)</f>
        <v>Excavator - 25T</v>
      </c>
      <c r="C285" s="169" t="s">
        <v>400</v>
      </c>
      <c r="D285" s="269">
        <v>2</v>
      </c>
      <c r="E285" s="169" t="str">
        <f>VLOOKUP(A285,Estimate!A:D,4,FALSE)</f>
        <v xml:space="preserve">hr   </v>
      </c>
      <c r="G285" s="98"/>
    </row>
    <row r="286" spans="1:7" x14ac:dyDescent="0.25">
      <c r="A286" s="167">
        <v>127.5</v>
      </c>
      <c r="B286" s="168" t="str">
        <f>VLOOKUP(A286,Estimate!A:C,3,FALSE)</f>
        <v>Bobcat</v>
      </c>
      <c r="C286" s="169" t="s">
        <v>400</v>
      </c>
      <c r="D286" s="269">
        <v>3</v>
      </c>
      <c r="E286" s="169" t="str">
        <f>VLOOKUP(A286,Estimate!A:D,4,FALSE)</f>
        <v xml:space="preserve">hr   </v>
      </c>
      <c r="G286" s="98"/>
    </row>
    <row r="287" spans="1:7" x14ac:dyDescent="0.25">
      <c r="A287" s="167">
        <v>128</v>
      </c>
      <c r="B287" s="168" t="str">
        <f>VLOOKUP(A287,Estimate!A:C,3,FALSE)</f>
        <v>Additional Drainage Works - Wright Road</v>
      </c>
      <c r="C287" s="169" t="s">
        <v>710</v>
      </c>
      <c r="D287" s="269">
        <v>75</v>
      </c>
      <c r="E287" s="169" t="str">
        <f>VLOOKUP(A287,Estimate!A:D,4,FALSE)</f>
        <v xml:space="preserve">item </v>
      </c>
      <c r="G287" s="98"/>
    </row>
    <row r="288" spans="1:7" x14ac:dyDescent="0.25">
      <c r="A288" s="167">
        <v>128.1</v>
      </c>
      <c r="B288" s="168" t="str">
        <f>VLOOKUP(A288,Estimate!A:C,3,FALSE)</f>
        <v>Excavator - 25T</v>
      </c>
      <c r="C288" s="169" t="s">
        <v>400</v>
      </c>
      <c r="D288" s="269">
        <v>22.22</v>
      </c>
      <c r="E288" s="169" t="str">
        <f>VLOOKUP(A288,Estimate!A:D,4,FALSE)</f>
        <v xml:space="preserve">hr   </v>
      </c>
      <c r="G288" s="98"/>
    </row>
    <row r="289" spans="1:7" x14ac:dyDescent="0.25">
      <c r="A289" s="167">
        <v>9001</v>
      </c>
      <c r="B289" s="168" t="str">
        <f>VLOOKUP(A289,Estimate!A:C,3,FALSE)</f>
        <v>Project Supervision</v>
      </c>
      <c r="C289" s="169" t="s">
        <v>710</v>
      </c>
      <c r="D289" s="269">
        <v>1</v>
      </c>
      <c r="E289" s="169" t="str">
        <f>VLOOKUP(A289,Estimate!A:D,4,FALSE)</f>
        <v xml:space="preserve">item </v>
      </c>
      <c r="G289" s="98"/>
    </row>
    <row r="290" spans="1:7" x14ac:dyDescent="0.25">
      <c r="A290" s="167">
        <v>9002</v>
      </c>
      <c r="B290" s="168" t="str">
        <f>VLOOKUP(A290,Estimate!A:C,3,FALSE)</f>
        <v>Crib Facilities</v>
      </c>
      <c r="C290" s="169" t="s">
        <v>710</v>
      </c>
      <c r="D290" s="269">
        <v>1</v>
      </c>
      <c r="E290" s="169" t="str">
        <f>VLOOKUP(A290,Estimate!A:D,4,FALSE)</f>
        <v xml:space="preserve">item </v>
      </c>
      <c r="G290" s="98"/>
    </row>
    <row r="291" spans="1:7" x14ac:dyDescent="0.25">
      <c r="A291" s="167">
        <v>9003</v>
      </c>
      <c r="B291" s="168" t="str">
        <f>VLOOKUP(A291,Estimate!A:C,3,FALSE)</f>
        <v>Insurance</v>
      </c>
      <c r="C291" s="169" t="s">
        <v>710</v>
      </c>
      <c r="D291" s="269">
        <v>1</v>
      </c>
      <c r="E291" s="169" t="str">
        <f>VLOOKUP(A291,Estimate!A:D,4,FALSE)</f>
        <v xml:space="preserve">item </v>
      </c>
      <c r="G291" s="98"/>
    </row>
    <row r="292" spans="1:7" x14ac:dyDescent="0.25">
      <c r="A292" s="167">
        <v>9004</v>
      </c>
      <c r="B292" s="168" t="str">
        <f>VLOOKUP(A292,Estimate!A:C,3,FALSE)</f>
        <v>Retention</v>
      </c>
      <c r="C292" s="169" t="s">
        <v>710</v>
      </c>
      <c r="D292" s="269">
        <v>1</v>
      </c>
      <c r="E292" s="169" t="str">
        <f>VLOOKUP(A292,Estimate!A:D,4,FALSE)</f>
        <v xml:space="preserve">item </v>
      </c>
      <c r="G292" s="98"/>
    </row>
    <row r="834" spans="1:1" x14ac:dyDescent="0.25">
      <c r="A834" s="163"/>
    </row>
  </sheetData>
  <sortState xmlns:xlrd2="http://schemas.microsoft.com/office/spreadsheetml/2017/richdata2" ref="A2:A975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C3E-30D3-4D77-88D1-10A675F7B712}">
  <dimension ref="A1:O72"/>
  <sheetViews>
    <sheetView topLeftCell="A36" workbookViewId="0">
      <selection activeCell="H78" sqref="H78"/>
    </sheetView>
  </sheetViews>
  <sheetFormatPr defaultRowHeight="15" x14ac:dyDescent="0.25"/>
  <cols>
    <col min="1" max="1" width="24.42578125" bestFit="1" customWidth="1"/>
    <col min="2" max="11" width="10.140625" bestFit="1" customWidth="1"/>
  </cols>
  <sheetData>
    <row r="1" spans="2:15" ht="15.75" thickBot="1" x14ac:dyDescent="0.3">
      <c r="B1" s="272" t="s">
        <v>646</v>
      </c>
      <c r="C1" s="272"/>
      <c r="D1" s="272"/>
      <c r="E1" s="272"/>
      <c r="F1" s="272"/>
      <c r="G1" s="272"/>
      <c r="H1" s="272"/>
      <c r="I1" s="272"/>
      <c r="J1" s="272"/>
      <c r="K1" s="272"/>
      <c r="L1" s="100"/>
      <c r="M1" s="100"/>
      <c r="N1" s="100"/>
      <c r="O1" s="100"/>
    </row>
    <row r="2" spans="2:15" x14ac:dyDescent="0.25">
      <c r="B2" s="273">
        <v>40544</v>
      </c>
      <c r="C2" s="274"/>
      <c r="D2" s="275">
        <v>40909</v>
      </c>
      <c r="E2" s="275"/>
      <c r="F2" s="274">
        <v>41275</v>
      </c>
      <c r="G2" s="274"/>
      <c r="H2" s="275">
        <v>41640</v>
      </c>
      <c r="I2" s="275"/>
      <c r="J2" s="274">
        <v>42005</v>
      </c>
      <c r="K2" s="276"/>
      <c r="L2" s="100"/>
      <c r="M2" s="100"/>
      <c r="N2" s="100"/>
      <c r="O2" s="100"/>
    </row>
    <row r="3" spans="2:15" x14ac:dyDescent="0.25">
      <c r="B3" s="122">
        <v>40551</v>
      </c>
      <c r="C3" s="123">
        <v>40552</v>
      </c>
      <c r="D3" s="124">
        <v>40922</v>
      </c>
      <c r="E3" s="124">
        <v>40923</v>
      </c>
      <c r="F3" s="123">
        <v>41293</v>
      </c>
      <c r="G3" s="123">
        <v>41294</v>
      </c>
      <c r="H3" s="124">
        <v>41657</v>
      </c>
      <c r="I3" s="124">
        <v>41658</v>
      </c>
      <c r="J3" s="123">
        <v>42021</v>
      </c>
      <c r="K3" s="125">
        <v>42022</v>
      </c>
      <c r="L3" s="126"/>
      <c r="M3" s="126"/>
      <c r="N3" s="126"/>
      <c r="O3" s="126"/>
    </row>
    <row r="4" spans="2:15" x14ac:dyDescent="0.25">
      <c r="B4" s="105">
        <v>40544</v>
      </c>
      <c r="C4" s="106">
        <v>40545</v>
      </c>
      <c r="D4" s="107"/>
      <c r="E4" s="107">
        <v>40909</v>
      </c>
      <c r="F4" s="106">
        <v>41279</v>
      </c>
      <c r="G4" s="106">
        <v>41280</v>
      </c>
      <c r="H4" s="107">
        <v>41643</v>
      </c>
      <c r="I4" s="107">
        <v>41644</v>
      </c>
      <c r="J4" s="106">
        <v>42007</v>
      </c>
      <c r="K4" s="108">
        <v>42008</v>
      </c>
      <c r="L4" s="98"/>
      <c r="M4" s="98"/>
      <c r="N4" s="99"/>
      <c r="O4" s="99"/>
    </row>
    <row r="5" spans="2:15" x14ac:dyDescent="0.25">
      <c r="B5" s="105">
        <v>40551</v>
      </c>
      <c r="C5" s="106">
        <v>40552</v>
      </c>
      <c r="D5" s="107">
        <v>40915</v>
      </c>
      <c r="E5" s="107">
        <v>40916</v>
      </c>
      <c r="F5" s="106">
        <v>41286</v>
      </c>
      <c r="G5" s="106">
        <v>41287</v>
      </c>
      <c r="H5" s="107">
        <v>41650</v>
      </c>
      <c r="I5" s="107">
        <v>41651</v>
      </c>
      <c r="J5" s="106">
        <v>42014</v>
      </c>
      <c r="K5" s="108">
        <v>42015</v>
      </c>
      <c r="L5" s="98"/>
      <c r="M5" s="98"/>
      <c r="N5" s="98"/>
      <c r="O5" s="98"/>
    </row>
    <row r="6" spans="2:15" x14ac:dyDescent="0.25">
      <c r="B6" s="105">
        <v>40558</v>
      </c>
      <c r="C6" s="106">
        <v>40559</v>
      </c>
      <c r="D6" s="107">
        <v>40922</v>
      </c>
      <c r="E6" s="107">
        <v>40923</v>
      </c>
      <c r="F6" s="106">
        <v>41293</v>
      </c>
      <c r="G6" s="106">
        <v>41294</v>
      </c>
      <c r="H6" s="107">
        <v>41657</v>
      </c>
      <c r="I6" s="107">
        <v>41658</v>
      </c>
      <c r="J6" s="106">
        <v>42021</v>
      </c>
      <c r="K6" s="108">
        <v>42022</v>
      </c>
      <c r="L6" s="98"/>
      <c r="M6" s="98"/>
      <c r="N6" s="98"/>
      <c r="O6" s="98"/>
    </row>
    <row r="7" spans="2:15" x14ac:dyDescent="0.25">
      <c r="B7" s="105">
        <v>40565</v>
      </c>
      <c r="C7" s="106">
        <v>40566</v>
      </c>
      <c r="D7" s="107">
        <v>40929</v>
      </c>
      <c r="E7" s="107">
        <v>40930</v>
      </c>
      <c r="F7" s="106">
        <v>41300</v>
      </c>
      <c r="G7" s="106">
        <v>41301</v>
      </c>
      <c r="H7" s="107">
        <v>41664</v>
      </c>
      <c r="I7" s="107">
        <v>41665</v>
      </c>
      <c r="J7" s="106">
        <v>42028</v>
      </c>
      <c r="K7" s="108">
        <v>42029</v>
      </c>
      <c r="L7" s="98"/>
      <c r="M7" s="98"/>
      <c r="N7" s="98"/>
      <c r="O7" s="98"/>
    </row>
    <row r="8" spans="2:15" x14ac:dyDescent="0.25">
      <c r="B8" s="105">
        <v>40572</v>
      </c>
      <c r="C8" s="106">
        <v>40573</v>
      </c>
      <c r="D8" s="107">
        <v>40936</v>
      </c>
      <c r="E8" s="107">
        <v>40937</v>
      </c>
      <c r="F8" s="106">
        <v>41307</v>
      </c>
      <c r="G8" s="106">
        <v>41308</v>
      </c>
      <c r="H8" s="107">
        <v>41671</v>
      </c>
      <c r="I8" s="107">
        <v>41672</v>
      </c>
      <c r="J8" s="106">
        <v>42035</v>
      </c>
      <c r="K8" s="108">
        <v>42036</v>
      </c>
      <c r="L8" s="98"/>
      <c r="M8" s="99"/>
      <c r="N8" s="98"/>
      <c r="O8" s="98"/>
    </row>
    <row r="9" spans="2:15" x14ac:dyDescent="0.25">
      <c r="B9" s="105">
        <v>40579</v>
      </c>
      <c r="C9" s="106">
        <v>40580</v>
      </c>
      <c r="D9" s="107">
        <v>40943</v>
      </c>
      <c r="E9" s="107">
        <v>40944</v>
      </c>
      <c r="F9" s="106">
        <v>41314</v>
      </c>
      <c r="G9" s="106">
        <v>41315</v>
      </c>
      <c r="H9" s="107">
        <v>41678</v>
      </c>
      <c r="I9" s="107">
        <v>41679</v>
      </c>
      <c r="J9" s="106">
        <v>42042</v>
      </c>
      <c r="K9" s="108">
        <v>42043</v>
      </c>
      <c r="L9" s="98"/>
      <c r="M9" s="98"/>
      <c r="N9" s="98"/>
      <c r="O9" s="98"/>
    </row>
    <row r="10" spans="2:15" x14ac:dyDescent="0.25">
      <c r="B10" s="105">
        <v>40586</v>
      </c>
      <c r="C10" s="106">
        <v>40587</v>
      </c>
      <c r="D10" s="107">
        <v>40950</v>
      </c>
      <c r="E10" s="107">
        <v>40951</v>
      </c>
      <c r="F10" s="106">
        <v>41321</v>
      </c>
      <c r="G10" s="106">
        <v>41322</v>
      </c>
      <c r="H10" s="107">
        <v>41685</v>
      </c>
      <c r="I10" s="107">
        <v>41686</v>
      </c>
      <c r="J10" s="106">
        <v>42049</v>
      </c>
      <c r="K10" s="108">
        <v>42050</v>
      </c>
      <c r="L10" s="98"/>
      <c r="M10" s="98"/>
      <c r="N10" s="98"/>
      <c r="O10" s="98"/>
    </row>
    <row r="11" spans="2:15" x14ac:dyDescent="0.25">
      <c r="B11" s="105">
        <v>40593</v>
      </c>
      <c r="C11" s="106">
        <v>40594</v>
      </c>
      <c r="D11" s="107">
        <v>40957</v>
      </c>
      <c r="E11" s="107">
        <v>40958</v>
      </c>
      <c r="F11" s="106">
        <v>41328</v>
      </c>
      <c r="G11" s="106">
        <v>41329</v>
      </c>
      <c r="H11" s="107">
        <v>41692</v>
      </c>
      <c r="I11" s="107">
        <v>41693</v>
      </c>
      <c r="J11" s="106">
        <v>42056</v>
      </c>
      <c r="K11" s="108">
        <v>42057</v>
      </c>
      <c r="L11" s="98"/>
      <c r="M11" s="98"/>
      <c r="N11" s="98"/>
      <c r="O11" s="98"/>
    </row>
    <row r="12" spans="2:15" x14ac:dyDescent="0.25">
      <c r="B12" s="105">
        <v>40600</v>
      </c>
      <c r="C12" s="106">
        <v>40601</v>
      </c>
      <c r="D12" s="107">
        <v>40964</v>
      </c>
      <c r="E12" s="107">
        <v>40965</v>
      </c>
      <c r="F12" s="106">
        <v>41335</v>
      </c>
      <c r="G12" s="106">
        <v>41336</v>
      </c>
      <c r="H12" s="107">
        <v>41699</v>
      </c>
      <c r="I12" s="107">
        <v>41700</v>
      </c>
      <c r="J12" s="106">
        <v>42063</v>
      </c>
      <c r="K12" s="108">
        <v>42064</v>
      </c>
      <c r="L12" s="98"/>
      <c r="M12" s="98"/>
      <c r="N12" s="98"/>
      <c r="O12" s="98"/>
    </row>
    <row r="13" spans="2:15" x14ac:dyDescent="0.25">
      <c r="B13" s="105">
        <v>40607</v>
      </c>
      <c r="C13" s="106">
        <v>40608</v>
      </c>
      <c r="D13" s="107">
        <v>40971</v>
      </c>
      <c r="E13" s="107">
        <v>40972</v>
      </c>
      <c r="F13" s="106">
        <v>41342</v>
      </c>
      <c r="G13" s="106">
        <v>41343</v>
      </c>
      <c r="H13" s="107">
        <v>41706</v>
      </c>
      <c r="I13" s="107">
        <v>41707</v>
      </c>
      <c r="J13" s="106">
        <v>42070</v>
      </c>
      <c r="K13" s="108">
        <v>42071</v>
      </c>
      <c r="L13" s="98"/>
      <c r="M13" s="98"/>
      <c r="N13" s="98"/>
      <c r="O13" s="98"/>
    </row>
    <row r="14" spans="2:15" x14ac:dyDescent="0.25">
      <c r="B14" s="105">
        <v>40614</v>
      </c>
      <c r="C14" s="106">
        <v>40615</v>
      </c>
      <c r="D14" s="107">
        <v>40978</v>
      </c>
      <c r="E14" s="107">
        <v>40979</v>
      </c>
      <c r="F14" s="106">
        <v>41349</v>
      </c>
      <c r="G14" s="106">
        <v>41350</v>
      </c>
      <c r="H14" s="107">
        <v>41713</v>
      </c>
      <c r="I14" s="107">
        <v>41714</v>
      </c>
      <c r="J14" s="106">
        <v>42077</v>
      </c>
      <c r="K14" s="108">
        <v>42078</v>
      </c>
      <c r="L14" s="98"/>
      <c r="M14" s="98"/>
      <c r="N14" s="98"/>
      <c r="O14" s="98"/>
    </row>
    <row r="15" spans="2:15" x14ac:dyDescent="0.25">
      <c r="B15" s="105">
        <v>40621</v>
      </c>
      <c r="C15" s="106">
        <v>40622</v>
      </c>
      <c r="D15" s="107">
        <v>40985</v>
      </c>
      <c r="E15" s="107">
        <v>40986</v>
      </c>
      <c r="F15" s="106">
        <v>41356</v>
      </c>
      <c r="G15" s="106">
        <v>41357</v>
      </c>
      <c r="H15" s="107">
        <v>41720</v>
      </c>
      <c r="I15" s="107">
        <v>41721</v>
      </c>
      <c r="J15" s="106">
        <v>42084</v>
      </c>
      <c r="K15" s="108">
        <v>42085</v>
      </c>
      <c r="L15" s="98"/>
      <c r="M15" s="98"/>
      <c r="N15" s="98"/>
      <c r="O15" s="98"/>
    </row>
    <row r="16" spans="2:15" x14ac:dyDescent="0.25">
      <c r="B16" s="105">
        <v>40628</v>
      </c>
      <c r="C16" s="106">
        <v>40629</v>
      </c>
      <c r="D16" s="107">
        <v>40992</v>
      </c>
      <c r="E16" s="107">
        <v>40993</v>
      </c>
      <c r="F16" s="106">
        <v>41363</v>
      </c>
      <c r="G16" s="106">
        <v>41364</v>
      </c>
      <c r="H16" s="107">
        <v>41727</v>
      </c>
      <c r="I16" s="107">
        <v>41728</v>
      </c>
      <c r="J16" s="106">
        <v>42091</v>
      </c>
      <c r="K16" s="108">
        <v>42092</v>
      </c>
      <c r="L16" s="98"/>
      <c r="M16" s="98"/>
      <c r="N16" s="98"/>
      <c r="O16" s="98"/>
    </row>
    <row r="17" spans="2:11" x14ac:dyDescent="0.25">
      <c r="B17" s="105">
        <v>40635</v>
      </c>
      <c r="C17" s="106">
        <v>40636</v>
      </c>
      <c r="D17" s="107">
        <v>40999</v>
      </c>
      <c r="E17" s="107">
        <v>41000</v>
      </c>
      <c r="F17" s="106">
        <v>41370</v>
      </c>
      <c r="G17" s="106">
        <v>41371</v>
      </c>
      <c r="H17" s="107">
        <v>41734</v>
      </c>
      <c r="I17" s="107">
        <v>41735</v>
      </c>
      <c r="J17" s="106">
        <v>42098</v>
      </c>
      <c r="K17" s="108">
        <v>42099</v>
      </c>
    </row>
    <row r="18" spans="2:11" x14ac:dyDescent="0.25">
      <c r="B18" s="105">
        <v>40642</v>
      </c>
      <c r="C18" s="106">
        <v>40643</v>
      </c>
      <c r="D18" s="107">
        <v>41006</v>
      </c>
      <c r="E18" s="107">
        <v>41007</v>
      </c>
      <c r="F18" s="106">
        <v>41377</v>
      </c>
      <c r="G18" s="106">
        <v>41378</v>
      </c>
      <c r="H18" s="107">
        <v>41741</v>
      </c>
      <c r="I18" s="107">
        <v>41742</v>
      </c>
      <c r="J18" s="106">
        <v>42105</v>
      </c>
      <c r="K18" s="108">
        <v>42106</v>
      </c>
    </row>
    <row r="19" spans="2:11" x14ac:dyDescent="0.25">
      <c r="B19" s="105">
        <v>40649</v>
      </c>
      <c r="C19" s="106">
        <v>40650</v>
      </c>
      <c r="D19" s="107">
        <v>41013</v>
      </c>
      <c r="E19" s="107">
        <v>41014</v>
      </c>
      <c r="F19" s="106">
        <v>41384</v>
      </c>
      <c r="G19" s="106">
        <v>41385</v>
      </c>
      <c r="H19" s="107">
        <v>41748</v>
      </c>
      <c r="I19" s="107">
        <v>41749</v>
      </c>
      <c r="J19" s="106">
        <v>42112</v>
      </c>
      <c r="K19" s="108">
        <v>42113</v>
      </c>
    </row>
    <row r="20" spans="2:11" x14ac:dyDescent="0.25">
      <c r="B20" s="105">
        <v>40656</v>
      </c>
      <c r="C20" s="106">
        <v>40657</v>
      </c>
      <c r="D20" s="107">
        <v>41020</v>
      </c>
      <c r="E20" s="107">
        <v>41021</v>
      </c>
      <c r="F20" s="106">
        <v>41391</v>
      </c>
      <c r="G20" s="106">
        <v>41392</v>
      </c>
      <c r="H20" s="107">
        <v>41755</v>
      </c>
      <c r="I20" s="107">
        <v>41756</v>
      </c>
      <c r="J20" s="106">
        <v>42119</v>
      </c>
      <c r="K20" s="108">
        <v>42120</v>
      </c>
    </row>
    <row r="21" spans="2:11" x14ac:dyDescent="0.25">
      <c r="B21" s="105">
        <v>40663</v>
      </c>
      <c r="C21" s="106">
        <v>40664</v>
      </c>
      <c r="D21" s="107">
        <v>41027</v>
      </c>
      <c r="E21" s="107">
        <v>41028</v>
      </c>
      <c r="F21" s="106">
        <v>41398</v>
      </c>
      <c r="G21" s="106">
        <v>41399</v>
      </c>
      <c r="H21" s="107">
        <v>41762</v>
      </c>
      <c r="I21" s="107">
        <v>41763</v>
      </c>
      <c r="J21" s="106">
        <v>42126</v>
      </c>
      <c r="K21" s="108">
        <v>42127</v>
      </c>
    </row>
    <row r="22" spans="2:11" x14ac:dyDescent="0.25">
      <c r="B22" s="105">
        <v>40670</v>
      </c>
      <c r="C22" s="106">
        <v>40671</v>
      </c>
      <c r="D22" s="107">
        <v>41034</v>
      </c>
      <c r="E22" s="107">
        <v>41035</v>
      </c>
      <c r="F22" s="106">
        <v>41405</v>
      </c>
      <c r="G22" s="106">
        <v>41406</v>
      </c>
      <c r="H22" s="107">
        <v>41769</v>
      </c>
      <c r="I22" s="107">
        <v>41770</v>
      </c>
      <c r="J22" s="106">
        <v>42133</v>
      </c>
      <c r="K22" s="108">
        <v>42134</v>
      </c>
    </row>
    <row r="23" spans="2:11" x14ac:dyDescent="0.25">
      <c r="B23" s="105">
        <v>40677</v>
      </c>
      <c r="C23" s="106">
        <v>40678</v>
      </c>
      <c r="D23" s="107">
        <v>41041</v>
      </c>
      <c r="E23" s="107">
        <v>41042</v>
      </c>
      <c r="F23" s="106">
        <v>41412</v>
      </c>
      <c r="G23" s="106">
        <v>41413</v>
      </c>
      <c r="H23" s="107">
        <v>41776</v>
      </c>
      <c r="I23" s="107">
        <v>41777</v>
      </c>
      <c r="J23" s="106">
        <v>42140</v>
      </c>
      <c r="K23" s="108">
        <v>42141</v>
      </c>
    </row>
    <row r="24" spans="2:11" x14ac:dyDescent="0.25">
      <c r="B24" s="105">
        <v>40684</v>
      </c>
      <c r="C24" s="106">
        <v>40685</v>
      </c>
      <c r="D24" s="107">
        <v>41048</v>
      </c>
      <c r="E24" s="107">
        <v>41049</v>
      </c>
      <c r="F24" s="106">
        <v>41419</v>
      </c>
      <c r="G24" s="106">
        <v>41420</v>
      </c>
      <c r="H24" s="107">
        <v>41783</v>
      </c>
      <c r="I24" s="107">
        <v>41784</v>
      </c>
      <c r="J24" s="106">
        <v>42147</v>
      </c>
      <c r="K24" s="108">
        <v>42148</v>
      </c>
    </row>
    <row r="25" spans="2:11" x14ac:dyDescent="0.25">
      <c r="B25" s="105">
        <v>40691</v>
      </c>
      <c r="C25" s="106">
        <v>40692</v>
      </c>
      <c r="D25" s="107">
        <v>41055</v>
      </c>
      <c r="E25" s="107">
        <v>41056</v>
      </c>
      <c r="F25" s="106">
        <v>41426</v>
      </c>
      <c r="G25" s="106">
        <v>41427</v>
      </c>
      <c r="H25" s="107">
        <v>41790</v>
      </c>
      <c r="I25" s="107">
        <v>41791</v>
      </c>
      <c r="J25" s="106">
        <v>42154</v>
      </c>
      <c r="K25" s="108">
        <v>42155</v>
      </c>
    </row>
    <row r="26" spans="2:11" x14ac:dyDescent="0.25">
      <c r="B26" s="105">
        <v>40698</v>
      </c>
      <c r="C26" s="106">
        <v>40699</v>
      </c>
      <c r="D26" s="107">
        <v>41062</v>
      </c>
      <c r="E26" s="107">
        <v>41063</v>
      </c>
      <c r="F26" s="106">
        <v>41433</v>
      </c>
      <c r="G26" s="106">
        <v>41434</v>
      </c>
      <c r="H26" s="107">
        <v>41797</v>
      </c>
      <c r="I26" s="107">
        <v>41798</v>
      </c>
      <c r="J26" s="106">
        <v>42161</v>
      </c>
      <c r="K26" s="108">
        <v>42162</v>
      </c>
    </row>
    <row r="27" spans="2:11" x14ac:dyDescent="0.25">
      <c r="B27" s="105">
        <v>40705</v>
      </c>
      <c r="C27" s="106">
        <v>40706</v>
      </c>
      <c r="D27" s="107">
        <v>41069</v>
      </c>
      <c r="E27" s="107">
        <v>41070</v>
      </c>
      <c r="F27" s="106">
        <v>41440</v>
      </c>
      <c r="G27" s="106">
        <v>41441</v>
      </c>
      <c r="H27" s="107">
        <v>41804</v>
      </c>
      <c r="I27" s="107">
        <v>41805</v>
      </c>
      <c r="J27" s="106">
        <v>42168</v>
      </c>
      <c r="K27" s="108">
        <v>42169</v>
      </c>
    </row>
    <row r="28" spans="2:11" x14ac:dyDescent="0.25">
      <c r="B28" s="105">
        <v>40712</v>
      </c>
      <c r="C28" s="106">
        <v>40713</v>
      </c>
      <c r="D28" s="107">
        <v>41076</v>
      </c>
      <c r="E28" s="107">
        <v>41077</v>
      </c>
      <c r="F28" s="106">
        <v>41447</v>
      </c>
      <c r="G28" s="106">
        <v>41448</v>
      </c>
      <c r="H28" s="107">
        <v>41811</v>
      </c>
      <c r="I28" s="107">
        <v>41812</v>
      </c>
      <c r="J28" s="106">
        <v>42175</v>
      </c>
      <c r="K28" s="108">
        <v>42176</v>
      </c>
    </row>
    <row r="29" spans="2:11" x14ac:dyDescent="0.25">
      <c r="B29" s="105">
        <v>40719</v>
      </c>
      <c r="C29" s="106">
        <v>40720</v>
      </c>
      <c r="D29" s="107">
        <v>41083</v>
      </c>
      <c r="E29" s="107">
        <v>41084</v>
      </c>
      <c r="F29" s="106">
        <v>41454</v>
      </c>
      <c r="G29" s="106">
        <v>41455</v>
      </c>
      <c r="H29" s="107">
        <v>41818</v>
      </c>
      <c r="I29" s="107">
        <v>41819</v>
      </c>
      <c r="J29" s="106">
        <v>42182</v>
      </c>
      <c r="K29" s="108">
        <v>42183</v>
      </c>
    </row>
    <row r="30" spans="2:11" x14ac:dyDescent="0.25">
      <c r="B30" s="105">
        <v>40726</v>
      </c>
      <c r="C30" s="106">
        <v>40727</v>
      </c>
      <c r="D30" s="107">
        <v>41090</v>
      </c>
      <c r="E30" s="107">
        <v>41091</v>
      </c>
      <c r="F30" s="106">
        <v>41461</v>
      </c>
      <c r="G30" s="106">
        <v>41462</v>
      </c>
      <c r="H30" s="107">
        <v>41825</v>
      </c>
      <c r="I30" s="107">
        <v>41826</v>
      </c>
      <c r="J30" s="106">
        <v>42189</v>
      </c>
      <c r="K30" s="108">
        <v>42190</v>
      </c>
    </row>
    <row r="31" spans="2:11" x14ac:dyDescent="0.25">
      <c r="B31" s="105">
        <v>40733</v>
      </c>
      <c r="C31" s="106">
        <v>40734</v>
      </c>
      <c r="D31" s="107">
        <v>41097</v>
      </c>
      <c r="E31" s="107">
        <v>41098</v>
      </c>
      <c r="F31" s="106">
        <v>41468</v>
      </c>
      <c r="G31" s="106">
        <v>41469</v>
      </c>
      <c r="H31" s="107">
        <v>41832</v>
      </c>
      <c r="I31" s="107">
        <v>41833</v>
      </c>
      <c r="J31" s="106">
        <v>42196</v>
      </c>
      <c r="K31" s="108">
        <v>42197</v>
      </c>
    </row>
    <row r="32" spans="2:11" x14ac:dyDescent="0.25">
      <c r="B32" s="105">
        <v>40740</v>
      </c>
      <c r="C32" s="106">
        <v>40741</v>
      </c>
      <c r="D32" s="107">
        <v>41104</v>
      </c>
      <c r="E32" s="107">
        <v>41105</v>
      </c>
      <c r="F32" s="106">
        <v>41475</v>
      </c>
      <c r="G32" s="106">
        <v>41476</v>
      </c>
      <c r="H32" s="107">
        <v>41839</v>
      </c>
      <c r="I32" s="107">
        <v>41840</v>
      </c>
      <c r="J32" s="106">
        <v>42203</v>
      </c>
      <c r="K32" s="108">
        <v>42204</v>
      </c>
    </row>
    <row r="33" spans="2:11" x14ac:dyDescent="0.25">
      <c r="B33" s="105">
        <v>40747</v>
      </c>
      <c r="C33" s="106">
        <v>40748</v>
      </c>
      <c r="D33" s="107">
        <v>41111</v>
      </c>
      <c r="E33" s="107">
        <v>41112</v>
      </c>
      <c r="F33" s="106">
        <v>41482</v>
      </c>
      <c r="G33" s="106">
        <v>41483</v>
      </c>
      <c r="H33" s="107">
        <v>41846</v>
      </c>
      <c r="I33" s="107">
        <v>41847</v>
      </c>
      <c r="J33" s="106">
        <v>42210</v>
      </c>
      <c r="K33" s="108">
        <v>42211</v>
      </c>
    </row>
    <row r="34" spans="2:11" x14ac:dyDescent="0.25">
      <c r="B34" s="105">
        <v>40754</v>
      </c>
      <c r="C34" s="106">
        <v>40755</v>
      </c>
      <c r="D34" s="107">
        <v>41118</v>
      </c>
      <c r="E34" s="107">
        <v>41119</v>
      </c>
      <c r="F34" s="106">
        <v>41489</v>
      </c>
      <c r="G34" s="106">
        <v>41490</v>
      </c>
      <c r="H34" s="107">
        <v>41853</v>
      </c>
      <c r="I34" s="107">
        <v>41854</v>
      </c>
      <c r="J34" s="106">
        <v>42217</v>
      </c>
      <c r="K34" s="108">
        <v>42218</v>
      </c>
    </row>
    <row r="35" spans="2:11" x14ac:dyDescent="0.25">
      <c r="B35" s="105">
        <v>40761</v>
      </c>
      <c r="C35" s="106">
        <v>40762</v>
      </c>
      <c r="D35" s="107">
        <v>41125</v>
      </c>
      <c r="E35" s="107">
        <v>41126</v>
      </c>
      <c r="F35" s="106">
        <v>41496</v>
      </c>
      <c r="G35" s="106">
        <v>41497</v>
      </c>
      <c r="H35" s="107">
        <v>41860</v>
      </c>
      <c r="I35" s="107">
        <v>41861</v>
      </c>
      <c r="J35" s="106">
        <v>42224</v>
      </c>
      <c r="K35" s="108">
        <v>42225</v>
      </c>
    </row>
    <row r="36" spans="2:11" x14ac:dyDescent="0.25">
      <c r="B36" s="105">
        <v>40768</v>
      </c>
      <c r="C36" s="106">
        <v>40769</v>
      </c>
      <c r="D36" s="107">
        <v>41132</v>
      </c>
      <c r="E36" s="107">
        <v>41133</v>
      </c>
      <c r="F36" s="106">
        <v>41503</v>
      </c>
      <c r="G36" s="106">
        <v>41504</v>
      </c>
      <c r="H36" s="107">
        <v>41867</v>
      </c>
      <c r="I36" s="107">
        <v>41868</v>
      </c>
      <c r="J36" s="106">
        <v>42231</v>
      </c>
      <c r="K36" s="108">
        <v>42232</v>
      </c>
    </row>
    <row r="37" spans="2:11" x14ac:dyDescent="0.25">
      <c r="B37" s="105">
        <v>40775</v>
      </c>
      <c r="C37" s="106">
        <v>40776</v>
      </c>
      <c r="D37" s="107">
        <v>41139</v>
      </c>
      <c r="E37" s="107">
        <v>41140</v>
      </c>
      <c r="F37" s="106">
        <v>41510</v>
      </c>
      <c r="G37" s="106">
        <v>41511</v>
      </c>
      <c r="H37" s="107">
        <v>41874</v>
      </c>
      <c r="I37" s="107">
        <v>41875</v>
      </c>
      <c r="J37" s="106">
        <v>42238</v>
      </c>
      <c r="K37" s="108">
        <v>42239</v>
      </c>
    </row>
    <row r="38" spans="2:11" x14ac:dyDescent="0.25">
      <c r="B38" s="105">
        <v>40782</v>
      </c>
      <c r="C38" s="106">
        <v>40783</v>
      </c>
      <c r="D38" s="107">
        <v>41146</v>
      </c>
      <c r="E38" s="107">
        <v>41147</v>
      </c>
      <c r="F38" s="106">
        <v>41517</v>
      </c>
      <c r="G38" s="106">
        <v>41518</v>
      </c>
      <c r="H38" s="107">
        <v>41881</v>
      </c>
      <c r="I38" s="107">
        <v>41882</v>
      </c>
      <c r="J38" s="106">
        <v>42245</v>
      </c>
      <c r="K38" s="108">
        <v>42246</v>
      </c>
    </row>
    <row r="39" spans="2:11" x14ac:dyDescent="0.25">
      <c r="B39" s="105">
        <v>40789</v>
      </c>
      <c r="C39" s="106">
        <v>40790</v>
      </c>
      <c r="D39" s="107">
        <v>41153</v>
      </c>
      <c r="E39" s="107">
        <v>41154</v>
      </c>
      <c r="F39" s="106">
        <v>41524</v>
      </c>
      <c r="G39" s="106">
        <v>41525</v>
      </c>
      <c r="H39" s="107">
        <v>41888</v>
      </c>
      <c r="I39" s="107">
        <v>41889</v>
      </c>
      <c r="J39" s="106">
        <v>42252</v>
      </c>
      <c r="K39" s="108">
        <v>42253</v>
      </c>
    </row>
    <row r="40" spans="2:11" x14ac:dyDescent="0.25">
      <c r="B40" s="105">
        <v>40796</v>
      </c>
      <c r="C40" s="106">
        <v>40797</v>
      </c>
      <c r="D40" s="107">
        <v>41160</v>
      </c>
      <c r="E40" s="107">
        <v>41161</v>
      </c>
      <c r="F40" s="106">
        <v>41531</v>
      </c>
      <c r="G40" s="106">
        <v>41532</v>
      </c>
      <c r="H40" s="107">
        <v>41895</v>
      </c>
      <c r="I40" s="107">
        <v>41896</v>
      </c>
      <c r="J40" s="106">
        <v>42259</v>
      </c>
      <c r="K40" s="108">
        <v>42260</v>
      </c>
    </row>
    <row r="41" spans="2:11" x14ac:dyDescent="0.25">
      <c r="B41" s="105">
        <v>40803</v>
      </c>
      <c r="C41" s="106">
        <v>40804</v>
      </c>
      <c r="D41" s="107">
        <v>41167</v>
      </c>
      <c r="E41" s="107">
        <v>41168</v>
      </c>
      <c r="F41" s="106">
        <v>41538</v>
      </c>
      <c r="G41" s="106">
        <v>41539</v>
      </c>
      <c r="H41" s="107">
        <v>41902</v>
      </c>
      <c r="I41" s="107">
        <v>41903</v>
      </c>
      <c r="J41" s="106">
        <v>42266</v>
      </c>
      <c r="K41" s="108">
        <v>42267</v>
      </c>
    </row>
    <row r="42" spans="2:11" x14ac:dyDescent="0.25">
      <c r="B42" s="105">
        <v>40810</v>
      </c>
      <c r="C42" s="106">
        <v>40811</v>
      </c>
      <c r="D42" s="107">
        <v>41174</v>
      </c>
      <c r="E42" s="107">
        <v>41175</v>
      </c>
      <c r="F42" s="106">
        <v>41545</v>
      </c>
      <c r="G42" s="106">
        <v>41546</v>
      </c>
      <c r="H42" s="107">
        <v>41909</v>
      </c>
      <c r="I42" s="107">
        <v>41910</v>
      </c>
      <c r="J42" s="106">
        <v>42273</v>
      </c>
      <c r="K42" s="108">
        <v>42274</v>
      </c>
    </row>
    <row r="43" spans="2:11" x14ac:dyDescent="0.25">
      <c r="B43" s="105">
        <v>40817</v>
      </c>
      <c r="C43" s="106">
        <v>40818</v>
      </c>
      <c r="D43" s="107">
        <v>41181</v>
      </c>
      <c r="E43" s="107">
        <v>41182</v>
      </c>
      <c r="F43" s="106">
        <v>41552</v>
      </c>
      <c r="G43" s="106">
        <v>41553</v>
      </c>
      <c r="H43" s="107">
        <v>41916</v>
      </c>
      <c r="I43" s="107">
        <v>41917</v>
      </c>
      <c r="J43" s="106">
        <v>42280</v>
      </c>
      <c r="K43" s="108">
        <v>42281</v>
      </c>
    </row>
    <row r="44" spans="2:11" x14ac:dyDescent="0.25">
      <c r="B44" s="105">
        <v>40824</v>
      </c>
      <c r="C44" s="106">
        <v>40825</v>
      </c>
      <c r="D44" s="107">
        <v>41188</v>
      </c>
      <c r="E44" s="107">
        <v>41189</v>
      </c>
      <c r="F44" s="106">
        <v>41559</v>
      </c>
      <c r="G44" s="106">
        <v>41560</v>
      </c>
      <c r="H44" s="107">
        <v>41923</v>
      </c>
      <c r="I44" s="107">
        <v>41924</v>
      </c>
      <c r="J44" s="106">
        <v>42287</v>
      </c>
      <c r="K44" s="108">
        <v>42288</v>
      </c>
    </row>
    <row r="45" spans="2:11" x14ac:dyDescent="0.25">
      <c r="B45" s="105">
        <v>40831</v>
      </c>
      <c r="C45" s="106">
        <v>40832</v>
      </c>
      <c r="D45" s="107">
        <v>41195</v>
      </c>
      <c r="E45" s="107">
        <v>41196</v>
      </c>
      <c r="F45" s="106">
        <v>41566</v>
      </c>
      <c r="G45" s="106">
        <v>41567</v>
      </c>
      <c r="H45" s="107">
        <v>41930</v>
      </c>
      <c r="I45" s="107">
        <v>41931</v>
      </c>
      <c r="J45" s="106">
        <v>42294</v>
      </c>
      <c r="K45" s="108">
        <v>42295</v>
      </c>
    </row>
    <row r="46" spans="2:11" x14ac:dyDescent="0.25">
      <c r="B46" s="105">
        <v>40838</v>
      </c>
      <c r="C46" s="106">
        <v>40839</v>
      </c>
      <c r="D46" s="107">
        <v>41202</v>
      </c>
      <c r="E46" s="107">
        <v>41203</v>
      </c>
      <c r="F46" s="106">
        <v>41573</v>
      </c>
      <c r="G46" s="106">
        <v>41574</v>
      </c>
      <c r="H46" s="107">
        <v>41937</v>
      </c>
      <c r="I46" s="107">
        <v>41938</v>
      </c>
      <c r="J46" s="106">
        <v>42301</v>
      </c>
      <c r="K46" s="108">
        <v>42302</v>
      </c>
    </row>
    <row r="47" spans="2:11" x14ac:dyDescent="0.25">
      <c r="B47" s="105">
        <v>40845</v>
      </c>
      <c r="C47" s="106">
        <v>40846</v>
      </c>
      <c r="D47" s="107">
        <v>41209</v>
      </c>
      <c r="E47" s="107">
        <v>41210</v>
      </c>
      <c r="F47" s="106">
        <v>41580</v>
      </c>
      <c r="G47" s="106">
        <v>41581</v>
      </c>
      <c r="H47" s="107">
        <v>41944</v>
      </c>
      <c r="I47" s="107">
        <v>41945</v>
      </c>
      <c r="J47" s="106">
        <v>42308</v>
      </c>
      <c r="K47" s="108">
        <v>42309</v>
      </c>
    </row>
    <row r="48" spans="2:11" x14ac:dyDescent="0.25">
      <c r="B48" s="105">
        <v>40852</v>
      </c>
      <c r="C48" s="106">
        <v>40853</v>
      </c>
      <c r="D48" s="107">
        <v>41216</v>
      </c>
      <c r="E48" s="107">
        <v>41217</v>
      </c>
      <c r="F48" s="106">
        <v>41587</v>
      </c>
      <c r="G48" s="106">
        <v>41588</v>
      </c>
      <c r="H48" s="107">
        <v>41951</v>
      </c>
      <c r="I48" s="107">
        <v>41952</v>
      </c>
      <c r="J48" s="106">
        <v>42315</v>
      </c>
      <c r="K48" s="108">
        <v>42316</v>
      </c>
    </row>
    <row r="49" spans="1:11" x14ac:dyDescent="0.25">
      <c r="A49" s="98"/>
      <c r="B49" s="105">
        <v>40859</v>
      </c>
      <c r="C49" s="106">
        <v>40860</v>
      </c>
      <c r="D49" s="107">
        <v>41223</v>
      </c>
      <c r="E49" s="107">
        <v>41224</v>
      </c>
      <c r="F49" s="106">
        <v>41594</v>
      </c>
      <c r="G49" s="106">
        <v>41595</v>
      </c>
      <c r="H49" s="107">
        <v>41958</v>
      </c>
      <c r="I49" s="107">
        <v>41959</v>
      </c>
      <c r="J49" s="106">
        <v>42322</v>
      </c>
      <c r="K49" s="108">
        <v>42323</v>
      </c>
    </row>
    <row r="50" spans="1:11" x14ac:dyDescent="0.25">
      <c r="A50" s="98"/>
      <c r="B50" s="105">
        <v>40866</v>
      </c>
      <c r="C50" s="106">
        <v>40867</v>
      </c>
      <c r="D50" s="107">
        <v>41230</v>
      </c>
      <c r="E50" s="107">
        <v>41231</v>
      </c>
      <c r="F50" s="106">
        <v>41601</v>
      </c>
      <c r="G50" s="106">
        <v>41602</v>
      </c>
      <c r="H50" s="107">
        <v>41965</v>
      </c>
      <c r="I50" s="107">
        <v>41966</v>
      </c>
      <c r="J50" s="106">
        <v>42329</v>
      </c>
      <c r="K50" s="108">
        <v>42330</v>
      </c>
    </row>
    <row r="51" spans="1:11" x14ac:dyDescent="0.25">
      <c r="A51" s="98"/>
      <c r="B51" s="105">
        <v>40873</v>
      </c>
      <c r="C51" s="106">
        <v>40874</v>
      </c>
      <c r="D51" s="107">
        <v>41237</v>
      </c>
      <c r="E51" s="107">
        <v>41238</v>
      </c>
      <c r="F51" s="106">
        <v>41608</v>
      </c>
      <c r="G51" s="106">
        <v>41609</v>
      </c>
      <c r="H51" s="107">
        <v>41972</v>
      </c>
      <c r="I51" s="107">
        <v>41973</v>
      </c>
      <c r="J51" s="106">
        <v>42336</v>
      </c>
      <c r="K51" s="108">
        <v>42337</v>
      </c>
    </row>
    <row r="52" spans="1:11" x14ac:dyDescent="0.25">
      <c r="A52" s="98"/>
      <c r="B52" s="105">
        <v>40880</v>
      </c>
      <c r="C52" s="106">
        <v>40881</v>
      </c>
      <c r="D52" s="107">
        <v>41244</v>
      </c>
      <c r="E52" s="107">
        <v>41245</v>
      </c>
      <c r="F52" s="106">
        <v>41615</v>
      </c>
      <c r="G52" s="106">
        <v>41616</v>
      </c>
      <c r="H52" s="107">
        <v>41979</v>
      </c>
      <c r="I52" s="107">
        <v>41980</v>
      </c>
      <c r="J52" s="106">
        <v>42343</v>
      </c>
      <c r="K52" s="108">
        <v>42344</v>
      </c>
    </row>
    <row r="53" spans="1:11" x14ac:dyDescent="0.25">
      <c r="A53" s="98"/>
      <c r="B53" s="105">
        <v>40887</v>
      </c>
      <c r="C53" s="106">
        <v>40888</v>
      </c>
      <c r="D53" s="107">
        <v>41251</v>
      </c>
      <c r="E53" s="107">
        <v>41252</v>
      </c>
      <c r="F53" s="106">
        <v>41622</v>
      </c>
      <c r="G53" s="106">
        <v>41623</v>
      </c>
      <c r="H53" s="107">
        <v>41986</v>
      </c>
      <c r="I53" s="107">
        <v>41987</v>
      </c>
      <c r="J53" s="106">
        <v>42350</v>
      </c>
      <c r="K53" s="108">
        <v>42351</v>
      </c>
    </row>
    <row r="54" spans="1:11" x14ac:dyDescent="0.25">
      <c r="A54" s="98"/>
      <c r="B54" s="105">
        <v>40894</v>
      </c>
      <c r="C54" s="106">
        <v>40895</v>
      </c>
      <c r="D54" s="107">
        <v>41258</v>
      </c>
      <c r="E54" s="107">
        <v>41259</v>
      </c>
      <c r="F54" s="106">
        <v>41629</v>
      </c>
      <c r="G54" s="106">
        <v>41630</v>
      </c>
      <c r="H54" s="107">
        <v>41993</v>
      </c>
      <c r="I54" s="107">
        <v>41994</v>
      </c>
      <c r="J54" s="106">
        <v>42357</v>
      </c>
      <c r="K54" s="108">
        <v>42358</v>
      </c>
    </row>
    <row r="55" spans="1:11" x14ac:dyDescent="0.25">
      <c r="A55" s="98"/>
      <c r="B55" s="105">
        <v>40901</v>
      </c>
      <c r="C55" s="106">
        <v>40902</v>
      </c>
      <c r="D55" s="107">
        <v>41265</v>
      </c>
      <c r="E55" s="107">
        <v>41266</v>
      </c>
      <c r="F55" s="106">
        <v>41636</v>
      </c>
      <c r="G55" s="106">
        <v>41637</v>
      </c>
      <c r="H55" s="107">
        <v>42000</v>
      </c>
      <c r="I55" s="107">
        <v>42001</v>
      </c>
      <c r="J55" s="106">
        <v>42364</v>
      </c>
      <c r="K55" s="108">
        <v>42365</v>
      </c>
    </row>
    <row r="56" spans="1:11" ht="15.75" thickBot="1" x14ac:dyDescent="0.3">
      <c r="A56" s="98"/>
      <c r="B56" s="113">
        <v>40908</v>
      </c>
      <c r="C56" s="114"/>
      <c r="D56" s="115">
        <v>41272</v>
      </c>
      <c r="E56" s="115">
        <v>41273</v>
      </c>
      <c r="F56" s="114"/>
      <c r="G56" s="114"/>
      <c r="H56" s="115"/>
      <c r="I56" s="115"/>
      <c r="J56" s="114"/>
      <c r="K56" s="116"/>
    </row>
    <row r="57" spans="1:11" ht="15.75" thickTop="1" x14ac:dyDescent="0.25">
      <c r="A57" s="127" t="s">
        <v>647</v>
      </c>
      <c r="B57" s="117">
        <v>40902</v>
      </c>
      <c r="C57" s="118">
        <v>40900</v>
      </c>
      <c r="D57" s="119">
        <v>41268</v>
      </c>
      <c r="E57" s="119">
        <v>40910</v>
      </c>
      <c r="F57" s="118">
        <v>41633</v>
      </c>
      <c r="G57" s="118">
        <v>41276</v>
      </c>
      <c r="H57" s="119">
        <v>41998</v>
      </c>
      <c r="I57" s="119">
        <v>41641</v>
      </c>
      <c r="J57" s="118">
        <v>42363</v>
      </c>
      <c r="K57" s="120">
        <v>42006</v>
      </c>
    </row>
    <row r="58" spans="1:11" x14ac:dyDescent="0.25">
      <c r="A58" s="127" t="s">
        <v>648</v>
      </c>
      <c r="B58" s="105">
        <v>40904</v>
      </c>
      <c r="C58" s="106">
        <v>40901</v>
      </c>
      <c r="D58" s="107">
        <v>41269</v>
      </c>
      <c r="E58" s="107">
        <v>40911</v>
      </c>
      <c r="F58" s="106">
        <v>41634</v>
      </c>
      <c r="G58" s="106">
        <v>41277</v>
      </c>
      <c r="H58" s="107">
        <v>41999</v>
      </c>
      <c r="I58" s="107">
        <v>41642</v>
      </c>
      <c r="J58" s="106">
        <v>42364</v>
      </c>
      <c r="K58" s="108">
        <v>42009</v>
      </c>
    </row>
    <row r="59" spans="1:11" x14ac:dyDescent="0.25">
      <c r="A59" s="127" t="s">
        <v>649</v>
      </c>
      <c r="B59" s="105">
        <v>40544</v>
      </c>
      <c r="C59" s="106">
        <v>40905</v>
      </c>
      <c r="D59" s="107">
        <v>40909</v>
      </c>
      <c r="E59" s="107">
        <v>40912</v>
      </c>
      <c r="F59" s="106">
        <v>41275</v>
      </c>
      <c r="G59" s="106">
        <v>41278</v>
      </c>
      <c r="H59" s="107">
        <v>41640</v>
      </c>
      <c r="I59" s="107">
        <v>41995</v>
      </c>
      <c r="J59" s="106">
        <v>42005</v>
      </c>
      <c r="K59" s="108">
        <v>42010</v>
      </c>
    </row>
    <row r="60" spans="1:11" x14ac:dyDescent="0.25">
      <c r="A60" s="127" t="s">
        <v>650</v>
      </c>
      <c r="B60" s="105">
        <v>40569</v>
      </c>
      <c r="C60" s="106">
        <v>40906</v>
      </c>
      <c r="D60" s="107">
        <v>41300</v>
      </c>
      <c r="E60" s="107">
        <v>40913</v>
      </c>
      <c r="F60" s="106">
        <v>41302</v>
      </c>
      <c r="G60" s="106">
        <v>41631</v>
      </c>
      <c r="H60" s="107">
        <v>41666</v>
      </c>
      <c r="I60" s="107">
        <v>41996</v>
      </c>
      <c r="J60" s="106">
        <v>42030</v>
      </c>
      <c r="K60" s="108">
        <v>42011</v>
      </c>
    </row>
    <row r="61" spans="1:11" x14ac:dyDescent="0.25">
      <c r="A61" s="127" t="s">
        <v>651</v>
      </c>
      <c r="B61" s="105">
        <v>40655</v>
      </c>
      <c r="C61" s="106">
        <v>40907</v>
      </c>
      <c r="D61" s="107">
        <v>41005</v>
      </c>
      <c r="E61" s="107">
        <v>40914</v>
      </c>
      <c r="F61" s="106">
        <v>41362</v>
      </c>
      <c r="G61" s="106">
        <v>41632</v>
      </c>
      <c r="H61" s="107">
        <v>41747</v>
      </c>
      <c r="I61" s="107">
        <v>41997</v>
      </c>
      <c r="J61" s="106">
        <v>42097</v>
      </c>
      <c r="K61" s="108">
        <v>42012</v>
      </c>
    </row>
    <row r="62" spans="1:11" x14ac:dyDescent="0.25">
      <c r="A62" s="127" t="s">
        <v>652</v>
      </c>
      <c r="B62" s="105">
        <v>40658</v>
      </c>
      <c r="C62" s="106"/>
      <c r="D62" s="107">
        <v>41008</v>
      </c>
      <c r="E62" s="107">
        <v>41267</v>
      </c>
      <c r="F62" s="106">
        <v>41365</v>
      </c>
      <c r="G62" s="106">
        <v>41635</v>
      </c>
      <c r="H62" s="107">
        <v>41750</v>
      </c>
      <c r="I62" s="107">
        <v>42002</v>
      </c>
      <c r="J62" s="106">
        <v>42100</v>
      </c>
      <c r="K62" s="108">
        <v>42013</v>
      </c>
    </row>
    <row r="63" spans="1:11" x14ac:dyDescent="0.25">
      <c r="A63" s="127" t="s">
        <v>653</v>
      </c>
      <c r="B63" s="105">
        <v>40659</v>
      </c>
      <c r="C63" s="106"/>
      <c r="D63" s="107">
        <v>41024</v>
      </c>
      <c r="E63" s="107">
        <v>41270</v>
      </c>
      <c r="F63" s="106">
        <v>41389</v>
      </c>
      <c r="G63" s="106">
        <v>41638</v>
      </c>
      <c r="H63" s="107">
        <v>41754</v>
      </c>
      <c r="I63" s="107">
        <v>42003</v>
      </c>
      <c r="J63" s="106">
        <v>42121</v>
      </c>
      <c r="K63" s="108">
        <v>42362</v>
      </c>
    </row>
    <row r="64" spans="1:11" x14ac:dyDescent="0.25">
      <c r="A64" s="127" t="s">
        <v>654</v>
      </c>
      <c r="B64" s="105">
        <v>40665</v>
      </c>
      <c r="C64" s="106"/>
      <c r="D64" s="107">
        <v>41036</v>
      </c>
      <c r="E64" s="107">
        <v>41271</v>
      </c>
      <c r="F64" s="106">
        <v>41435</v>
      </c>
      <c r="G64" s="106">
        <v>41639</v>
      </c>
      <c r="H64" s="107">
        <v>41918</v>
      </c>
      <c r="I64" s="107">
        <v>42004</v>
      </c>
      <c r="J64" s="106">
        <v>42282</v>
      </c>
      <c r="K64" s="108">
        <v>42365</v>
      </c>
    </row>
    <row r="65" spans="1:11" x14ac:dyDescent="0.25">
      <c r="A65" s="127" t="s">
        <v>655</v>
      </c>
      <c r="B65" s="105">
        <v>40707</v>
      </c>
      <c r="C65" s="106"/>
      <c r="D65" s="107">
        <v>41071</v>
      </c>
      <c r="E65" s="107">
        <v>41274</v>
      </c>
      <c r="F65" s="106">
        <v>41554</v>
      </c>
      <c r="G65" s="106"/>
      <c r="H65" s="107">
        <v>41799</v>
      </c>
      <c r="I65" s="107"/>
      <c r="J65" s="106">
        <v>42163</v>
      </c>
      <c r="K65" s="108">
        <v>42366</v>
      </c>
    </row>
    <row r="66" spans="1:11" x14ac:dyDescent="0.25">
      <c r="A66" s="98"/>
      <c r="B66" s="105"/>
      <c r="C66" s="106"/>
      <c r="D66" s="107"/>
      <c r="E66" s="107"/>
      <c r="F66" s="106"/>
      <c r="G66" s="106"/>
      <c r="H66" s="104"/>
      <c r="I66" s="104"/>
      <c r="J66" s="106"/>
      <c r="K66" s="108">
        <v>42367</v>
      </c>
    </row>
    <row r="67" spans="1:11" x14ac:dyDescent="0.25">
      <c r="A67" s="98"/>
      <c r="B67" s="105"/>
      <c r="C67" s="106"/>
      <c r="D67" s="107"/>
      <c r="E67" s="107"/>
      <c r="F67" s="106"/>
      <c r="G67" s="106"/>
      <c r="H67" s="104"/>
      <c r="I67" s="104"/>
      <c r="J67" s="106"/>
      <c r="K67" s="108">
        <v>42368</v>
      </c>
    </row>
    <row r="68" spans="1:11" x14ac:dyDescent="0.25">
      <c r="A68" s="98"/>
      <c r="B68" s="105"/>
      <c r="C68" s="106"/>
      <c r="D68" s="107"/>
      <c r="E68" s="107"/>
      <c r="F68" s="106"/>
      <c r="G68" s="106"/>
      <c r="H68" s="104"/>
      <c r="I68" s="104"/>
      <c r="J68" s="106"/>
      <c r="K68" s="108">
        <v>42369</v>
      </c>
    </row>
    <row r="69" spans="1:11" ht="15.75" thickBot="1" x14ac:dyDescent="0.3">
      <c r="A69" s="98"/>
      <c r="B69" s="109"/>
      <c r="C69" s="121" t="s">
        <v>656</v>
      </c>
      <c r="D69" s="110"/>
      <c r="E69" s="121" t="s">
        <v>656</v>
      </c>
      <c r="F69" s="111"/>
      <c r="G69" s="121" t="s">
        <v>656</v>
      </c>
      <c r="H69" s="112"/>
      <c r="I69" s="121" t="s">
        <v>656</v>
      </c>
      <c r="J69" s="111"/>
      <c r="K69" s="128" t="s">
        <v>656</v>
      </c>
    </row>
    <row r="70" spans="1:11" ht="15.75" thickBot="1" x14ac:dyDescent="0.3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</row>
    <row r="71" spans="1:11" ht="19.5" thickBot="1" x14ac:dyDescent="0.35">
      <c r="A71" s="102" t="s">
        <v>657</v>
      </c>
      <c r="B71" s="98"/>
      <c r="C71" s="103">
        <v>9</v>
      </c>
      <c r="D71" s="98"/>
      <c r="E71" s="98"/>
      <c r="F71" s="98"/>
      <c r="G71" s="98"/>
      <c r="H71" s="98"/>
      <c r="I71" s="98"/>
      <c r="J71" s="98"/>
      <c r="K71" s="98"/>
    </row>
    <row r="72" spans="1:11" x14ac:dyDescent="0.25">
      <c r="A72" s="249" t="s">
        <v>1358</v>
      </c>
      <c r="B72" s="249"/>
      <c r="C72" s="250">
        <v>40791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F012-0667-4463-9A23-DC27956379E4}">
  <dimension ref="A1:P293"/>
  <sheetViews>
    <sheetView topLeftCell="A36" workbookViewId="0"/>
  </sheetViews>
  <sheetFormatPr defaultRowHeight="15" x14ac:dyDescent="0.25"/>
  <cols>
    <col min="1" max="1" width="12.42578125" style="160" customWidth="1"/>
    <col min="2" max="2" width="65.140625" style="20" customWidth="1"/>
    <col min="3" max="3" width="8.7109375" style="28" bestFit="1" customWidth="1"/>
    <col min="4" max="5" width="20.5703125" style="253" customWidth="1"/>
    <col min="6" max="6" width="14.140625" style="258" customWidth="1"/>
    <col min="7" max="16" width="14" style="259" customWidth="1"/>
  </cols>
  <sheetData>
    <row r="1" spans="1:16" s="25" customFormat="1" x14ac:dyDescent="0.25">
      <c r="A1" s="261" t="s">
        <v>257</v>
      </c>
      <c r="B1" s="261" t="s">
        <v>1352</v>
      </c>
      <c r="C1" s="262" t="s">
        <v>642</v>
      </c>
      <c r="D1" s="262" t="s">
        <v>1355</v>
      </c>
      <c r="E1" s="262" t="s">
        <v>1356</v>
      </c>
      <c r="F1" s="263" t="s">
        <v>1357</v>
      </c>
      <c r="G1" s="264" t="s">
        <v>1429</v>
      </c>
      <c r="H1" s="264" t="s">
        <v>1430</v>
      </c>
      <c r="I1" s="264" t="s">
        <v>1431</v>
      </c>
      <c r="J1" s="264" t="s">
        <v>1432</v>
      </c>
      <c r="K1" s="264" t="s">
        <v>1433</v>
      </c>
      <c r="L1" s="264" t="s">
        <v>1434</v>
      </c>
      <c r="M1" s="264" t="s">
        <v>1435</v>
      </c>
      <c r="N1" s="264" t="s">
        <v>1436</v>
      </c>
      <c r="O1" s="264" t="s">
        <v>1437</v>
      </c>
      <c r="P1" s="264" t="s">
        <v>1438</v>
      </c>
    </row>
    <row r="2" spans="1:16" s="98" customFormat="1" x14ac:dyDescent="0.25">
      <c r="A2" s="166"/>
      <c r="B2" s="76"/>
      <c r="C2" s="251"/>
      <c r="D2" s="251"/>
      <c r="E2" s="251"/>
      <c r="F2" s="257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 s="98" customFormat="1" x14ac:dyDescent="0.25">
      <c r="A3" s="167">
        <v>3</v>
      </c>
      <c r="B3" s="252" t="s">
        <v>1353</v>
      </c>
      <c r="C3" s="251">
        <v>0</v>
      </c>
      <c r="D3" s="254"/>
      <c r="E3" s="255" t="s">
        <v>1390</v>
      </c>
      <c r="F3" s="257"/>
      <c r="G3" s="265"/>
      <c r="H3" s="265"/>
      <c r="I3" s="265"/>
      <c r="J3" s="265"/>
      <c r="K3" s="265"/>
      <c r="L3" s="265"/>
      <c r="M3" s="265"/>
      <c r="N3" s="265"/>
      <c r="O3" s="265"/>
      <c r="P3" s="265"/>
    </row>
    <row r="4" spans="1:16" s="98" customFormat="1" ht="30" x14ac:dyDescent="0.25">
      <c r="A4" s="167">
        <v>4</v>
      </c>
      <c r="B4" s="252" t="s">
        <v>1354</v>
      </c>
      <c r="C4" s="251">
        <v>0</v>
      </c>
      <c r="D4" s="255" t="s">
        <v>1391</v>
      </c>
      <c r="E4" s="254"/>
      <c r="F4" s="257"/>
      <c r="G4" s="265"/>
      <c r="H4" s="265"/>
      <c r="I4" s="265"/>
      <c r="J4" s="265"/>
      <c r="K4" s="265"/>
      <c r="L4" s="265"/>
      <c r="M4" s="265"/>
      <c r="N4" s="265"/>
      <c r="O4" s="265"/>
      <c r="P4" s="265"/>
    </row>
    <row r="5" spans="1:16" x14ac:dyDescent="0.25">
      <c r="A5" s="167">
        <v>5</v>
      </c>
      <c r="B5" s="252" t="str">
        <f>VLOOKUP(A5,Estimate!A:C,3,FALSE)</f>
        <v>NICOL ST - PROSERPINE</v>
      </c>
      <c r="C5" s="251">
        <f>VLOOKUP(A5,Estimate!A:L,12,FALSE)</f>
        <v>0</v>
      </c>
      <c r="D5" s="254"/>
      <c r="E5" s="254"/>
      <c r="F5" s="257"/>
      <c r="G5" s="266">
        <f>VLOOKUP($A5,'Budget &amp; Revenue'!$A:$AE,13,FALSE)</f>
        <v>0</v>
      </c>
      <c r="H5" s="266">
        <f>VLOOKUP($A5,'Budget &amp; Revenue'!$A:$AE,15,FALSE)</f>
        <v>0</v>
      </c>
      <c r="I5" s="266">
        <f>VLOOKUP($A5,'Budget &amp; Revenue'!$A:$AE,17,FALSE)</f>
        <v>0</v>
      </c>
      <c r="J5" s="266">
        <f>VLOOKUP($A5,'Budget &amp; Revenue'!$A:$AE,19,FALSE)</f>
        <v>0</v>
      </c>
      <c r="K5" s="266">
        <f>VLOOKUP($A5,'Budget &amp; Revenue'!$A:$AE,21,FALSE)</f>
        <v>0</v>
      </c>
      <c r="L5" s="266">
        <f>VLOOKUP($A5,'Budget &amp; Revenue'!$A:$AE,23,FALSE)</f>
        <v>0</v>
      </c>
      <c r="M5" s="266">
        <f>VLOOKUP($A5,'Budget &amp; Revenue'!$A:$AE,25,FALSE)</f>
        <v>0</v>
      </c>
      <c r="N5" s="266">
        <f>VLOOKUP($A5,'Budget &amp; Revenue'!$A:$AE,27,FALSE)</f>
        <v>0</v>
      </c>
      <c r="O5" s="266">
        <f>VLOOKUP($A5,'Budget &amp; Revenue'!$A:$AE,29,FALSE)</f>
        <v>0</v>
      </c>
      <c r="P5" s="266">
        <f>VLOOKUP($A5,'Budget &amp; Revenue'!$A:$AE,31,FALSE)</f>
        <v>0</v>
      </c>
    </row>
    <row r="6" spans="1:16" x14ac:dyDescent="0.25">
      <c r="A6" s="167">
        <v>6</v>
      </c>
      <c r="B6" s="252" t="str">
        <f>VLOOKUP(A6,Estimate!A:C,3,FALSE)</f>
        <v>Quality System Documents &amp; Records</v>
      </c>
      <c r="C6" s="251">
        <f>VLOOKUP(A6,Estimate!A:L,12,FALSE)</f>
        <v>5</v>
      </c>
      <c r="D6" s="255">
        <v>3</v>
      </c>
      <c r="E6" s="255" t="s">
        <v>1359</v>
      </c>
      <c r="F6" s="257">
        <f>VLOOKUP(A6,Estimate!A:Q,17,FALSE)</f>
        <v>3250</v>
      </c>
      <c r="G6" s="266">
        <f>VLOOKUP($A6,'Budget &amp; Revenue'!$A:$AE,13,FALSE)</f>
        <v>0</v>
      </c>
      <c r="H6" s="266">
        <f>VLOOKUP($A6,'Budget &amp; Revenue'!$A:$AE,15,FALSE)</f>
        <v>0.6</v>
      </c>
      <c r="I6" s="266">
        <f>VLOOKUP($A6,'Budget &amp; Revenue'!$A:$AE,17,FALSE)</f>
        <v>0.7</v>
      </c>
      <c r="J6" s="266">
        <f>VLOOKUP($A6,'Budget &amp; Revenue'!$A:$AE,19,FALSE)</f>
        <v>0.7</v>
      </c>
      <c r="K6" s="266">
        <f>VLOOKUP($A6,'Budget &amp; Revenue'!$A:$AE,21,FALSE)</f>
        <v>0.85</v>
      </c>
      <c r="L6" s="266">
        <f>VLOOKUP($A6,'Budget &amp; Revenue'!$A:$AE,23,FALSE)</f>
        <v>0.9</v>
      </c>
      <c r="M6" s="266">
        <f>VLOOKUP($A6,'Budget &amp; Revenue'!$A:$AE,25,FALSE)</f>
        <v>0.9</v>
      </c>
      <c r="N6" s="266">
        <f>VLOOKUP($A6,'Budget &amp; Revenue'!$A:$AE,27,FALSE)</f>
        <v>1</v>
      </c>
      <c r="O6" s="266">
        <f>VLOOKUP($A6,'Budget &amp; Revenue'!$A:$AE,29,FALSE)</f>
        <v>1</v>
      </c>
      <c r="P6" s="266">
        <f>VLOOKUP($A6,'Budget &amp; Revenue'!$A:$AE,31,FALSE)</f>
        <v>1</v>
      </c>
    </row>
    <row r="7" spans="1:16" x14ac:dyDescent="0.25">
      <c r="A7" s="167">
        <v>7</v>
      </c>
      <c r="B7" s="252" t="str">
        <f>VLOOKUP(A7,Estimate!A:C,3,FALSE)</f>
        <v>Quality Verification &amp; Control</v>
      </c>
      <c r="C7" s="251">
        <f>VLOOKUP(A7,Estimate!A:L,12,FALSE)</f>
        <v>0</v>
      </c>
      <c r="D7" s="255">
        <v>6</v>
      </c>
      <c r="E7" s="255">
        <v>4</v>
      </c>
      <c r="F7" s="257">
        <f>VLOOKUP(A7,Estimate!A:Q,17,FALSE)</f>
        <v>11750</v>
      </c>
      <c r="G7" s="266">
        <f>VLOOKUP($A7,'Budget &amp; Revenue'!$A:$AE,13,FALSE)</f>
        <v>0</v>
      </c>
      <c r="H7" s="266">
        <f>VLOOKUP($A7,'Budget &amp; Revenue'!$A:$AE,15,FALSE)</f>
        <v>0.6</v>
      </c>
      <c r="I7" s="266">
        <f>VLOOKUP($A7,'Budget &amp; Revenue'!$A:$AE,17,FALSE)</f>
        <v>0.7</v>
      </c>
      <c r="J7" s="266">
        <f>VLOOKUP($A7,'Budget &amp; Revenue'!$A:$AE,19,FALSE)</f>
        <v>0.7</v>
      </c>
      <c r="K7" s="266">
        <f>VLOOKUP($A7,'Budget &amp; Revenue'!$A:$AE,21,FALSE)</f>
        <v>0.85</v>
      </c>
      <c r="L7" s="266">
        <f>VLOOKUP($A7,'Budget &amp; Revenue'!$A:$AE,23,FALSE)</f>
        <v>0.9</v>
      </c>
      <c r="M7" s="266">
        <f>VLOOKUP($A7,'Budget &amp; Revenue'!$A:$AE,25,FALSE)</f>
        <v>0.9</v>
      </c>
      <c r="N7" s="266">
        <f>VLOOKUP($A7,'Budget &amp; Revenue'!$A:$AE,27,FALSE)</f>
        <v>1</v>
      </c>
      <c r="O7" s="266">
        <f>VLOOKUP($A7,'Budget &amp; Revenue'!$A:$AE,29,FALSE)</f>
        <v>1</v>
      </c>
      <c r="P7" s="266">
        <f>VLOOKUP($A7,'Budget &amp; Revenue'!$A:$AE,31,FALSE)</f>
        <v>1</v>
      </c>
    </row>
    <row r="8" spans="1:16" x14ac:dyDescent="0.25">
      <c r="A8" s="167">
        <v>8</v>
      </c>
      <c r="B8" s="252" t="str">
        <f>VLOOKUP(A8,Estimate!A:C,3,FALSE)</f>
        <v>Site Establishment &amp; Disestablishment</v>
      </c>
      <c r="C8" s="251">
        <f>VLOOKUP(A8,Estimate!A:L,12,FALSE)</f>
        <v>5</v>
      </c>
      <c r="D8" s="255">
        <v>6</v>
      </c>
      <c r="E8" s="255" t="s">
        <v>1360</v>
      </c>
      <c r="F8" s="257">
        <f>VLOOKUP(A8,Estimate!A:Q,17,FALSE)</f>
        <v>13900</v>
      </c>
      <c r="G8" s="266">
        <f>VLOOKUP($A8,'Budget &amp; Revenue'!$A:$AE,13,FALSE)</f>
        <v>0</v>
      </c>
      <c r="H8" s="266">
        <f>VLOOKUP($A8,'Budget &amp; Revenue'!$A:$AE,15,FALSE)</f>
        <v>0.8</v>
      </c>
      <c r="I8" s="266">
        <f>VLOOKUP($A8,'Budget &amp; Revenue'!$A:$AE,17,FALSE)</f>
        <v>0.8</v>
      </c>
      <c r="J8" s="266">
        <f>VLOOKUP($A8,'Budget &amp; Revenue'!$A:$AE,19,FALSE)</f>
        <v>0.8</v>
      </c>
      <c r="K8" s="266">
        <f>VLOOKUP($A8,'Budget &amp; Revenue'!$A:$AE,21,FALSE)</f>
        <v>1</v>
      </c>
      <c r="L8" s="266">
        <f>VLOOKUP($A8,'Budget &amp; Revenue'!$A:$AE,23,FALSE)</f>
        <v>1</v>
      </c>
      <c r="M8" s="266">
        <f>VLOOKUP($A8,'Budget &amp; Revenue'!$A:$AE,25,FALSE)</f>
        <v>1</v>
      </c>
      <c r="N8" s="266">
        <f>VLOOKUP($A8,'Budget &amp; Revenue'!$A:$AE,27,FALSE)</f>
        <v>1</v>
      </c>
      <c r="O8" s="266">
        <f>VLOOKUP($A8,'Budget &amp; Revenue'!$A:$AE,29,FALSE)</f>
        <v>1</v>
      </c>
      <c r="P8" s="266">
        <f>VLOOKUP($A8,'Budget &amp; Revenue'!$A:$AE,31,FALSE)</f>
        <v>1</v>
      </c>
    </row>
    <row r="9" spans="1:16" x14ac:dyDescent="0.25">
      <c r="A9" s="167">
        <v>9</v>
      </c>
      <c r="B9" s="252" t="str">
        <f>VLOOKUP(A9,Estimate!A:C,3,FALSE)</f>
        <v>Preparation of Environmrntal Management Plan</v>
      </c>
      <c r="C9" s="251">
        <f>VLOOKUP(A9,Estimate!A:L,12,FALSE)</f>
        <v>5</v>
      </c>
      <c r="D9" s="255">
        <v>3</v>
      </c>
      <c r="E9" s="255">
        <v>12</v>
      </c>
      <c r="F9" s="257">
        <f>VLOOKUP(A9,Estimate!A:Q,17,FALSE)</f>
        <v>3250</v>
      </c>
      <c r="G9" s="266">
        <f>VLOOKUP($A9,'Budget &amp; Revenue'!$A:$AE,13,FALSE)</f>
        <v>0</v>
      </c>
      <c r="H9" s="266">
        <f>VLOOKUP($A9,'Budget &amp; Revenue'!$A:$AE,15,FALSE)</f>
        <v>1</v>
      </c>
      <c r="I9" s="266">
        <f>VLOOKUP($A9,'Budget &amp; Revenue'!$A:$AE,17,FALSE)</f>
        <v>1</v>
      </c>
      <c r="J9" s="266">
        <f>VLOOKUP($A9,'Budget &amp; Revenue'!$A:$AE,19,FALSE)</f>
        <v>1</v>
      </c>
      <c r="K9" s="266">
        <f>VLOOKUP($A9,'Budget &amp; Revenue'!$A:$AE,21,FALSE)</f>
        <v>1</v>
      </c>
      <c r="L9" s="266">
        <f>VLOOKUP($A9,'Budget &amp; Revenue'!$A:$AE,23,FALSE)</f>
        <v>1</v>
      </c>
      <c r="M9" s="266">
        <f>VLOOKUP($A9,'Budget &amp; Revenue'!$A:$AE,25,FALSE)</f>
        <v>1</v>
      </c>
      <c r="N9" s="266">
        <f>VLOOKUP($A9,'Budget &amp; Revenue'!$A:$AE,27,FALSE)</f>
        <v>1</v>
      </c>
      <c r="O9" s="266">
        <f>VLOOKUP($A9,'Budget &amp; Revenue'!$A:$AE,29,FALSE)</f>
        <v>1</v>
      </c>
      <c r="P9" s="266">
        <f>VLOOKUP($A9,'Budget &amp; Revenue'!$A:$AE,31,FALSE)</f>
        <v>1</v>
      </c>
    </row>
    <row r="10" spans="1:16" x14ac:dyDescent="0.25">
      <c r="A10" s="167">
        <v>10</v>
      </c>
      <c r="B10" s="252" t="str">
        <f>VLOOKUP(A10,Estimate!A:C,3,FALSE)</f>
        <v>Control of Traffic</v>
      </c>
      <c r="C10" s="251">
        <f>VLOOKUP(A10,Estimate!A:L,12,FALSE)</f>
        <v>35</v>
      </c>
      <c r="D10" s="255">
        <v>8</v>
      </c>
      <c r="E10" s="255">
        <v>4</v>
      </c>
      <c r="F10" s="257">
        <f>VLOOKUP(A10,Estimate!A:Q,17,FALSE)</f>
        <v>15829.545454545456</v>
      </c>
      <c r="G10" s="266">
        <f>VLOOKUP($A10,'Budget &amp; Revenue'!$A:$AE,13,FALSE)</f>
        <v>0</v>
      </c>
      <c r="H10" s="266">
        <f>VLOOKUP($A10,'Budget &amp; Revenue'!$A:$AE,15,FALSE)</f>
        <v>0.6</v>
      </c>
      <c r="I10" s="266">
        <f>VLOOKUP($A10,'Budget &amp; Revenue'!$A:$AE,17,FALSE)</f>
        <v>0.7</v>
      </c>
      <c r="J10" s="266">
        <f>VLOOKUP($A10,'Budget &amp; Revenue'!$A:$AE,19,FALSE)</f>
        <v>0.7</v>
      </c>
      <c r="K10" s="266">
        <f>VLOOKUP($A10,'Budget &amp; Revenue'!$A:$AE,21,FALSE)</f>
        <v>0.85</v>
      </c>
      <c r="L10" s="266">
        <f>VLOOKUP($A10,'Budget &amp; Revenue'!$A:$AE,23,FALSE)</f>
        <v>0.9</v>
      </c>
      <c r="M10" s="266">
        <f>VLOOKUP($A10,'Budget &amp; Revenue'!$A:$AE,25,FALSE)</f>
        <v>0.95</v>
      </c>
      <c r="N10" s="266">
        <f>VLOOKUP($A10,'Budget &amp; Revenue'!$A:$AE,27,FALSE)</f>
        <v>1</v>
      </c>
      <c r="O10" s="266">
        <f>VLOOKUP($A10,'Budget &amp; Revenue'!$A:$AE,29,FALSE)</f>
        <v>1</v>
      </c>
      <c r="P10" s="266">
        <f>VLOOKUP($A10,'Budget &amp; Revenue'!$A:$AE,31,FALSE)</f>
        <v>1</v>
      </c>
    </row>
    <row r="11" spans="1:16" x14ac:dyDescent="0.25">
      <c r="A11" s="167">
        <v>11</v>
      </c>
      <c r="B11" s="252" t="str">
        <f>VLOOKUP(A11,Estimate!A:C,3,FALSE)</f>
        <v>Provision of Temporary Roadways, Sidetracks &amp; Detours</v>
      </c>
      <c r="C11" s="251">
        <f>VLOOKUP(A11,Estimate!A:L,12,FALSE)</f>
        <v>0</v>
      </c>
      <c r="D11" s="255" t="s">
        <v>1361</v>
      </c>
      <c r="E11" s="255">
        <v>4</v>
      </c>
      <c r="F11" s="257">
        <f>VLOOKUP(A11,Estimate!A:Q,17,FALSE)</f>
        <v>6600</v>
      </c>
      <c r="G11" s="266">
        <f>VLOOKUP($A11,'Budget &amp; Revenue'!$A:$AE,13,FALSE)</f>
        <v>0</v>
      </c>
      <c r="H11" s="266">
        <f>VLOOKUP($A11,'Budget &amp; Revenue'!$A:$AE,15,FALSE)</f>
        <v>0.6</v>
      </c>
      <c r="I11" s="266">
        <f>VLOOKUP($A11,'Budget &amp; Revenue'!$A:$AE,17,FALSE)</f>
        <v>0.7</v>
      </c>
      <c r="J11" s="266">
        <f>VLOOKUP($A11,'Budget &amp; Revenue'!$A:$AE,19,FALSE)</f>
        <v>0.7</v>
      </c>
      <c r="K11" s="266">
        <f>VLOOKUP($A11,'Budget &amp; Revenue'!$A:$AE,21,FALSE)</f>
        <v>0.85</v>
      </c>
      <c r="L11" s="266">
        <f>VLOOKUP($A11,'Budget &amp; Revenue'!$A:$AE,23,FALSE)</f>
        <v>0.9</v>
      </c>
      <c r="M11" s="266">
        <f>VLOOKUP($A11,'Budget &amp; Revenue'!$A:$AE,25,FALSE)</f>
        <v>1</v>
      </c>
      <c r="N11" s="266">
        <f>VLOOKUP($A11,'Budget &amp; Revenue'!$A:$AE,27,FALSE)</f>
        <v>1</v>
      </c>
      <c r="O11" s="266">
        <f>VLOOKUP($A11,'Budget &amp; Revenue'!$A:$AE,29,FALSE)</f>
        <v>1</v>
      </c>
      <c r="P11" s="266">
        <f>VLOOKUP($A11,'Budget &amp; Revenue'!$A:$AE,31,FALSE)</f>
        <v>1</v>
      </c>
    </row>
    <row r="12" spans="1:16" x14ac:dyDescent="0.25">
      <c r="A12" s="167">
        <v>12</v>
      </c>
      <c r="B12" s="252" t="str">
        <f>VLOOKUP(A12,Estimate!A:C,3,FALSE)</f>
        <v>Temporary Erosion &amp; Sedimentation Control</v>
      </c>
      <c r="C12" s="251">
        <f>VLOOKUP(A12,Estimate!A:L,12,FALSE)</f>
        <v>2</v>
      </c>
      <c r="D12" s="255" t="s">
        <v>1362</v>
      </c>
      <c r="E12" s="255">
        <v>13</v>
      </c>
      <c r="F12" s="257">
        <f>VLOOKUP(A12,Estimate!A:Q,17,FALSE)</f>
        <v>5050</v>
      </c>
      <c r="G12" s="266">
        <f>VLOOKUP($A12,'Budget &amp; Revenue'!$A:$AE,13,FALSE)</f>
        <v>0</v>
      </c>
      <c r="H12" s="266">
        <f>VLOOKUP($A12,'Budget &amp; Revenue'!$A:$AE,15,FALSE)</f>
        <v>0.6</v>
      </c>
      <c r="I12" s="266">
        <f>VLOOKUP($A12,'Budget &amp; Revenue'!$A:$AE,17,FALSE)</f>
        <v>0.7</v>
      </c>
      <c r="J12" s="266">
        <f>VLOOKUP($A12,'Budget &amp; Revenue'!$A:$AE,19,FALSE)</f>
        <v>0.7</v>
      </c>
      <c r="K12" s="266">
        <f>VLOOKUP($A12,'Budget &amp; Revenue'!$A:$AE,21,FALSE)</f>
        <v>0.85</v>
      </c>
      <c r="L12" s="266">
        <f>VLOOKUP($A12,'Budget &amp; Revenue'!$A:$AE,23,FALSE)</f>
        <v>0.9</v>
      </c>
      <c r="M12" s="266">
        <f>VLOOKUP($A12,'Budget &amp; Revenue'!$A:$AE,25,FALSE)</f>
        <v>0.9</v>
      </c>
      <c r="N12" s="266">
        <f>VLOOKUP($A12,'Budget &amp; Revenue'!$A:$AE,27,FALSE)</f>
        <v>1</v>
      </c>
      <c r="O12" s="266">
        <f>VLOOKUP($A12,'Budget &amp; Revenue'!$A:$AE,29,FALSE)</f>
        <v>1</v>
      </c>
      <c r="P12" s="266">
        <f>VLOOKUP($A12,'Budget &amp; Revenue'!$A:$AE,31,FALSE)</f>
        <v>1</v>
      </c>
    </row>
    <row r="13" spans="1:16" x14ac:dyDescent="0.25">
      <c r="A13" s="167">
        <v>13</v>
      </c>
      <c r="B13" s="252" t="str">
        <f>VLOOKUP(A13,Estimate!A:C,3,FALSE)</f>
        <v>Clearing &amp; Grubbing</v>
      </c>
      <c r="C13" s="251">
        <f>VLOOKUP(A13,Estimate!A:L,12,FALSE)</f>
        <v>2</v>
      </c>
      <c r="D13" s="255">
        <v>12</v>
      </c>
      <c r="E13" s="255">
        <v>14</v>
      </c>
      <c r="F13" s="257">
        <f>VLOOKUP(A13,Estimate!A:Q,17,FALSE)</f>
        <v>11683.333333333334</v>
      </c>
      <c r="G13" s="266">
        <f>VLOOKUP($A13,'Budget &amp; Revenue'!$A:$AE,13,FALSE)</f>
        <v>0</v>
      </c>
      <c r="H13" s="266">
        <f>VLOOKUP($A13,'Budget &amp; Revenue'!$A:$AE,15,FALSE)</f>
        <v>1</v>
      </c>
      <c r="I13" s="266">
        <f>VLOOKUP($A13,'Budget &amp; Revenue'!$A:$AE,17,FALSE)</f>
        <v>1</v>
      </c>
      <c r="J13" s="266">
        <f>VLOOKUP($A13,'Budget &amp; Revenue'!$A:$AE,19,FALSE)</f>
        <v>1</v>
      </c>
      <c r="K13" s="266">
        <f>VLOOKUP($A13,'Budget &amp; Revenue'!$A:$AE,21,FALSE)</f>
        <v>1</v>
      </c>
      <c r="L13" s="266">
        <f>VLOOKUP($A13,'Budget &amp; Revenue'!$A:$AE,23,FALSE)</f>
        <v>1</v>
      </c>
      <c r="M13" s="266">
        <f>VLOOKUP($A13,'Budget &amp; Revenue'!$A:$AE,25,FALSE)</f>
        <v>1</v>
      </c>
      <c r="N13" s="266">
        <f>VLOOKUP($A13,'Budget &amp; Revenue'!$A:$AE,27,FALSE)</f>
        <v>1</v>
      </c>
      <c r="O13" s="266">
        <f>VLOOKUP($A13,'Budget &amp; Revenue'!$A:$AE,29,FALSE)</f>
        <v>1</v>
      </c>
      <c r="P13" s="266">
        <f>VLOOKUP($A13,'Budget &amp; Revenue'!$A:$AE,31,FALSE)</f>
        <v>1</v>
      </c>
    </row>
    <row r="14" spans="1:16" x14ac:dyDescent="0.25">
      <c r="A14" s="167">
        <v>14</v>
      </c>
      <c r="B14" s="252" t="str">
        <f>VLOOKUP(A14,Estimate!A:C,3,FALSE)</f>
        <v>Removal &amp; Stockpiling of Topsoil for Re-use</v>
      </c>
      <c r="C14" s="251">
        <f>VLOOKUP(A14,Estimate!A:L,12,FALSE)</f>
        <v>1</v>
      </c>
      <c r="D14" s="255">
        <v>13</v>
      </c>
      <c r="E14" s="255" t="s">
        <v>1363</v>
      </c>
      <c r="F14" s="257">
        <f>VLOOKUP(A14,Estimate!A:Q,17,FALSE)</f>
        <v>272</v>
      </c>
      <c r="G14" s="266">
        <f>VLOOKUP($A14,'Budget &amp; Revenue'!$A:$AE,13,FALSE)</f>
        <v>0</v>
      </c>
      <c r="H14" s="266">
        <f>VLOOKUP($A14,'Budget &amp; Revenue'!$A:$AE,15,FALSE)</f>
        <v>1</v>
      </c>
      <c r="I14" s="266">
        <f>VLOOKUP($A14,'Budget &amp; Revenue'!$A:$AE,17,FALSE)</f>
        <v>1</v>
      </c>
      <c r="J14" s="266">
        <f>VLOOKUP($A14,'Budget &amp; Revenue'!$A:$AE,19,FALSE)</f>
        <v>1</v>
      </c>
      <c r="K14" s="266">
        <f>VLOOKUP($A14,'Budget &amp; Revenue'!$A:$AE,21,FALSE)</f>
        <v>1</v>
      </c>
      <c r="L14" s="266">
        <f>VLOOKUP($A14,'Budget &amp; Revenue'!$A:$AE,23,FALSE)</f>
        <v>1</v>
      </c>
      <c r="M14" s="266">
        <f>VLOOKUP($A14,'Budget &amp; Revenue'!$A:$AE,25,FALSE)</f>
        <v>1</v>
      </c>
      <c r="N14" s="266">
        <f>VLOOKUP($A14,'Budget &amp; Revenue'!$A:$AE,27,FALSE)</f>
        <v>1</v>
      </c>
      <c r="O14" s="266">
        <f>VLOOKUP($A14,'Budget &amp; Revenue'!$A:$AE,29,FALSE)</f>
        <v>1</v>
      </c>
      <c r="P14" s="266">
        <f>VLOOKUP($A14,'Budget &amp; Revenue'!$A:$AE,31,FALSE)</f>
        <v>1</v>
      </c>
    </row>
    <row r="15" spans="1:16" x14ac:dyDescent="0.25">
      <c r="A15" s="167">
        <v>15</v>
      </c>
      <c r="B15" s="252" t="str">
        <f>VLOOKUP(A15,Estimate!A:C,3,FALSE)</f>
        <v>General Earthworks (Cut)</v>
      </c>
      <c r="C15" s="251">
        <f>VLOOKUP(A15,Estimate!A:L,12,FALSE)</f>
        <v>3</v>
      </c>
      <c r="D15" s="255">
        <v>14</v>
      </c>
      <c r="E15" s="255" t="s">
        <v>1364</v>
      </c>
      <c r="F15" s="257">
        <f>VLOOKUP(A15,Estimate!A:Q,17,FALSE)</f>
        <v>14496.554892053284</v>
      </c>
      <c r="G15" s="266">
        <f>VLOOKUP($A15,'Budget &amp; Revenue'!$A:$AE,13,FALSE)</f>
        <v>0</v>
      </c>
      <c r="H15" s="266">
        <f>VLOOKUP($A15,'Budget &amp; Revenue'!$A:$AE,15,FALSE)</f>
        <v>0.40765550239234449</v>
      </c>
      <c r="I15" s="266">
        <f>VLOOKUP($A15,'Budget &amp; Revenue'!$A:$AE,17,FALSE)</f>
        <v>1</v>
      </c>
      <c r="J15" s="266">
        <f>VLOOKUP($A15,'Budget &amp; Revenue'!$A:$AE,19,FALSE)</f>
        <v>1</v>
      </c>
      <c r="K15" s="266">
        <f>VLOOKUP($A15,'Budget &amp; Revenue'!$A:$AE,21,FALSE)</f>
        <v>1</v>
      </c>
      <c r="L15" s="266">
        <f>VLOOKUP($A15,'Budget &amp; Revenue'!$A:$AE,23,FALSE)</f>
        <v>1</v>
      </c>
      <c r="M15" s="266">
        <f>VLOOKUP($A15,'Budget &amp; Revenue'!$A:$AE,25,FALSE)</f>
        <v>1</v>
      </c>
      <c r="N15" s="266">
        <f>VLOOKUP($A15,'Budget &amp; Revenue'!$A:$AE,27,FALSE)</f>
        <v>1</v>
      </c>
      <c r="O15" s="266">
        <f>VLOOKUP($A15,'Budget &amp; Revenue'!$A:$AE,29,FALSE)</f>
        <v>1</v>
      </c>
      <c r="P15" s="266">
        <f>VLOOKUP($A15,'Budget &amp; Revenue'!$A:$AE,31,FALSE)</f>
        <v>1</v>
      </c>
    </row>
    <row r="16" spans="1:16" ht="30" x14ac:dyDescent="0.25">
      <c r="A16" s="167">
        <v>16</v>
      </c>
      <c r="B16" s="252" t="str">
        <f>VLOOKUP(A16,Estimate!A:C,3,FALSE)</f>
        <v>Replace unsuitable material below subgrade with select material complete (Provisional)</v>
      </c>
      <c r="C16" s="251">
        <f>VLOOKUP(A16,Estimate!A:L,12,FALSE)</f>
        <v>1</v>
      </c>
      <c r="D16" s="255" t="s">
        <v>1365</v>
      </c>
      <c r="E16" s="255" t="s">
        <v>1392</v>
      </c>
      <c r="F16" s="257">
        <f>VLOOKUP(A16,Estimate!A:Q,17,FALSE)</f>
        <v>922.37083708370835</v>
      </c>
      <c r="G16" s="266">
        <f>VLOOKUP($A16,'Budget &amp; Revenue'!$A:$AE,13,FALSE)</f>
        <v>0</v>
      </c>
      <c r="H16" s="266">
        <f>VLOOKUP($A16,'Budget &amp; Revenue'!$A:$AE,15,FALSE)</f>
        <v>0</v>
      </c>
      <c r="I16" s="266">
        <f>VLOOKUP($A16,'Budget &amp; Revenue'!$A:$AE,17,FALSE)</f>
        <v>0</v>
      </c>
      <c r="J16" s="266">
        <f>VLOOKUP($A16,'Budget &amp; Revenue'!$A:$AE,19,FALSE)</f>
        <v>0</v>
      </c>
      <c r="K16" s="266">
        <f>VLOOKUP($A16,'Budget &amp; Revenue'!$A:$AE,21,FALSE)</f>
        <v>0</v>
      </c>
      <c r="L16" s="266">
        <f>VLOOKUP($A16,'Budget &amp; Revenue'!$A:$AE,23,FALSE)</f>
        <v>0</v>
      </c>
      <c r="M16" s="266">
        <f>VLOOKUP($A16,'Budget &amp; Revenue'!$A:$AE,25,FALSE)</f>
        <v>0</v>
      </c>
      <c r="N16" s="266">
        <f>VLOOKUP($A16,'Budget &amp; Revenue'!$A:$AE,27,FALSE)</f>
        <v>1</v>
      </c>
      <c r="O16" s="266">
        <f>VLOOKUP($A16,'Budget &amp; Revenue'!$A:$AE,29,FALSE)</f>
        <v>1</v>
      </c>
      <c r="P16" s="266">
        <f>VLOOKUP($A16,'Budget &amp; Revenue'!$A:$AE,31,FALSE)</f>
        <v>1</v>
      </c>
    </row>
    <row r="17" spans="1:16" x14ac:dyDescent="0.25">
      <c r="A17" s="167">
        <v>18</v>
      </c>
      <c r="B17" s="252" t="str">
        <f>VLOOKUP(A17,Estimate!A:C,3,FALSE)</f>
        <v>Alteration to Exisiting Stormwater Structures</v>
      </c>
      <c r="C17" s="251">
        <f>VLOOKUP(A17,Estimate!A:L,12,FALSE)</f>
        <v>1</v>
      </c>
      <c r="D17" s="256">
        <v>14112</v>
      </c>
      <c r="E17" s="255">
        <v>18</v>
      </c>
      <c r="F17" s="257">
        <f>VLOOKUP(A17,Estimate!A:Q,17,FALSE)</f>
        <v>1036</v>
      </c>
      <c r="G17" s="266">
        <f>VLOOKUP($A17,'Budget &amp; Revenue'!$A:$AE,13,FALSE)</f>
        <v>0</v>
      </c>
      <c r="H17" s="266">
        <f>VLOOKUP($A17,'Budget &amp; Revenue'!$A:$AE,15,FALSE)</f>
        <v>1</v>
      </c>
      <c r="I17" s="266">
        <f>VLOOKUP($A17,'Budget &amp; Revenue'!$A:$AE,17,FALSE)</f>
        <v>1</v>
      </c>
      <c r="J17" s="266">
        <f>VLOOKUP($A17,'Budget &amp; Revenue'!$A:$AE,19,FALSE)</f>
        <v>1</v>
      </c>
      <c r="K17" s="266">
        <f>VLOOKUP($A17,'Budget &amp; Revenue'!$A:$AE,21,FALSE)</f>
        <v>1</v>
      </c>
      <c r="L17" s="266">
        <f>VLOOKUP($A17,'Budget &amp; Revenue'!$A:$AE,23,FALSE)</f>
        <v>1</v>
      </c>
      <c r="M17" s="266">
        <f>VLOOKUP($A17,'Budget &amp; Revenue'!$A:$AE,25,FALSE)</f>
        <v>1</v>
      </c>
      <c r="N17" s="266">
        <f>VLOOKUP($A17,'Budget &amp; Revenue'!$A:$AE,27,FALSE)</f>
        <v>1</v>
      </c>
      <c r="O17" s="266">
        <f>VLOOKUP($A17,'Budget &amp; Revenue'!$A:$AE,29,FALSE)</f>
        <v>1</v>
      </c>
      <c r="P17" s="266">
        <f>VLOOKUP($A17,'Budget &amp; Revenue'!$A:$AE,31,FALSE)</f>
        <v>1</v>
      </c>
    </row>
    <row r="18" spans="1:16" x14ac:dyDescent="0.25">
      <c r="A18" s="167">
        <v>19</v>
      </c>
      <c r="B18" s="252" t="str">
        <f>VLOOKUP(A18,Estimate!A:C,3,FALSE)</f>
        <v>Concrete Barrier Kerb (B1)</v>
      </c>
      <c r="C18" s="251">
        <f>VLOOKUP(A18,Estimate!A:L,12,FALSE)</f>
        <v>2</v>
      </c>
      <c r="D18" s="255" t="s">
        <v>1366</v>
      </c>
      <c r="E18" s="255" t="s">
        <v>1367</v>
      </c>
      <c r="F18" s="257">
        <f>VLOOKUP(A18,Estimate!A:Q,17,FALSE)</f>
        <v>14424.145581395351</v>
      </c>
      <c r="G18" s="266">
        <f>VLOOKUP($A18,'Budget &amp; Revenue'!$A:$AE,13,FALSE)</f>
        <v>0</v>
      </c>
      <c r="H18" s="266">
        <f>VLOOKUP($A18,'Budget &amp; Revenue'!$A:$AE,15,FALSE)</f>
        <v>0</v>
      </c>
      <c r="I18" s="266">
        <f>VLOOKUP($A18,'Budget &amp; Revenue'!$A:$AE,17,FALSE)</f>
        <v>0</v>
      </c>
      <c r="J18" s="266">
        <f>VLOOKUP($A18,'Budget &amp; Revenue'!$A:$AE,19,FALSE)</f>
        <v>0</v>
      </c>
      <c r="K18" s="266">
        <f>VLOOKUP($A18,'Budget &amp; Revenue'!$A:$AE,21,FALSE)</f>
        <v>1</v>
      </c>
      <c r="L18" s="266">
        <f>VLOOKUP($A18,'Budget &amp; Revenue'!$A:$AE,23,FALSE)</f>
        <v>1</v>
      </c>
      <c r="M18" s="266">
        <f>VLOOKUP($A18,'Budget &amp; Revenue'!$A:$AE,25,FALSE)</f>
        <v>1</v>
      </c>
      <c r="N18" s="266">
        <f>VLOOKUP($A18,'Budget &amp; Revenue'!$A:$AE,27,FALSE)</f>
        <v>1</v>
      </c>
      <c r="O18" s="266">
        <f>VLOOKUP($A18,'Budget &amp; Revenue'!$A:$AE,29,FALSE)</f>
        <v>1</v>
      </c>
      <c r="P18" s="266">
        <f>VLOOKUP($A18,'Budget &amp; Revenue'!$A:$AE,31,FALSE)</f>
        <v>1</v>
      </c>
    </row>
    <row r="19" spans="1:16" x14ac:dyDescent="0.25">
      <c r="A19" s="167">
        <v>20</v>
      </c>
      <c r="B19" s="252" t="str">
        <f>VLOOKUP(A19,Estimate!A:C,3,FALSE)</f>
        <v>100mm slotted corrugated lastic pipe</v>
      </c>
      <c r="C19" s="251">
        <f>VLOOKUP(A19,Estimate!A:L,12,FALSE)</f>
        <v>3</v>
      </c>
      <c r="D19" s="255">
        <v>22</v>
      </c>
      <c r="E19" s="256">
        <v>18112</v>
      </c>
      <c r="F19" s="257">
        <f>VLOOKUP(A19,Estimate!A:Q,17,FALSE)</f>
        <v>10119.78224077234</v>
      </c>
      <c r="G19" s="266">
        <f>VLOOKUP($A19,'Budget &amp; Revenue'!$A:$AE,13,FALSE)</f>
        <v>0</v>
      </c>
      <c r="H19" s="266">
        <f>VLOOKUP($A19,'Budget &amp; Revenue'!$A:$AE,15,FALSE)</f>
        <v>1</v>
      </c>
      <c r="I19" s="266">
        <f>VLOOKUP($A19,'Budget &amp; Revenue'!$A:$AE,17,FALSE)</f>
        <v>1</v>
      </c>
      <c r="J19" s="266">
        <f>VLOOKUP($A19,'Budget &amp; Revenue'!$A:$AE,19,FALSE)</f>
        <v>1</v>
      </c>
      <c r="K19" s="266">
        <f>VLOOKUP($A19,'Budget &amp; Revenue'!$A:$AE,21,FALSE)</f>
        <v>1</v>
      </c>
      <c r="L19" s="266">
        <f>VLOOKUP($A19,'Budget &amp; Revenue'!$A:$AE,23,FALSE)</f>
        <v>1</v>
      </c>
      <c r="M19" s="266">
        <f>VLOOKUP($A19,'Budget &amp; Revenue'!$A:$AE,25,FALSE)</f>
        <v>1</v>
      </c>
      <c r="N19" s="266">
        <f>VLOOKUP($A19,'Budget &amp; Revenue'!$A:$AE,27,FALSE)</f>
        <v>1</v>
      </c>
      <c r="O19" s="266">
        <f>VLOOKUP($A19,'Budget &amp; Revenue'!$A:$AE,29,FALSE)</f>
        <v>1</v>
      </c>
      <c r="P19" s="266">
        <f>VLOOKUP($A19,'Budget &amp; Revenue'!$A:$AE,31,FALSE)</f>
        <v>1</v>
      </c>
    </row>
    <row r="20" spans="1:16" x14ac:dyDescent="0.25">
      <c r="A20" s="167">
        <v>21</v>
      </c>
      <c r="B20" s="252" t="str">
        <f>VLOOKUP(A20,Estimate!A:C,3,FALSE)</f>
        <v>Supply stabilising Agent</v>
      </c>
      <c r="C20" s="251">
        <f>VLOOKUP(A20,Estimate!A:L,12,FALSE)</f>
        <v>1</v>
      </c>
      <c r="D20" s="255" t="s">
        <v>1368</v>
      </c>
      <c r="E20" s="255">
        <v>21</v>
      </c>
      <c r="F20" s="257">
        <f>VLOOKUP(A20,Estimate!A:Q,17,FALSE)</f>
        <v>12138</v>
      </c>
      <c r="G20" s="266">
        <f>VLOOKUP($A20,'Budget &amp; Revenue'!$A:$AE,13,FALSE)</f>
        <v>0</v>
      </c>
      <c r="H20" s="266">
        <f>VLOOKUP($A20,'Budget &amp; Revenue'!$A:$AE,15,FALSE)</f>
        <v>0.10588235294117647</v>
      </c>
      <c r="I20" s="266">
        <f>VLOOKUP($A20,'Budget &amp; Revenue'!$A:$AE,17,FALSE)</f>
        <v>1</v>
      </c>
      <c r="J20" s="266">
        <f>VLOOKUP($A20,'Budget &amp; Revenue'!$A:$AE,19,FALSE)</f>
        <v>1</v>
      </c>
      <c r="K20" s="266">
        <f>VLOOKUP($A20,'Budget &amp; Revenue'!$A:$AE,21,FALSE)</f>
        <v>1</v>
      </c>
      <c r="L20" s="266">
        <f>VLOOKUP($A20,'Budget &amp; Revenue'!$A:$AE,23,FALSE)</f>
        <v>1</v>
      </c>
      <c r="M20" s="266">
        <f>VLOOKUP($A20,'Budget &amp; Revenue'!$A:$AE,25,FALSE)</f>
        <v>1</v>
      </c>
      <c r="N20" s="266">
        <f>VLOOKUP($A20,'Budget &amp; Revenue'!$A:$AE,27,FALSE)</f>
        <v>1</v>
      </c>
      <c r="O20" s="266">
        <f>VLOOKUP($A20,'Budget &amp; Revenue'!$A:$AE,29,FALSE)</f>
        <v>1</v>
      </c>
      <c r="P20" s="266">
        <f>VLOOKUP($A20,'Budget &amp; Revenue'!$A:$AE,31,FALSE)</f>
        <v>1</v>
      </c>
    </row>
    <row r="21" spans="1:16" x14ac:dyDescent="0.25">
      <c r="A21" s="167">
        <v>22</v>
      </c>
      <c r="B21" s="252" t="str">
        <f>VLOOKUP(A21,Estimate!A:C,3,FALSE)</f>
        <v>Mixing &amp; Spreading of stabilising agent</v>
      </c>
      <c r="C21" s="251">
        <f>VLOOKUP(A21,Estimate!A:L,12,FALSE)</f>
        <v>4</v>
      </c>
      <c r="D21" s="256">
        <v>20114</v>
      </c>
      <c r="E21" s="255">
        <v>22</v>
      </c>
      <c r="F21" s="257">
        <f>VLOOKUP(A21,Estimate!A:Q,17,FALSE)</f>
        <v>12392.662066896655</v>
      </c>
      <c r="G21" s="266">
        <f>VLOOKUP($A21,'Budget &amp; Revenue'!$A:$AE,13,FALSE)</f>
        <v>0</v>
      </c>
      <c r="H21" s="266">
        <f>VLOOKUP($A21,'Budget &amp; Revenue'!$A:$AE,15,FALSE)</f>
        <v>0.10565240359218173</v>
      </c>
      <c r="I21" s="266">
        <f>VLOOKUP($A21,'Budget &amp; Revenue'!$A:$AE,17,FALSE)</f>
        <v>1</v>
      </c>
      <c r="J21" s="266">
        <f>VLOOKUP($A21,'Budget &amp; Revenue'!$A:$AE,19,FALSE)</f>
        <v>1</v>
      </c>
      <c r="K21" s="266">
        <f>VLOOKUP($A21,'Budget &amp; Revenue'!$A:$AE,21,FALSE)</f>
        <v>1</v>
      </c>
      <c r="L21" s="266">
        <f>VLOOKUP($A21,'Budget &amp; Revenue'!$A:$AE,23,FALSE)</f>
        <v>1</v>
      </c>
      <c r="M21" s="266">
        <f>VLOOKUP($A21,'Budget &amp; Revenue'!$A:$AE,25,FALSE)</f>
        <v>1</v>
      </c>
      <c r="N21" s="266">
        <f>VLOOKUP($A21,'Budget &amp; Revenue'!$A:$AE,27,FALSE)</f>
        <v>1</v>
      </c>
      <c r="O21" s="266">
        <f>VLOOKUP($A21,'Budget &amp; Revenue'!$A:$AE,29,FALSE)</f>
        <v>1</v>
      </c>
      <c r="P21" s="266">
        <f>VLOOKUP($A21,'Budget &amp; Revenue'!$A:$AE,31,FALSE)</f>
        <v>1</v>
      </c>
    </row>
    <row r="22" spans="1:16" x14ac:dyDescent="0.25">
      <c r="A22" s="167">
        <v>23</v>
      </c>
      <c r="B22" s="252" t="str">
        <f>VLOOKUP(A22,Estimate!A:C,3,FALSE)</f>
        <v>Place only 2.3</v>
      </c>
      <c r="C22" s="251">
        <f>VLOOKUP(A22,Estimate!A:L,12,FALSE)</f>
        <v>5</v>
      </c>
      <c r="D22" s="255" t="s">
        <v>1369</v>
      </c>
      <c r="E22" s="255" t="s">
        <v>1370</v>
      </c>
      <c r="F22" s="257">
        <f>VLOOKUP(A22,Estimate!A:Q,17,FALSE)</f>
        <v>34836.615661566168</v>
      </c>
      <c r="G22" s="266">
        <f>VLOOKUP($A22,'Budget &amp; Revenue'!$A:$AE,13,FALSE)</f>
        <v>0</v>
      </c>
      <c r="H22" s="266">
        <f>VLOOKUP($A22,'Budget &amp; Revenue'!$A:$AE,15,FALSE)</f>
        <v>0.28891820580474936</v>
      </c>
      <c r="I22" s="266">
        <f>VLOOKUP($A22,'Budget &amp; Revenue'!$A:$AE,17,FALSE)</f>
        <v>0.28891820580474936</v>
      </c>
      <c r="J22" s="266">
        <f>VLOOKUP($A22,'Budget &amp; Revenue'!$A:$AE,19,FALSE)</f>
        <v>0.28891820580474936</v>
      </c>
      <c r="K22" s="266">
        <f>VLOOKUP($A22,'Budget &amp; Revenue'!$A:$AE,21,FALSE)</f>
        <v>1</v>
      </c>
      <c r="L22" s="266">
        <f>VLOOKUP($A22,'Budget &amp; Revenue'!$A:$AE,23,FALSE)</f>
        <v>1</v>
      </c>
      <c r="M22" s="266">
        <f>VLOOKUP($A22,'Budget &amp; Revenue'!$A:$AE,25,FALSE)</f>
        <v>1</v>
      </c>
      <c r="N22" s="266">
        <f>VLOOKUP($A22,'Budget &amp; Revenue'!$A:$AE,27,FALSE)</f>
        <v>1</v>
      </c>
      <c r="O22" s="266">
        <f>VLOOKUP($A22,'Budget &amp; Revenue'!$A:$AE,29,FALSE)</f>
        <v>1</v>
      </c>
      <c r="P22" s="266">
        <f>VLOOKUP($A22,'Budget &amp; Revenue'!$A:$AE,31,FALSE)</f>
        <v>1</v>
      </c>
    </row>
    <row r="23" spans="1:16" x14ac:dyDescent="0.25">
      <c r="A23" s="167">
        <v>24</v>
      </c>
      <c r="B23" s="252" t="str">
        <f>VLOOKUP(A23,Estimate!A:C,3,FALSE)</f>
        <v>Place only 2.1</v>
      </c>
      <c r="C23" s="251">
        <f>VLOOKUP(A23,Estimate!A:L,12,FALSE)</f>
        <v>3</v>
      </c>
      <c r="D23" s="256">
        <v>18118</v>
      </c>
      <c r="E23" s="255">
        <v>25</v>
      </c>
      <c r="F23" s="257">
        <f>VLOOKUP(A23,Estimate!A:Q,17,FALSE)</f>
        <v>14940.590699069908</v>
      </c>
      <c r="G23" s="266">
        <f>VLOOKUP($A23,'Budget &amp; Revenue'!$A:$AE,13,FALSE)</f>
        <v>0</v>
      </c>
      <c r="H23" s="266">
        <f>VLOOKUP($A23,'Budget &amp; Revenue'!$A:$AE,15,FALSE)</f>
        <v>0</v>
      </c>
      <c r="I23" s="266">
        <f>VLOOKUP($A23,'Budget &amp; Revenue'!$A:$AE,17,FALSE)</f>
        <v>0</v>
      </c>
      <c r="J23" s="266">
        <f>VLOOKUP($A23,'Budget &amp; Revenue'!$A:$AE,19,FALSE)</f>
        <v>0</v>
      </c>
      <c r="K23" s="266">
        <f>VLOOKUP($A23,'Budget &amp; Revenue'!$A:$AE,21,FALSE)</f>
        <v>0.33333333333333331</v>
      </c>
      <c r="L23" s="266">
        <f>VLOOKUP($A23,'Budget &amp; Revenue'!$A:$AE,23,FALSE)</f>
        <v>1</v>
      </c>
      <c r="M23" s="266">
        <f>VLOOKUP($A23,'Budget &amp; Revenue'!$A:$AE,25,FALSE)</f>
        <v>1</v>
      </c>
      <c r="N23" s="266">
        <f>VLOOKUP($A23,'Budget &amp; Revenue'!$A:$AE,27,FALSE)</f>
        <v>1</v>
      </c>
      <c r="O23" s="266">
        <f>VLOOKUP($A23,'Budget &amp; Revenue'!$A:$AE,29,FALSE)</f>
        <v>1</v>
      </c>
      <c r="P23" s="266">
        <f>VLOOKUP($A23,'Budget &amp; Revenue'!$A:$AE,31,FALSE)</f>
        <v>1</v>
      </c>
    </row>
    <row r="24" spans="1:16" ht="30" x14ac:dyDescent="0.25">
      <c r="A24" s="167">
        <v>25</v>
      </c>
      <c r="B24" s="252" t="str">
        <f>VLOOKUP(A24,Estimate!A:C,3,FALSE)</f>
        <v>Special Item - Take up existing gravel, stabilise &amp; relay as working platform</v>
      </c>
      <c r="C24" s="251">
        <f>VLOOKUP(A24,Estimate!A:L,12,FALSE)</f>
        <v>7</v>
      </c>
      <c r="D24" s="256">
        <v>16111</v>
      </c>
      <c r="E24" s="255">
        <v>22</v>
      </c>
      <c r="F24" s="257">
        <f>VLOOKUP(A24,Estimate!A:Q,17,FALSE)</f>
        <v>34310.939763093054</v>
      </c>
      <c r="G24" s="266">
        <f>VLOOKUP($A24,'Budget &amp; Revenue'!$A:$AE,13,FALSE)</f>
        <v>0</v>
      </c>
      <c r="H24" s="266">
        <f>VLOOKUP($A24,'Budget &amp; Revenue'!$A:$AE,15,FALSE)</f>
        <v>1</v>
      </c>
      <c r="I24" s="266">
        <f>VLOOKUP($A24,'Budget &amp; Revenue'!$A:$AE,17,FALSE)</f>
        <v>1</v>
      </c>
      <c r="J24" s="266">
        <f>VLOOKUP($A24,'Budget &amp; Revenue'!$A:$AE,19,FALSE)</f>
        <v>1</v>
      </c>
      <c r="K24" s="266">
        <f>VLOOKUP($A24,'Budget &amp; Revenue'!$A:$AE,21,FALSE)</f>
        <v>1</v>
      </c>
      <c r="L24" s="266">
        <f>VLOOKUP($A24,'Budget &amp; Revenue'!$A:$AE,23,FALSE)</f>
        <v>1</v>
      </c>
      <c r="M24" s="266">
        <f>VLOOKUP($A24,'Budget &amp; Revenue'!$A:$AE,25,FALSE)</f>
        <v>1</v>
      </c>
      <c r="N24" s="266">
        <f>VLOOKUP($A24,'Budget &amp; Revenue'!$A:$AE,27,FALSE)</f>
        <v>1</v>
      </c>
      <c r="O24" s="266">
        <f>VLOOKUP($A24,'Budget &amp; Revenue'!$A:$AE,29,FALSE)</f>
        <v>1</v>
      </c>
      <c r="P24" s="266">
        <f>VLOOKUP($A24,'Budget &amp; Revenue'!$A:$AE,31,FALSE)</f>
        <v>1</v>
      </c>
    </row>
    <row r="25" spans="1:16" x14ac:dyDescent="0.25">
      <c r="A25" s="167">
        <v>26</v>
      </c>
      <c r="B25" s="252" t="str">
        <f>VLOOKUP(A25,Estimate!A:C,3,FALSE)</f>
        <v>AMC5</v>
      </c>
      <c r="C25" s="251">
        <f>VLOOKUP(A25,Estimate!A:L,12,FALSE)</f>
        <v>1</v>
      </c>
      <c r="D25" s="255" t="s">
        <v>1367</v>
      </c>
      <c r="E25" s="255" t="s">
        <v>1371</v>
      </c>
      <c r="F25" s="257">
        <f>VLOOKUP(A25,Estimate!A:Q,17,FALSE)</f>
        <v>16638.237000000001</v>
      </c>
      <c r="G25" s="266">
        <f>VLOOKUP($A25,'Budget &amp; Revenue'!$A:$AE,13,FALSE)</f>
        <v>0</v>
      </c>
      <c r="H25" s="266">
        <f>VLOOKUP($A25,'Budget &amp; Revenue'!$A:$AE,15,FALSE)</f>
        <v>0</v>
      </c>
      <c r="I25" s="266">
        <f>VLOOKUP($A25,'Budget &amp; Revenue'!$A:$AE,17,FALSE)</f>
        <v>0</v>
      </c>
      <c r="J25" s="266">
        <f>VLOOKUP($A25,'Budget &amp; Revenue'!$A:$AE,19,FALSE)</f>
        <v>0</v>
      </c>
      <c r="K25" s="266">
        <f>VLOOKUP($A25,'Budget &amp; Revenue'!$A:$AE,21,FALSE)</f>
        <v>0</v>
      </c>
      <c r="L25" s="266">
        <f>VLOOKUP($A25,'Budget &amp; Revenue'!$A:$AE,23,FALSE)</f>
        <v>0</v>
      </c>
      <c r="M25" s="266">
        <f>VLOOKUP($A25,'Budget &amp; Revenue'!$A:$AE,25,FALSE)</f>
        <v>1</v>
      </c>
      <c r="N25" s="266">
        <f>VLOOKUP($A25,'Budget &amp; Revenue'!$A:$AE,27,FALSE)</f>
        <v>1</v>
      </c>
      <c r="O25" s="266">
        <f>VLOOKUP($A25,'Budget &amp; Revenue'!$A:$AE,29,FALSE)</f>
        <v>1</v>
      </c>
      <c r="P25" s="266">
        <f>VLOOKUP($A25,'Budget &amp; Revenue'!$A:$AE,31,FALSE)</f>
        <v>1</v>
      </c>
    </row>
    <row r="26" spans="1:16" x14ac:dyDescent="0.25">
      <c r="A26" s="167">
        <v>27</v>
      </c>
      <c r="B26" s="252" t="str">
        <f>VLOOKUP(A26,Estimate!A:C,3,FALSE)</f>
        <v>DG14 AC</v>
      </c>
      <c r="C26" s="251">
        <f>VLOOKUP(A26,Estimate!A:L,12,FALSE)</f>
        <v>1</v>
      </c>
      <c r="D26" s="255" t="s">
        <v>1372</v>
      </c>
      <c r="E26" s="255">
        <v>32</v>
      </c>
      <c r="F26" s="257">
        <f>VLOOKUP(A26,Estimate!A:Q,17,FALSE)</f>
        <v>58305</v>
      </c>
      <c r="G26" s="266">
        <f>VLOOKUP($A26,'Budget &amp; Revenue'!$A:$AE,13,FALSE)</f>
        <v>0</v>
      </c>
      <c r="H26" s="266">
        <f>VLOOKUP($A26,'Budget &amp; Revenue'!$A:$AE,15,FALSE)</f>
        <v>0</v>
      </c>
      <c r="I26" s="266">
        <f>VLOOKUP($A26,'Budget &amp; Revenue'!$A:$AE,17,FALSE)</f>
        <v>0</v>
      </c>
      <c r="J26" s="266">
        <f>VLOOKUP($A26,'Budget &amp; Revenue'!$A:$AE,19,FALSE)</f>
        <v>0</v>
      </c>
      <c r="K26" s="266">
        <f>VLOOKUP($A26,'Budget &amp; Revenue'!$A:$AE,21,FALSE)</f>
        <v>0</v>
      </c>
      <c r="L26" s="266">
        <f>VLOOKUP($A26,'Budget &amp; Revenue'!$A:$AE,23,FALSE)</f>
        <v>0</v>
      </c>
      <c r="M26" s="266">
        <f>VLOOKUP($A26,'Budget &amp; Revenue'!$A:$AE,25,FALSE)</f>
        <v>0</v>
      </c>
      <c r="N26" s="266">
        <f>VLOOKUP($A26,'Budget &amp; Revenue'!$A:$AE,27,FALSE)</f>
        <v>1</v>
      </c>
      <c r="O26" s="266">
        <f>VLOOKUP($A26,'Budget &amp; Revenue'!$A:$AE,29,FALSE)</f>
        <v>1</v>
      </c>
      <c r="P26" s="266">
        <f>VLOOKUP($A26,'Budget &amp; Revenue'!$A:$AE,31,FALSE)</f>
        <v>1</v>
      </c>
    </row>
    <row r="27" spans="1:16" x14ac:dyDescent="0.25">
      <c r="A27" s="167">
        <v>28</v>
      </c>
      <c r="B27" s="252" t="str">
        <f>VLOOKUP(A27,Estimate!A:C,3,FALSE)</f>
        <v>Industrial Invert Crossing</v>
      </c>
      <c r="C27" s="251">
        <f>VLOOKUP(A27,Estimate!A:L,12,FALSE)</f>
        <v>7</v>
      </c>
      <c r="D27" s="255">
        <v>18</v>
      </c>
      <c r="E27" s="255" t="s">
        <v>1393</v>
      </c>
      <c r="F27" s="257">
        <f>VLOOKUP(A27,Estimate!A:Q,17,FALSE)</f>
        <v>40993.687701250004</v>
      </c>
      <c r="G27" s="266">
        <f>VLOOKUP($A27,'Budget &amp; Revenue'!$A:$AE,13,FALSE)</f>
        <v>0</v>
      </c>
      <c r="H27" s="266">
        <f>VLOOKUP($A27,'Budget &amp; Revenue'!$A:$AE,15,FALSE)</f>
        <v>0</v>
      </c>
      <c r="I27" s="266">
        <f>VLOOKUP($A27,'Budget &amp; Revenue'!$A:$AE,17,FALSE)</f>
        <v>0.33333333333333331</v>
      </c>
      <c r="J27" s="266">
        <f>VLOOKUP($A27,'Budget &amp; Revenue'!$A:$AE,19,FALSE)</f>
        <v>0.33333333333333331</v>
      </c>
      <c r="K27" s="266">
        <f>VLOOKUP($A27,'Budget &amp; Revenue'!$A:$AE,21,FALSE)</f>
        <v>0.46666666666666667</v>
      </c>
      <c r="L27" s="266">
        <f>VLOOKUP($A27,'Budget &amp; Revenue'!$A:$AE,23,FALSE)</f>
        <v>1</v>
      </c>
      <c r="M27" s="266">
        <f>VLOOKUP($A27,'Budget &amp; Revenue'!$A:$AE,25,FALSE)</f>
        <v>1</v>
      </c>
      <c r="N27" s="266">
        <f>VLOOKUP($A27,'Budget &amp; Revenue'!$A:$AE,27,FALSE)</f>
        <v>1</v>
      </c>
      <c r="O27" s="266">
        <f>VLOOKUP($A27,'Budget &amp; Revenue'!$A:$AE,29,FALSE)</f>
        <v>1</v>
      </c>
      <c r="P27" s="266">
        <f>VLOOKUP($A27,'Budget &amp; Revenue'!$A:$AE,31,FALSE)</f>
        <v>1</v>
      </c>
    </row>
    <row r="28" spans="1:16" x14ac:dyDescent="0.25">
      <c r="A28" s="167">
        <v>29</v>
      </c>
      <c r="B28" s="252" t="str">
        <f>VLOOKUP(A28,Estimate!A:C,3,FALSE)</f>
        <v>Grass Seeding</v>
      </c>
      <c r="C28" s="251">
        <f>VLOOKUP(A28,Estimate!A:L,12,FALSE)</f>
        <v>1</v>
      </c>
      <c r="D28" s="255">
        <v>25</v>
      </c>
      <c r="E28" s="255">
        <v>4</v>
      </c>
      <c r="F28" s="257">
        <f>VLOOKUP(A28,Estimate!A:Q,17,FALSE)</f>
        <v>2695</v>
      </c>
      <c r="G28" s="266">
        <f>VLOOKUP($A28,'Budget &amp; Revenue'!$A:$AE,13,FALSE)</f>
        <v>0</v>
      </c>
      <c r="H28" s="266">
        <f>VLOOKUP($A28,'Budget &amp; Revenue'!$A:$AE,15,FALSE)</f>
        <v>0</v>
      </c>
      <c r="I28" s="266">
        <f>VLOOKUP($A28,'Budget &amp; Revenue'!$A:$AE,17,FALSE)</f>
        <v>0</v>
      </c>
      <c r="J28" s="266">
        <f>VLOOKUP($A28,'Budget &amp; Revenue'!$A:$AE,19,FALSE)</f>
        <v>0</v>
      </c>
      <c r="K28" s="266">
        <f>VLOOKUP($A28,'Budget &amp; Revenue'!$A:$AE,21,FALSE)</f>
        <v>0</v>
      </c>
      <c r="L28" s="266">
        <f>VLOOKUP($A28,'Budget &amp; Revenue'!$A:$AE,23,FALSE)</f>
        <v>0</v>
      </c>
      <c r="M28" s="266">
        <f>VLOOKUP($A28,'Budget &amp; Revenue'!$A:$AE,25,FALSE)</f>
        <v>0</v>
      </c>
      <c r="N28" s="266">
        <f>VLOOKUP($A28,'Budget &amp; Revenue'!$A:$AE,27,FALSE)</f>
        <v>1</v>
      </c>
      <c r="O28" s="266">
        <f>VLOOKUP($A28,'Budget &amp; Revenue'!$A:$AE,29,FALSE)</f>
        <v>1</v>
      </c>
      <c r="P28" s="266">
        <f>VLOOKUP($A28,'Budget &amp; Revenue'!$A:$AE,31,FALSE)</f>
        <v>1</v>
      </c>
    </row>
    <row r="29" spans="1:16" x14ac:dyDescent="0.25">
      <c r="A29" s="167">
        <v>30</v>
      </c>
      <c r="B29" s="252" t="str">
        <f>VLOOKUP(A29,Estimate!A:C,3,FALSE)</f>
        <v>Sawcut bitumous pavement</v>
      </c>
      <c r="C29" s="251">
        <f>VLOOKUP(A29,Estimate!A:L,12,FALSE)</f>
        <v>1</v>
      </c>
      <c r="D29" s="255">
        <v>25</v>
      </c>
      <c r="E29" s="255">
        <v>26</v>
      </c>
      <c r="F29" s="257">
        <f>VLOOKUP(A29,Estimate!A:Q,17,FALSE)</f>
        <v>900</v>
      </c>
      <c r="G29" s="266">
        <f>VLOOKUP($A29,'Budget &amp; Revenue'!$A:$AE,13,FALSE)</f>
        <v>0</v>
      </c>
      <c r="H29" s="266">
        <f>VLOOKUP($A29,'Budget &amp; Revenue'!$A:$AE,15,FALSE)</f>
        <v>1</v>
      </c>
      <c r="I29" s="266">
        <f>VLOOKUP($A29,'Budget &amp; Revenue'!$A:$AE,17,FALSE)</f>
        <v>1</v>
      </c>
      <c r="J29" s="266">
        <f>VLOOKUP($A29,'Budget &amp; Revenue'!$A:$AE,19,FALSE)</f>
        <v>1</v>
      </c>
      <c r="K29" s="266">
        <f>VLOOKUP($A29,'Budget &amp; Revenue'!$A:$AE,21,FALSE)</f>
        <v>1</v>
      </c>
      <c r="L29" s="266">
        <f>VLOOKUP($A29,'Budget &amp; Revenue'!$A:$AE,23,FALSE)</f>
        <v>1</v>
      </c>
      <c r="M29" s="266">
        <f>VLOOKUP($A29,'Budget &amp; Revenue'!$A:$AE,25,FALSE)</f>
        <v>1</v>
      </c>
      <c r="N29" s="266">
        <f>VLOOKUP($A29,'Budget &amp; Revenue'!$A:$AE,27,FALSE)</f>
        <v>1</v>
      </c>
      <c r="O29" s="266">
        <f>VLOOKUP($A29,'Budget &amp; Revenue'!$A:$AE,29,FALSE)</f>
        <v>1</v>
      </c>
      <c r="P29" s="266">
        <f>VLOOKUP($A29,'Budget &amp; Revenue'!$A:$AE,31,FALSE)</f>
        <v>1</v>
      </c>
    </row>
    <row r="30" spans="1:16" x14ac:dyDescent="0.25">
      <c r="A30" s="167">
        <v>31</v>
      </c>
      <c r="B30" s="252" t="str">
        <f>VLOOKUP(A30,Estimate!A:C,3,FALSE)</f>
        <v>Remove existing pavement &amp; dispose offsite</v>
      </c>
      <c r="C30" s="251">
        <f>VLOOKUP(A30,Estimate!A:L,12,FALSE)</f>
        <v>1</v>
      </c>
      <c r="D30" s="255" t="s">
        <v>1373</v>
      </c>
      <c r="E30" s="255">
        <v>16</v>
      </c>
      <c r="F30" s="257">
        <f>VLOOKUP(A30,Estimate!A:Q,17,FALSE)</f>
        <v>3708.45</v>
      </c>
      <c r="G30" s="266">
        <f>VLOOKUP($A30,'Budget &amp; Revenue'!$A:$AE,13,FALSE)</f>
        <v>0</v>
      </c>
      <c r="H30" s="266">
        <f>VLOOKUP($A30,'Budget &amp; Revenue'!$A:$AE,15,FALSE)</f>
        <v>1</v>
      </c>
      <c r="I30" s="266">
        <f>VLOOKUP($A30,'Budget &amp; Revenue'!$A:$AE,17,FALSE)</f>
        <v>1</v>
      </c>
      <c r="J30" s="266">
        <f>VLOOKUP($A30,'Budget &amp; Revenue'!$A:$AE,19,FALSE)</f>
        <v>1</v>
      </c>
      <c r="K30" s="266">
        <f>VLOOKUP($A30,'Budget &amp; Revenue'!$A:$AE,21,FALSE)</f>
        <v>1</v>
      </c>
      <c r="L30" s="266">
        <f>VLOOKUP($A30,'Budget &amp; Revenue'!$A:$AE,23,FALSE)</f>
        <v>1</v>
      </c>
      <c r="M30" s="266">
        <f>VLOOKUP($A30,'Budget &amp; Revenue'!$A:$AE,25,FALSE)</f>
        <v>1</v>
      </c>
      <c r="N30" s="266">
        <f>VLOOKUP($A30,'Budget &amp; Revenue'!$A:$AE,27,FALSE)</f>
        <v>1</v>
      </c>
      <c r="O30" s="266">
        <f>VLOOKUP($A30,'Budget &amp; Revenue'!$A:$AE,29,FALSE)</f>
        <v>1</v>
      </c>
      <c r="P30" s="266">
        <f>VLOOKUP($A30,'Budget &amp; Revenue'!$A:$AE,31,FALSE)</f>
        <v>1</v>
      </c>
    </row>
    <row r="31" spans="1:16" x14ac:dyDescent="0.25">
      <c r="A31" s="167">
        <v>32</v>
      </c>
      <c r="B31" s="252" t="str">
        <f>VLOOKUP(A31,Estimate!A:C,3,FALSE)</f>
        <v>Locate &amp; Protect services</v>
      </c>
      <c r="C31" s="251">
        <f>VLOOKUP(A31,Estimate!A:L,12,FALSE)</f>
        <v>2</v>
      </c>
      <c r="D31" s="255">
        <v>8</v>
      </c>
      <c r="E31" s="255">
        <v>11</v>
      </c>
      <c r="F31" s="257">
        <f>VLOOKUP(A31,Estimate!A:Q,17,FALSE)</f>
        <v>2025</v>
      </c>
      <c r="G31" s="266">
        <f>VLOOKUP($A31,'Budget &amp; Revenue'!$A:$AE,13,FALSE)</f>
        <v>0</v>
      </c>
      <c r="H31" s="266">
        <f>VLOOKUP($A31,'Budget &amp; Revenue'!$A:$AE,15,FALSE)</f>
        <v>1</v>
      </c>
      <c r="I31" s="266">
        <f>VLOOKUP($A31,'Budget &amp; Revenue'!$A:$AE,17,FALSE)</f>
        <v>1</v>
      </c>
      <c r="J31" s="266">
        <f>VLOOKUP($A31,'Budget &amp; Revenue'!$A:$AE,19,FALSE)</f>
        <v>1</v>
      </c>
      <c r="K31" s="266">
        <f>VLOOKUP($A31,'Budget &amp; Revenue'!$A:$AE,21,FALSE)</f>
        <v>1</v>
      </c>
      <c r="L31" s="266">
        <f>VLOOKUP($A31,'Budget &amp; Revenue'!$A:$AE,23,FALSE)</f>
        <v>1</v>
      </c>
      <c r="M31" s="266">
        <f>VLOOKUP($A31,'Budget &amp; Revenue'!$A:$AE,25,FALSE)</f>
        <v>1</v>
      </c>
      <c r="N31" s="266">
        <f>VLOOKUP($A31,'Budget &amp; Revenue'!$A:$AE,27,FALSE)</f>
        <v>1</v>
      </c>
      <c r="O31" s="266">
        <f>VLOOKUP($A31,'Budget &amp; Revenue'!$A:$AE,29,FALSE)</f>
        <v>1</v>
      </c>
      <c r="P31" s="266">
        <f>VLOOKUP($A31,'Budget &amp; Revenue'!$A:$AE,31,FALSE)</f>
        <v>1</v>
      </c>
    </row>
    <row r="32" spans="1:16" x14ac:dyDescent="0.25">
      <c r="A32" s="167">
        <v>33</v>
      </c>
      <c r="B32" s="252" t="str">
        <f>VLOOKUP(A32,Estimate!A:C,3,FALSE)</f>
        <v>As Constructed Plans</v>
      </c>
      <c r="C32" s="251">
        <f>VLOOKUP(A32,Estimate!A:L,12,FALSE)</f>
        <v>3</v>
      </c>
      <c r="D32" s="255">
        <v>26</v>
      </c>
      <c r="E32" s="255">
        <v>4</v>
      </c>
      <c r="F32" s="257">
        <f>VLOOKUP(A32,Estimate!A:Q,17,FALSE)</f>
        <v>4995</v>
      </c>
      <c r="G32" s="266">
        <f>VLOOKUP($A32,'Budget &amp; Revenue'!$A:$AE,13,FALSE)</f>
        <v>0</v>
      </c>
      <c r="H32" s="266">
        <f>VLOOKUP($A32,'Budget &amp; Revenue'!$A:$AE,15,FALSE)</f>
        <v>0</v>
      </c>
      <c r="I32" s="266">
        <f>VLOOKUP($A32,'Budget &amp; Revenue'!$A:$AE,17,FALSE)</f>
        <v>0</v>
      </c>
      <c r="J32" s="266">
        <f>VLOOKUP($A32,'Budget &amp; Revenue'!$A:$AE,19,FALSE)</f>
        <v>0</v>
      </c>
      <c r="K32" s="266">
        <f>VLOOKUP($A32,'Budget &amp; Revenue'!$A:$AE,21,FALSE)</f>
        <v>0</v>
      </c>
      <c r="L32" s="266">
        <f>VLOOKUP($A32,'Budget &amp; Revenue'!$A:$AE,23,FALSE)</f>
        <v>0</v>
      </c>
      <c r="M32" s="266">
        <f>VLOOKUP($A32,'Budget &amp; Revenue'!$A:$AE,25,FALSE)</f>
        <v>0</v>
      </c>
      <c r="N32" s="266">
        <f>VLOOKUP($A32,'Budget &amp; Revenue'!$A:$AE,27,FALSE)</f>
        <v>1</v>
      </c>
      <c r="O32" s="266">
        <f>VLOOKUP($A32,'Budget &amp; Revenue'!$A:$AE,29,FALSE)</f>
        <v>1</v>
      </c>
      <c r="P32" s="266">
        <f>VLOOKUP($A32,'Budget &amp; Revenue'!$A:$AE,31,FALSE)</f>
        <v>1</v>
      </c>
    </row>
    <row r="33" spans="1:16" x14ac:dyDescent="0.25">
      <c r="A33" s="167">
        <v>34</v>
      </c>
      <c r="B33" s="33" t="str">
        <f>VLOOKUP(A33,Estimate!A:C,3,FALSE)</f>
        <v>WRIGHTS ROAD (STRATHDICKIE)</v>
      </c>
      <c r="C33" s="251">
        <f>VLOOKUP(A33,Estimate!A:L,12,FALSE)</f>
        <v>0</v>
      </c>
      <c r="D33" s="255">
        <v>3</v>
      </c>
      <c r="E33" s="254"/>
      <c r="F33" s="257"/>
      <c r="G33" s="266" t="str">
        <f>VLOOKUP($A33,'Budget &amp; Revenue'!$A:$AE,13,FALSE)</f>
        <v xml:space="preserve"> </v>
      </c>
      <c r="H33" s="266" t="str">
        <f>VLOOKUP($A33,'Budget &amp; Revenue'!$A:$AE,15,FALSE)</f>
        <v xml:space="preserve"> </v>
      </c>
      <c r="I33" s="266" t="str">
        <f>VLOOKUP($A33,'Budget &amp; Revenue'!$A:$AE,17,FALSE)</f>
        <v xml:space="preserve"> </v>
      </c>
      <c r="J33" s="266" t="str">
        <f>VLOOKUP($A33,'Budget &amp; Revenue'!$A:$AE,19,FALSE)</f>
        <v xml:space="preserve"> </v>
      </c>
      <c r="K33" s="266" t="str">
        <f>VLOOKUP($A33,'Budget &amp; Revenue'!$A:$AE,21,FALSE)</f>
        <v xml:space="preserve"> </v>
      </c>
      <c r="L33" s="266" t="str">
        <f>VLOOKUP($A33,'Budget &amp; Revenue'!$A:$AE,23,FALSE)</f>
        <v xml:space="preserve"> </v>
      </c>
      <c r="M33" s="266" t="str">
        <f>VLOOKUP($A33,'Budget &amp; Revenue'!$A:$AE,25,FALSE)</f>
        <v xml:space="preserve"> </v>
      </c>
      <c r="N33" s="266" t="str">
        <f>VLOOKUP($A33,'Budget &amp; Revenue'!$A:$AE,27,FALSE)</f>
        <v xml:space="preserve"> </v>
      </c>
      <c r="O33" s="266" t="str">
        <f>VLOOKUP($A33,'Budget &amp; Revenue'!$A:$AE,29,FALSE)</f>
        <v xml:space="preserve"> </v>
      </c>
      <c r="P33" s="266" t="str">
        <f>VLOOKUP($A33,'Budget &amp; Revenue'!$A:$AE,31,FALSE)</f>
        <v xml:space="preserve"> </v>
      </c>
    </row>
    <row r="34" spans="1:16" x14ac:dyDescent="0.25">
      <c r="A34" s="167">
        <v>35</v>
      </c>
      <c r="B34" s="252" t="str">
        <f>VLOOKUP(A34,Estimate!A:C,3,FALSE)</f>
        <v>Quality System Documents &amp; Records</v>
      </c>
      <c r="C34" s="251">
        <f>VLOOKUP(A34,Estimate!A:L,12,FALSE)</f>
        <v>5</v>
      </c>
      <c r="D34" s="255">
        <v>3</v>
      </c>
      <c r="E34" s="255" t="s">
        <v>1394</v>
      </c>
      <c r="F34" s="257">
        <f>VLOOKUP(A34,Estimate!A:Q,17,FALSE)</f>
        <v>6500</v>
      </c>
      <c r="G34" s="266">
        <f>VLOOKUP($A34,'Budget &amp; Revenue'!$A:$AE,13,FALSE)</f>
        <v>1</v>
      </c>
      <c r="H34" s="266">
        <f>VLOOKUP($A34,'Budget &amp; Revenue'!$A:$AE,15,FALSE)</f>
        <v>1</v>
      </c>
      <c r="I34" s="266">
        <f>VLOOKUP($A34,'Budget &amp; Revenue'!$A:$AE,17,FALSE)</f>
        <v>1</v>
      </c>
      <c r="J34" s="266">
        <f>VLOOKUP($A34,'Budget &amp; Revenue'!$A:$AE,19,FALSE)</f>
        <v>1</v>
      </c>
      <c r="K34" s="266">
        <f>VLOOKUP($A34,'Budget &amp; Revenue'!$A:$AE,21,FALSE)</f>
        <v>1</v>
      </c>
      <c r="L34" s="266">
        <f>VLOOKUP($A34,'Budget &amp; Revenue'!$A:$AE,23,FALSE)</f>
        <v>1</v>
      </c>
      <c r="M34" s="266">
        <f>VLOOKUP($A34,'Budget &amp; Revenue'!$A:$AE,25,FALSE)</f>
        <v>1</v>
      </c>
      <c r="N34" s="266">
        <f>VLOOKUP($A34,'Budget &amp; Revenue'!$A:$AE,27,FALSE)</f>
        <v>1</v>
      </c>
      <c r="O34" s="266">
        <f>VLOOKUP($A34,'Budget &amp; Revenue'!$A:$AE,29,FALSE)</f>
        <v>1</v>
      </c>
      <c r="P34" s="266">
        <f>VLOOKUP($A34,'Budget &amp; Revenue'!$A:$AE,31,FALSE)</f>
        <v>1</v>
      </c>
    </row>
    <row r="35" spans="1:16" x14ac:dyDescent="0.25">
      <c r="A35" s="167">
        <v>36</v>
      </c>
      <c r="B35" s="252" t="str">
        <f>VLOOKUP(A35,Estimate!A:C,3,FALSE)</f>
        <v>Quality Verification &amp; Control</v>
      </c>
      <c r="C35" s="251">
        <f>VLOOKUP(A35,Estimate!A:L,12,FALSE)</f>
        <v>0</v>
      </c>
      <c r="D35" s="255">
        <v>34</v>
      </c>
      <c r="E35" s="255">
        <v>4</v>
      </c>
      <c r="F35" s="257">
        <f>VLOOKUP(A35,Estimate!A:Q,17,FALSE)</f>
        <v>15080</v>
      </c>
      <c r="G35" s="266">
        <f>VLOOKUP($A35,'Budget &amp; Revenue'!$A:$AE,13,FALSE)</f>
        <v>0.5</v>
      </c>
      <c r="H35" s="266">
        <f>VLOOKUP($A35,'Budget &amp; Revenue'!$A:$AE,15,FALSE)</f>
        <v>1</v>
      </c>
      <c r="I35" s="266">
        <f>VLOOKUP($A35,'Budget &amp; Revenue'!$A:$AE,17,FALSE)</f>
        <v>1</v>
      </c>
      <c r="J35" s="266">
        <f>VLOOKUP($A35,'Budget &amp; Revenue'!$A:$AE,19,FALSE)</f>
        <v>1</v>
      </c>
      <c r="K35" s="266">
        <f>VLOOKUP($A35,'Budget &amp; Revenue'!$A:$AE,21,FALSE)</f>
        <v>1</v>
      </c>
      <c r="L35" s="266">
        <f>VLOOKUP($A35,'Budget &amp; Revenue'!$A:$AE,23,FALSE)</f>
        <v>1</v>
      </c>
      <c r="M35" s="266">
        <f>VLOOKUP($A35,'Budget &amp; Revenue'!$A:$AE,25,FALSE)</f>
        <v>1</v>
      </c>
      <c r="N35" s="266">
        <f>VLOOKUP($A35,'Budget &amp; Revenue'!$A:$AE,27,FALSE)</f>
        <v>1</v>
      </c>
      <c r="O35" s="266">
        <f>VLOOKUP($A35,'Budget &amp; Revenue'!$A:$AE,29,FALSE)</f>
        <v>1</v>
      </c>
      <c r="P35" s="266">
        <f>VLOOKUP($A35,'Budget &amp; Revenue'!$A:$AE,31,FALSE)</f>
        <v>1</v>
      </c>
    </row>
    <row r="36" spans="1:16" x14ac:dyDescent="0.25">
      <c r="A36" s="167">
        <v>37</v>
      </c>
      <c r="B36" s="252" t="str">
        <f>VLOOKUP(A36,Estimate!A:C,3,FALSE)</f>
        <v>Site Establishment &amp; Disestablishment</v>
      </c>
      <c r="C36" s="251">
        <f>VLOOKUP(A36,Estimate!A:L,12,FALSE)</f>
        <v>5</v>
      </c>
      <c r="D36" s="255" t="s">
        <v>1395</v>
      </c>
      <c r="E36" s="256">
        <v>40105</v>
      </c>
      <c r="F36" s="257">
        <f>VLOOKUP(A36,Estimate!A:Q,17,FALSE)</f>
        <v>13100</v>
      </c>
      <c r="G36" s="266">
        <f>VLOOKUP($A36,'Budget &amp; Revenue'!$A:$AE,13,FALSE)</f>
        <v>0.8</v>
      </c>
      <c r="H36" s="266">
        <f>VLOOKUP($A36,'Budget &amp; Revenue'!$A:$AE,15,FALSE)</f>
        <v>0.8</v>
      </c>
      <c r="I36" s="266">
        <f>VLOOKUP($A36,'Budget &amp; Revenue'!$A:$AE,17,FALSE)</f>
        <v>0.9</v>
      </c>
      <c r="J36" s="266">
        <f>VLOOKUP($A36,'Budget &amp; Revenue'!$A:$AE,19,FALSE)</f>
        <v>0.9</v>
      </c>
      <c r="K36" s="266">
        <f>VLOOKUP($A36,'Budget &amp; Revenue'!$A:$AE,21,FALSE)</f>
        <v>0.9</v>
      </c>
      <c r="L36" s="266">
        <f>VLOOKUP($A36,'Budget &amp; Revenue'!$A:$AE,23,FALSE)</f>
        <v>1</v>
      </c>
      <c r="M36" s="266">
        <f>VLOOKUP($A36,'Budget &amp; Revenue'!$A:$AE,25,FALSE)</f>
        <v>1</v>
      </c>
      <c r="N36" s="266">
        <f>VLOOKUP($A36,'Budget &amp; Revenue'!$A:$AE,27,FALSE)</f>
        <v>1</v>
      </c>
      <c r="O36" s="266">
        <f>VLOOKUP($A36,'Budget &amp; Revenue'!$A:$AE,29,FALSE)</f>
        <v>1</v>
      </c>
      <c r="P36" s="266">
        <f>VLOOKUP($A36,'Budget &amp; Revenue'!$A:$AE,31,FALSE)</f>
        <v>1</v>
      </c>
    </row>
    <row r="37" spans="1:16" x14ac:dyDescent="0.25">
      <c r="A37" s="167">
        <v>38</v>
      </c>
      <c r="B37" s="252" t="str">
        <f>VLOOKUP(A37,Estimate!A:C,3,FALSE)</f>
        <v>Preparation of Environmrntal Management Plan</v>
      </c>
      <c r="C37" s="251">
        <f>VLOOKUP(A37,Estimate!A:L,12,FALSE)</f>
        <v>5</v>
      </c>
      <c r="D37" s="255">
        <v>3</v>
      </c>
      <c r="E37" s="255">
        <v>36</v>
      </c>
      <c r="F37" s="257">
        <f>VLOOKUP(A37,Estimate!A:Q,17,FALSE)</f>
        <v>3250</v>
      </c>
      <c r="G37" s="266">
        <f>VLOOKUP($A37,'Budget &amp; Revenue'!$A:$AE,13,FALSE)</f>
        <v>1</v>
      </c>
      <c r="H37" s="266">
        <f>VLOOKUP($A37,'Budget &amp; Revenue'!$A:$AE,15,FALSE)</f>
        <v>1</v>
      </c>
      <c r="I37" s="266">
        <f>VLOOKUP($A37,'Budget &amp; Revenue'!$A:$AE,17,FALSE)</f>
        <v>1</v>
      </c>
      <c r="J37" s="266">
        <f>VLOOKUP($A37,'Budget &amp; Revenue'!$A:$AE,19,FALSE)</f>
        <v>1</v>
      </c>
      <c r="K37" s="266">
        <f>VLOOKUP($A37,'Budget &amp; Revenue'!$A:$AE,21,FALSE)</f>
        <v>1</v>
      </c>
      <c r="L37" s="266">
        <f>VLOOKUP($A37,'Budget &amp; Revenue'!$A:$AE,23,FALSE)</f>
        <v>1</v>
      </c>
      <c r="M37" s="266">
        <f>VLOOKUP($A37,'Budget &amp; Revenue'!$A:$AE,25,FALSE)</f>
        <v>1</v>
      </c>
      <c r="N37" s="266">
        <f>VLOOKUP($A37,'Budget &amp; Revenue'!$A:$AE,27,FALSE)</f>
        <v>1</v>
      </c>
      <c r="O37" s="266">
        <f>VLOOKUP($A37,'Budget &amp; Revenue'!$A:$AE,29,FALSE)</f>
        <v>1</v>
      </c>
      <c r="P37" s="266">
        <f>VLOOKUP($A37,'Budget &amp; Revenue'!$A:$AE,31,FALSE)</f>
        <v>1</v>
      </c>
    </row>
    <row r="38" spans="1:16" x14ac:dyDescent="0.25">
      <c r="A38" s="167">
        <v>39</v>
      </c>
      <c r="B38" s="252" t="str">
        <f>VLOOKUP(A38,Estimate!A:C,3,FALSE)</f>
        <v>Control of Traffic</v>
      </c>
      <c r="C38" s="251">
        <f>VLOOKUP(A38,Estimate!A:L,12,FALSE)</f>
        <v>28</v>
      </c>
      <c r="D38" s="255">
        <v>40</v>
      </c>
      <c r="E38" s="255">
        <v>4</v>
      </c>
      <c r="F38" s="257">
        <f>VLOOKUP(A38,Estimate!A:Q,17,FALSE)</f>
        <v>10024</v>
      </c>
      <c r="G38" s="266">
        <f>VLOOKUP($A38,'Budget &amp; Revenue'!$A:$AE,13,FALSE)</f>
        <v>0.5</v>
      </c>
      <c r="H38" s="266">
        <f>VLOOKUP($A38,'Budget &amp; Revenue'!$A:$AE,15,FALSE)</f>
        <v>1</v>
      </c>
      <c r="I38" s="266">
        <f>VLOOKUP($A38,'Budget &amp; Revenue'!$A:$AE,17,FALSE)</f>
        <v>1</v>
      </c>
      <c r="J38" s="266">
        <f>VLOOKUP($A38,'Budget &amp; Revenue'!$A:$AE,19,FALSE)</f>
        <v>1</v>
      </c>
      <c r="K38" s="266">
        <f>VLOOKUP($A38,'Budget &amp; Revenue'!$A:$AE,21,FALSE)</f>
        <v>1</v>
      </c>
      <c r="L38" s="266">
        <f>VLOOKUP($A38,'Budget &amp; Revenue'!$A:$AE,23,FALSE)</f>
        <v>1</v>
      </c>
      <c r="M38" s="266">
        <f>VLOOKUP($A38,'Budget &amp; Revenue'!$A:$AE,25,FALSE)</f>
        <v>1</v>
      </c>
      <c r="N38" s="266">
        <f>VLOOKUP($A38,'Budget &amp; Revenue'!$A:$AE,27,FALSE)</f>
        <v>1</v>
      </c>
      <c r="O38" s="266">
        <f>VLOOKUP($A38,'Budget &amp; Revenue'!$A:$AE,29,FALSE)</f>
        <v>1</v>
      </c>
      <c r="P38" s="266">
        <f>VLOOKUP($A38,'Budget &amp; Revenue'!$A:$AE,31,FALSE)</f>
        <v>1</v>
      </c>
    </row>
    <row r="39" spans="1:16" x14ac:dyDescent="0.25">
      <c r="A39" s="167">
        <v>40</v>
      </c>
      <c r="B39" s="252" t="str">
        <f>VLOOKUP(A39,Estimate!A:C,3,FALSE)</f>
        <v>Provision of Temporary Roadways, Sidetracks &amp; Detours</v>
      </c>
      <c r="C39" s="251">
        <f>VLOOKUP(A39,Estimate!A:L,12,FALSE)</f>
        <v>0</v>
      </c>
      <c r="D39" s="255">
        <v>40</v>
      </c>
      <c r="E39" s="255">
        <v>4</v>
      </c>
      <c r="F39" s="257">
        <f>VLOOKUP(A39,Estimate!A:Q,17,FALSE)</f>
        <v>2100</v>
      </c>
      <c r="G39" s="266">
        <f>VLOOKUP($A39,'Budget &amp; Revenue'!$A:$AE,13,FALSE)</f>
        <v>0.5</v>
      </c>
      <c r="H39" s="266">
        <f>VLOOKUP($A39,'Budget &amp; Revenue'!$A:$AE,15,FALSE)</f>
        <v>1</v>
      </c>
      <c r="I39" s="266">
        <f>VLOOKUP($A39,'Budget &amp; Revenue'!$A:$AE,17,FALSE)</f>
        <v>1</v>
      </c>
      <c r="J39" s="266">
        <f>VLOOKUP($A39,'Budget &amp; Revenue'!$A:$AE,19,FALSE)</f>
        <v>1</v>
      </c>
      <c r="K39" s="266">
        <f>VLOOKUP($A39,'Budget &amp; Revenue'!$A:$AE,21,FALSE)</f>
        <v>1</v>
      </c>
      <c r="L39" s="266">
        <f>VLOOKUP($A39,'Budget &amp; Revenue'!$A:$AE,23,FALSE)</f>
        <v>1</v>
      </c>
      <c r="M39" s="266">
        <f>VLOOKUP($A39,'Budget &amp; Revenue'!$A:$AE,25,FALSE)</f>
        <v>1</v>
      </c>
      <c r="N39" s="266">
        <f>VLOOKUP($A39,'Budget &amp; Revenue'!$A:$AE,27,FALSE)</f>
        <v>1</v>
      </c>
      <c r="O39" s="266">
        <f>VLOOKUP($A39,'Budget &amp; Revenue'!$A:$AE,29,FALSE)</f>
        <v>1</v>
      </c>
      <c r="P39" s="266">
        <f>VLOOKUP($A39,'Budget &amp; Revenue'!$A:$AE,31,FALSE)</f>
        <v>1</v>
      </c>
    </row>
    <row r="40" spans="1:16" x14ac:dyDescent="0.25">
      <c r="A40" s="167">
        <v>41</v>
      </c>
      <c r="B40" s="252" t="str">
        <f>VLOOKUP(A40,Estimate!A:C,3,FALSE)</f>
        <v>Temporary Erosion &amp; Sedimentation Control</v>
      </c>
      <c r="C40" s="251">
        <f>VLOOKUP(A40,Estimate!A:L,12,FALSE)</f>
        <v>6</v>
      </c>
      <c r="D40" s="255">
        <v>36</v>
      </c>
      <c r="E40" s="255" t="s">
        <v>1374</v>
      </c>
      <c r="F40" s="257">
        <f>VLOOKUP(A40,Estimate!A:Q,17,FALSE)</f>
        <v>10950</v>
      </c>
      <c r="G40" s="266">
        <f>VLOOKUP($A40,'Budget &amp; Revenue'!$A:$AE,13,FALSE)</f>
        <v>0.7</v>
      </c>
      <c r="H40" s="266">
        <f>VLOOKUP($A40,'Budget &amp; Revenue'!$A:$AE,15,FALSE)</f>
        <v>1</v>
      </c>
      <c r="I40" s="266">
        <f>VLOOKUP($A40,'Budget &amp; Revenue'!$A:$AE,17,FALSE)</f>
        <v>1</v>
      </c>
      <c r="J40" s="266">
        <f>VLOOKUP($A40,'Budget &amp; Revenue'!$A:$AE,19,FALSE)</f>
        <v>1</v>
      </c>
      <c r="K40" s="266">
        <f>VLOOKUP($A40,'Budget &amp; Revenue'!$A:$AE,21,FALSE)</f>
        <v>1</v>
      </c>
      <c r="L40" s="266">
        <f>VLOOKUP($A40,'Budget &amp; Revenue'!$A:$AE,23,FALSE)</f>
        <v>1</v>
      </c>
      <c r="M40" s="266">
        <f>VLOOKUP($A40,'Budget &amp; Revenue'!$A:$AE,25,FALSE)</f>
        <v>1</v>
      </c>
      <c r="N40" s="266">
        <f>VLOOKUP($A40,'Budget &amp; Revenue'!$A:$AE,27,FALSE)</f>
        <v>1</v>
      </c>
      <c r="O40" s="266">
        <f>VLOOKUP($A40,'Budget &amp; Revenue'!$A:$AE,29,FALSE)</f>
        <v>1</v>
      </c>
      <c r="P40" s="266">
        <f>VLOOKUP($A40,'Budget &amp; Revenue'!$A:$AE,31,FALSE)</f>
        <v>1</v>
      </c>
    </row>
    <row r="41" spans="1:16" x14ac:dyDescent="0.25">
      <c r="A41" s="167">
        <v>42</v>
      </c>
      <c r="B41" s="252" t="str">
        <f>VLOOKUP(A41,Estimate!A:C,3,FALSE)</f>
        <v>Clearing &amp; Grubbing</v>
      </c>
      <c r="C41" s="251">
        <f>VLOOKUP(A41,Estimate!A:L,12,FALSE)</f>
        <v>2</v>
      </c>
      <c r="D41" s="256">
        <v>40105</v>
      </c>
      <c r="E41" s="255">
        <v>42</v>
      </c>
      <c r="F41" s="257">
        <f>VLOOKUP(A41,Estimate!A:Q,17,FALSE)</f>
        <v>9066.6666666666679</v>
      </c>
      <c r="G41" s="266">
        <f>VLOOKUP($A41,'Budget &amp; Revenue'!$A:$AE,13,FALSE)</f>
        <v>1</v>
      </c>
      <c r="H41" s="266">
        <f>VLOOKUP($A41,'Budget &amp; Revenue'!$A:$AE,15,FALSE)</f>
        <v>1</v>
      </c>
      <c r="I41" s="266">
        <f>VLOOKUP($A41,'Budget &amp; Revenue'!$A:$AE,17,FALSE)</f>
        <v>1</v>
      </c>
      <c r="J41" s="266">
        <f>VLOOKUP($A41,'Budget &amp; Revenue'!$A:$AE,19,FALSE)</f>
        <v>1</v>
      </c>
      <c r="K41" s="266">
        <f>VLOOKUP($A41,'Budget &amp; Revenue'!$A:$AE,21,FALSE)</f>
        <v>1</v>
      </c>
      <c r="L41" s="266">
        <f>VLOOKUP($A41,'Budget &amp; Revenue'!$A:$AE,23,FALSE)</f>
        <v>1</v>
      </c>
      <c r="M41" s="266">
        <f>VLOOKUP($A41,'Budget &amp; Revenue'!$A:$AE,25,FALSE)</f>
        <v>1</v>
      </c>
      <c r="N41" s="266">
        <f>VLOOKUP($A41,'Budget &amp; Revenue'!$A:$AE,27,FALSE)</f>
        <v>1</v>
      </c>
      <c r="O41" s="266">
        <f>VLOOKUP($A41,'Budget &amp; Revenue'!$A:$AE,29,FALSE)</f>
        <v>1</v>
      </c>
      <c r="P41" s="266">
        <f>VLOOKUP($A41,'Budget &amp; Revenue'!$A:$AE,31,FALSE)</f>
        <v>1</v>
      </c>
    </row>
    <row r="42" spans="1:16" x14ac:dyDescent="0.25">
      <c r="A42" s="167">
        <v>43</v>
      </c>
      <c r="B42" s="252" t="str">
        <f>VLOOKUP(A42,Estimate!A:C,3,FALSE)</f>
        <v>Special Item - Demolition of structures(concrete slabs, culverts pipes)</v>
      </c>
      <c r="C42" s="251">
        <f>VLOOKUP(A42,Estimate!A:L,12,FALSE)</f>
        <v>4</v>
      </c>
      <c r="D42" s="255">
        <v>41</v>
      </c>
      <c r="E42" s="255">
        <v>43</v>
      </c>
      <c r="F42" s="257">
        <f>VLOOKUP(A42,Estimate!A:Q,17,FALSE)</f>
        <v>13800</v>
      </c>
      <c r="G42" s="266">
        <f>VLOOKUP($A42,'Budget &amp; Revenue'!$A:$AE,13,FALSE)</f>
        <v>1</v>
      </c>
      <c r="H42" s="266">
        <f>VLOOKUP($A42,'Budget &amp; Revenue'!$A:$AE,15,FALSE)</f>
        <v>1</v>
      </c>
      <c r="I42" s="266">
        <f>VLOOKUP($A42,'Budget &amp; Revenue'!$A:$AE,17,FALSE)</f>
        <v>1</v>
      </c>
      <c r="J42" s="266">
        <f>VLOOKUP($A42,'Budget &amp; Revenue'!$A:$AE,19,FALSE)</f>
        <v>1</v>
      </c>
      <c r="K42" s="266">
        <f>VLOOKUP($A42,'Budget &amp; Revenue'!$A:$AE,21,FALSE)</f>
        <v>1</v>
      </c>
      <c r="L42" s="266">
        <f>VLOOKUP($A42,'Budget &amp; Revenue'!$A:$AE,23,FALSE)</f>
        <v>1</v>
      </c>
      <c r="M42" s="266">
        <f>VLOOKUP($A42,'Budget &amp; Revenue'!$A:$AE,25,FALSE)</f>
        <v>1</v>
      </c>
      <c r="N42" s="266">
        <f>VLOOKUP($A42,'Budget &amp; Revenue'!$A:$AE,27,FALSE)</f>
        <v>1</v>
      </c>
      <c r="O42" s="266">
        <f>VLOOKUP($A42,'Budget &amp; Revenue'!$A:$AE,29,FALSE)</f>
        <v>1</v>
      </c>
      <c r="P42" s="266">
        <f>VLOOKUP($A42,'Budget &amp; Revenue'!$A:$AE,31,FALSE)</f>
        <v>1</v>
      </c>
    </row>
    <row r="43" spans="1:16" x14ac:dyDescent="0.25">
      <c r="A43" s="167">
        <v>44</v>
      </c>
      <c r="B43" s="252" t="str">
        <f>VLOOKUP(A43,Estimate!A:C,3,FALSE)</f>
        <v>Removal &amp; Stockpiling of Topsoil for Re-use</v>
      </c>
      <c r="C43" s="251">
        <f>VLOOKUP(A43,Estimate!A:L,12,FALSE)</f>
        <v>3</v>
      </c>
      <c r="D43" s="255">
        <v>42</v>
      </c>
      <c r="E43" s="255" t="s">
        <v>1396</v>
      </c>
      <c r="F43" s="257">
        <f>VLOOKUP(A43,Estimate!A:Q,17,FALSE)</f>
        <v>7707.770777077707</v>
      </c>
      <c r="G43" s="266">
        <f>VLOOKUP($A43,'Budget &amp; Revenue'!$A:$AE,13,FALSE)</f>
        <v>1</v>
      </c>
      <c r="H43" s="266">
        <f>VLOOKUP($A43,'Budget &amp; Revenue'!$A:$AE,15,FALSE)</f>
        <v>1</v>
      </c>
      <c r="I43" s="266">
        <f>VLOOKUP($A43,'Budget &amp; Revenue'!$A:$AE,17,FALSE)</f>
        <v>1</v>
      </c>
      <c r="J43" s="266">
        <f>VLOOKUP($A43,'Budget &amp; Revenue'!$A:$AE,19,FALSE)</f>
        <v>1</v>
      </c>
      <c r="K43" s="266">
        <f>VLOOKUP($A43,'Budget &amp; Revenue'!$A:$AE,21,FALSE)</f>
        <v>1</v>
      </c>
      <c r="L43" s="266">
        <f>VLOOKUP($A43,'Budget &amp; Revenue'!$A:$AE,23,FALSE)</f>
        <v>1</v>
      </c>
      <c r="M43" s="266">
        <f>VLOOKUP($A43,'Budget &amp; Revenue'!$A:$AE,25,FALSE)</f>
        <v>1</v>
      </c>
      <c r="N43" s="266">
        <f>VLOOKUP($A43,'Budget &amp; Revenue'!$A:$AE,27,FALSE)</f>
        <v>1</v>
      </c>
      <c r="O43" s="266">
        <f>VLOOKUP($A43,'Budget &amp; Revenue'!$A:$AE,29,FALSE)</f>
        <v>1</v>
      </c>
      <c r="P43" s="266">
        <f>VLOOKUP($A43,'Budget &amp; Revenue'!$A:$AE,31,FALSE)</f>
        <v>1</v>
      </c>
    </row>
    <row r="44" spans="1:16" s="98" customFormat="1" x14ac:dyDescent="0.25">
      <c r="A44" s="167">
        <v>44.2</v>
      </c>
      <c r="B44" s="252" t="str">
        <f>VLOOKUP(A44,Estimate!A:C,3,FALSE)</f>
        <v>General Earthworks (Cut)</v>
      </c>
      <c r="C44" s="251">
        <f>VLOOKUP(A44,Estimate!A:L,12,FALSE)</f>
        <v>4</v>
      </c>
      <c r="D44" s="255">
        <v>43</v>
      </c>
      <c r="E44" s="255" t="s">
        <v>1397</v>
      </c>
      <c r="F44" s="257">
        <f>VLOOKUP(A44,Estimate!A:Q,17,FALSE)</f>
        <v>10075.157515751576</v>
      </c>
      <c r="G44" s="266">
        <f>VLOOKUP($A44,'Budget &amp; Revenue'!$A:$AE,13,FALSE)</f>
        <v>1</v>
      </c>
      <c r="H44" s="266">
        <f>VLOOKUP($A44,'Budget &amp; Revenue'!$A:$AE,15,FALSE)</f>
        <v>1</v>
      </c>
      <c r="I44" s="266">
        <f>VLOOKUP($A44,'Budget &amp; Revenue'!$A:$AE,17,FALSE)</f>
        <v>1</v>
      </c>
      <c r="J44" s="266">
        <f>VLOOKUP($A44,'Budget &amp; Revenue'!$A:$AE,19,FALSE)</f>
        <v>1</v>
      </c>
      <c r="K44" s="266">
        <f>VLOOKUP($A44,'Budget &amp; Revenue'!$A:$AE,21,FALSE)</f>
        <v>1</v>
      </c>
      <c r="L44" s="266">
        <f>VLOOKUP($A44,'Budget &amp; Revenue'!$A:$AE,23,FALSE)</f>
        <v>1</v>
      </c>
      <c r="M44" s="266">
        <f>VLOOKUP($A44,'Budget &amp; Revenue'!$A:$AE,25,FALSE)</f>
        <v>1</v>
      </c>
      <c r="N44" s="266">
        <f>VLOOKUP($A44,'Budget &amp; Revenue'!$A:$AE,27,FALSE)</f>
        <v>1</v>
      </c>
      <c r="O44" s="266">
        <f>VLOOKUP($A44,'Budget &amp; Revenue'!$A:$AE,29,FALSE)</f>
        <v>1</v>
      </c>
      <c r="P44" s="266">
        <f>VLOOKUP($A44,'Budget &amp; Revenue'!$A:$AE,31,FALSE)</f>
        <v>1</v>
      </c>
    </row>
    <row r="45" spans="1:16" x14ac:dyDescent="0.25">
      <c r="A45" s="167">
        <v>45</v>
      </c>
      <c r="B45" s="252" t="str">
        <f>VLOOKUP(A45,Estimate!A:C,3,FALSE)</f>
        <v>General Earthworks (Fill)</v>
      </c>
      <c r="C45" s="251">
        <f>VLOOKUP(A45,Estimate!A:L,12,FALSE)</f>
        <v>2</v>
      </c>
      <c r="D45" s="255" t="s">
        <v>1398</v>
      </c>
      <c r="E45" s="255" t="s">
        <v>1399</v>
      </c>
      <c r="F45" s="257">
        <f>VLOOKUP(A45,Estimate!A:Q,17,FALSE)</f>
        <v>6310.5310531053119</v>
      </c>
      <c r="G45" s="266">
        <f>VLOOKUP($A45,'Budget &amp; Revenue'!$A:$AE,13,FALSE)</f>
        <v>1</v>
      </c>
      <c r="H45" s="266">
        <f>VLOOKUP($A45,'Budget &amp; Revenue'!$A:$AE,15,FALSE)</f>
        <v>1</v>
      </c>
      <c r="I45" s="266">
        <f>VLOOKUP($A45,'Budget &amp; Revenue'!$A:$AE,17,FALSE)</f>
        <v>1</v>
      </c>
      <c r="J45" s="266">
        <f>VLOOKUP($A45,'Budget &amp; Revenue'!$A:$AE,19,FALSE)</f>
        <v>1</v>
      </c>
      <c r="K45" s="266">
        <f>VLOOKUP($A45,'Budget &amp; Revenue'!$A:$AE,21,FALSE)</f>
        <v>1</v>
      </c>
      <c r="L45" s="266">
        <f>VLOOKUP($A45,'Budget &amp; Revenue'!$A:$AE,23,FALSE)</f>
        <v>1</v>
      </c>
      <c r="M45" s="266">
        <f>VLOOKUP($A45,'Budget &amp; Revenue'!$A:$AE,25,FALSE)</f>
        <v>1</v>
      </c>
      <c r="N45" s="266">
        <f>VLOOKUP($A45,'Budget &amp; Revenue'!$A:$AE,27,FALSE)</f>
        <v>1</v>
      </c>
      <c r="O45" s="266">
        <f>VLOOKUP($A45,'Budget &amp; Revenue'!$A:$AE,29,FALSE)</f>
        <v>1</v>
      </c>
      <c r="P45" s="266">
        <f>VLOOKUP($A45,'Budget &amp; Revenue'!$A:$AE,31,FALSE)</f>
        <v>1</v>
      </c>
    </row>
    <row r="46" spans="1:16" ht="30" x14ac:dyDescent="0.25">
      <c r="A46" s="167">
        <v>46</v>
      </c>
      <c r="B46" s="252" t="str">
        <f>VLOOKUP(A46,Estimate!A:C,3,FALSE)</f>
        <v>Replace unsuitable material below subgrade with select material complete (Provisional)</v>
      </c>
      <c r="C46" s="251">
        <f>VLOOKUP(A46,Estimate!A:L,12,FALSE)</f>
        <v>1</v>
      </c>
      <c r="D46" s="255">
        <v>45</v>
      </c>
      <c r="E46" s="255">
        <v>93</v>
      </c>
      <c r="F46" s="257">
        <f>VLOOKUP(A46,Estimate!A:Q,17,FALSE)</f>
        <v>922.37083708370835</v>
      </c>
      <c r="G46" s="266">
        <f>VLOOKUP($A46,'Budget &amp; Revenue'!$A:$AE,13,FALSE)</f>
        <v>0</v>
      </c>
      <c r="H46" s="266">
        <f>VLOOKUP($A46,'Budget &amp; Revenue'!$A:$AE,15,FALSE)</f>
        <v>0</v>
      </c>
      <c r="I46" s="266">
        <f>VLOOKUP($A46,'Budget &amp; Revenue'!$A:$AE,17,FALSE)</f>
        <v>0</v>
      </c>
      <c r="J46" s="266">
        <f>VLOOKUP($A46,'Budget &amp; Revenue'!$A:$AE,19,FALSE)</f>
        <v>0</v>
      </c>
      <c r="K46" s="266">
        <f>VLOOKUP($A46,'Budget &amp; Revenue'!$A:$AE,21,FALSE)</f>
        <v>0</v>
      </c>
      <c r="L46" s="266">
        <f>VLOOKUP($A46,'Budget &amp; Revenue'!$A:$AE,23,FALSE)</f>
        <v>0</v>
      </c>
      <c r="M46" s="266">
        <f>VLOOKUP($A46,'Budget &amp; Revenue'!$A:$AE,25,FALSE)</f>
        <v>0</v>
      </c>
      <c r="N46" s="266">
        <f>VLOOKUP($A46,'Budget &amp; Revenue'!$A:$AE,27,FALSE)</f>
        <v>0</v>
      </c>
      <c r="O46" s="266">
        <f>VLOOKUP($A46,'Budget &amp; Revenue'!$A:$AE,29,FALSE)</f>
        <v>0</v>
      </c>
      <c r="P46" s="266">
        <f>VLOOKUP($A46,'Budget &amp; Revenue'!$A:$AE,31,FALSE)</f>
        <v>0</v>
      </c>
    </row>
    <row r="47" spans="1:16" x14ac:dyDescent="0.25">
      <c r="A47" s="167">
        <v>48</v>
      </c>
      <c r="B47" s="252" t="str">
        <f>VLOOKUP(A47,Estimate!A:C,3,FALSE)</f>
        <v>Minor Rural Accesses</v>
      </c>
      <c r="C47" s="251">
        <f>VLOOKUP(A47,Estimate!A:L,12,FALSE)</f>
        <v>4</v>
      </c>
      <c r="D47" s="255" t="s">
        <v>1400</v>
      </c>
      <c r="E47" s="255">
        <v>89</v>
      </c>
      <c r="F47" s="257">
        <f>VLOOKUP(A47,Estimate!A:Q,17,FALSE)</f>
        <v>13464</v>
      </c>
      <c r="G47" s="266">
        <f>VLOOKUP($A47,'Budget &amp; Revenue'!$A:$AE,13,FALSE)</f>
        <v>0.75</v>
      </c>
      <c r="H47" s="266">
        <f>VLOOKUP($A47,'Budget &amp; Revenue'!$A:$AE,15,FALSE)</f>
        <v>1</v>
      </c>
      <c r="I47" s="266">
        <f>VLOOKUP($A47,'Budget &amp; Revenue'!$A:$AE,17,FALSE)</f>
        <v>1</v>
      </c>
      <c r="J47" s="266">
        <f>VLOOKUP($A47,'Budget &amp; Revenue'!$A:$AE,19,FALSE)</f>
        <v>1</v>
      </c>
      <c r="K47" s="266">
        <f>VLOOKUP($A47,'Budget &amp; Revenue'!$A:$AE,21,FALSE)</f>
        <v>1</v>
      </c>
      <c r="L47" s="266">
        <f>VLOOKUP($A47,'Budget &amp; Revenue'!$A:$AE,23,FALSE)</f>
        <v>1</v>
      </c>
      <c r="M47" s="266">
        <f>VLOOKUP($A47,'Budget &amp; Revenue'!$A:$AE,25,FALSE)</f>
        <v>1</v>
      </c>
      <c r="N47" s="266">
        <f>VLOOKUP($A47,'Budget &amp; Revenue'!$A:$AE,27,FALSE)</f>
        <v>1</v>
      </c>
      <c r="O47" s="266">
        <f>VLOOKUP($A47,'Budget &amp; Revenue'!$A:$AE,29,FALSE)</f>
        <v>1</v>
      </c>
      <c r="P47" s="266">
        <f>VLOOKUP($A47,'Budget &amp; Revenue'!$A:$AE,31,FALSE)</f>
        <v>1</v>
      </c>
    </row>
    <row r="48" spans="1:16" x14ac:dyDescent="0.25">
      <c r="A48" s="167">
        <v>49</v>
      </c>
      <c r="B48" s="252" t="str">
        <f>VLOOKUP(A48,Estimate!A:C,3,FALSE)</f>
        <v>Excavation for stromwater structures</v>
      </c>
      <c r="C48" s="251">
        <f>VLOOKUP(A48,Estimate!A:L,12,FALSE)</f>
        <v>2</v>
      </c>
      <c r="D48" s="255">
        <v>49</v>
      </c>
      <c r="E48" s="255">
        <v>110</v>
      </c>
      <c r="F48" s="257">
        <f>VLOOKUP(A48,Estimate!A:Q,17,FALSE)</f>
        <v>7362</v>
      </c>
      <c r="G48" s="266">
        <f>VLOOKUP($A48,'Budget &amp; Revenue'!$A:$AE,13,FALSE)</f>
        <v>0.71333333333333337</v>
      </c>
      <c r="H48" s="266">
        <f>VLOOKUP($A48,'Budget &amp; Revenue'!$A:$AE,15,FALSE)</f>
        <v>1</v>
      </c>
      <c r="I48" s="266">
        <f>VLOOKUP($A48,'Budget &amp; Revenue'!$A:$AE,17,FALSE)</f>
        <v>1</v>
      </c>
      <c r="J48" s="266">
        <f>VLOOKUP($A48,'Budget &amp; Revenue'!$A:$AE,19,FALSE)</f>
        <v>1</v>
      </c>
      <c r="K48" s="266">
        <f>VLOOKUP($A48,'Budget &amp; Revenue'!$A:$AE,21,FALSE)</f>
        <v>1</v>
      </c>
      <c r="L48" s="266">
        <f>VLOOKUP($A48,'Budget &amp; Revenue'!$A:$AE,23,FALSE)</f>
        <v>1</v>
      </c>
      <c r="M48" s="266">
        <f>VLOOKUP($A48,'Budget &amp; Revenue'!$A:$AE,25,FALSE)</f>
        <v>1</v>
      </c>
      <c r="N48" s="266">
        <f>VLOOKUP($A48,'Budget &amp; Revenue'!$A:$AE,27,FALSE)</f>
        <v>1</v>
      </c>
      <c r="O48" s="266">
        <f>VLOOKUP($A48,'Budget &amp; Revenue'!$A:$AE,29,FALSE)</f>
        <v>1</v>
      </c>
      <c r="P48" s="266">
        <f>VLOOKUP($A48,'Budget &amp; Revenue'!$A:$AE,31,FALSE)</f>
        <v>1</v>
      </c>
    </row>
    <row r="49" spans="1:16" x14ac:dyDescent="0.25">
      <c r="A49" s="167">
        <v>50</v>
      </c>
      <c r="B49" s="252" t="str">
        <f>VLOOKUP(A49,Estimate!A:C,3,FALSE)</f>
        <v>Removal / Demolition of Drainage Components</v>
      </c>
      <c r="C49" s="251">
        <f>VLOOKUP(A49,Estimate!A:L,12,FALSE)</f>
        <v>6</v>
      </c>
      <c r="D49" s="255">
        <v>45</v>
      </c>
      <c r="E49" s="255" t="s">
        <v>1401</v>
      </c>
      <c r="F49" s="257">
        <f>VLOOKUP(A49,Estimate!A:Q,17,FALSE)</f>
        <v>2100</v>
      </c>
      <c r="G49" s="266">
        <f>VLOOKUP($A49,'Budget &amp; Revenue'!$A:$AE,13,FALSE)</f>
        <v>0.8</v>
      </c>
      <c r="H49" s="266">
        <f>VLOOKUP($A49,'Budget &amp; Revenue'!$A:$AE,15,FALSE)</f>
        <v>1</v>
      </c>
      <c r="I49" s="266">
        <f>VLOOKUP($A49,'Budget &amp; Revenue'!$A:$AE,17,FALSE)</f>
        <v>1</v>
      </c>
      <c r="J49" s="266">
        <f>VLOOKUP($A49,'Budget &amp; Revenue'!$A:$AE,19,FALSE)</f>
        <v>1</v>
      </c>
      <c r="K49" s="266">
        <f>VLOOKUP($A49,'Budget &amp; Revenue'!$A:$AE,21,FALSE)</f>
        <v>1</v>
      </c>
      <c r="L49" s="266">
        <f>VLOOKUP($A49,'Budget &amp; Revenue'!$A:$AE,23,FALSE)</f>
        <v>1</v>
      </c>
      <c r="M49" s="266">
        <f>VLOOKUP($A49,'Budget &amp; Revenue'!$A:$AE,25,FALSE)</f>
        <v>1</v>
      </c>
      <c r="N49" s="266">
        <f>VLOOKUP($A49,'Budget &amp; Revenue'!$A:$AE,27,FALSE)</f>
        <v>1</v>
      </c>
      <c r="O49" s="266">
        <f>VLOOKUP($A49,'Budget &amp; Revenue'!$A:$AE,29,FALSE)</f>
        <v>1</v>
      </c>
      <c r="P49" s="266">
        <f>VLOOKUP($A49,'Budget &amp; Revenue'!$A:$AE,31,FALSE)</f>
        <v>1</v>
      </c>
    </row>
    <row r="50" spans="1:16" x14ac:dyDescent="0.25">
      <c r="A50" s="167">
        <v>51</v>
      </c>
      <c r="B50" s="252" t="str">
        <f>VLOOKUP(A50,Estimate!A:C,3,FALSE)</f>
        <v>375 RCP</v>
      </c>
      <c r="C50" s="251">
        <f>VLOOKUP(A50,Estimate!A:L,12,FALSE)</f>
        <v>7</v>
      </c>
      <c r="D50" s="255">
        <v>49</v>
      </c>
      <c r="E50" s="255" t="s">
        <v>1402</v>
      </c>
      <c r="F50" s="257">
        <f>VLOOKUP(A50,Estimate!A:Q,17,FALSE)</f>
        <v>20796.503917525777</v>
      </c>
      <c r="G50" s="266">
        <f>VLOOKUP($A50,'Budget &amp; Revenue'!$A:$AE,13,FALSE)</f>
        <v>1</v>
      </c>
      <c r="H50" s="266">
        <f>VLOOKUP($A50,'Budget &amp; Revenue'!$A:$AE,15,FALSE)</f>
        <v>1</v>
      </c>
      <c r="I50" s="266">
        <f>VLOOKUP($A50,'Budget &amp; Revenue'!$A:$AE,17,FALSE)</f>
        <v>1</v>
      </c>
      <c r="J50" s="266">
        <f>VLOOKUP($A50,'Budget &amp; Revenue'!$A:$AE,19,FALSE)</f>
        <v>1</v>
      </c>
      <c r="K50" s="266">
        <f>VLOOKUP($A50,'Budget &amp; Revenue'!$A:$AE,21,FALSE)</f>
        <v>1</v>
      </c>
      <c r="L50" s="266">
        <f>VLOOKUP($A50,'Budget &amp; Revenue'!$A:$AE,23,FALSE)</f>
        <v>1</v>
      </c>
      <c r="M50" s="266">
        <f>VLOOKUP($A50,'Budget &amp; Revenue'!$A:$AE,25,FALSE)</f>
        <v>1</v>
      </c>
      <c r="N50" s="266">
        <f>VLOOKUP($A50,'Budget &amp; Revenue'!$A:$AE,27,FALSE)</f>
        <v>1</v>
      </c>
      <c r="O50" s="266">
        <f>VLOOKUP($A50,'Budget &amp; Revenue'!$A:$AE,29,FALSE)</f>
        <v>1</v>
      </c>
      <c r="P50" s="266">
        <f>VLOOKUP($A50,'Budget &amp; Revenue'!$A:$AE,31,FALSE)</f>
        <v>1</v>
      </c>
    </row>
    <row r="51" spans="1:16" x14ac:dyDescent="0.25">
      <c r="A51" s="167">
        <v>52</v>
      </c>
      <c r="B51" s="252" t="str">
        <f>VLOOKUP(A51,Estimate!A:C,3,FALSE)</f>
        <v>450 RCP</v>
      </c>
      <c r="C51" s="251">
        <f>VLOOKUP(A51,Estimate!A:L,12,FALSE)</f>
        <v>6</v>
      </c>
      <c r="D51" s="256">
        <v>50108110</v>
      </c>
      <c r="E51" s="255">
        <v>88</v>
      </c>
      <c r="F51" s="257">
        <f>VLOOKUP(A51,Estimate!A:Q,17,FALSE)</f>
        <v>17462.719999999998</v>
      </c>
      <c r="G51" s="266">
        <f>VLOOKUP($A51,'Budget &amp; Revenue'!$A:$AE,13,FALSE)</f>
        <v>1</v>
      </c>
      <c r="H51" s="266">
        <f>VLOOKUP($A51,'Budget &amp; Revenue'!$A:$AE,15,FALSE)</f>
        <v>1</v>
      </c>
      <c r="I51" s="266">
        <f>VLOOKUP($A51,'Budget &amp; Revenue'!$A:$AE,17,FALSE)</f>
        <v>1</v>
      </c>
      <c r="J51" s="266">
        <f>VLOOKUP($A51,'Budget &amp; Revenue'!$A:$AE,19,FALSE)</f>
        <v>1</v>
      </c>
      <c r="K51" s="266">
        <f>VLOOKUP($A51,'Budget &amp; Revenue'!$A:$AE,21,FALSE)</f>
        <v>1</v>
      </c>
      <c r="L51" s="266">
        <f>VLOOKUP($A51,'Budget &amp; Revenue'!$A:$AE,23,FALSE)</f>
        <v>1</v>
      </c>
      <c r="M51" s="266">
        <f>VLOOKUP($A51,'Budget &amp; Revenue'!$A:$AE,25,FALSE)</f>
        <v>1</v>
      </c>
      <c r="N51" s="266">
        <f>VLOOKUP($A51,'Budget &amp; Revenue'!$A:$AE,27,FALSE)</f>
        <v>1</v>
      </c>
      <c r="O51" s="266">
        <f>VLOOKUP($A51,'Budget &amp; Revenue'!$A:$AE,29,FALSE)</f>
        <v>1</v>
      </c>
      <c r="P51" s="266">
        <f>VLOOKUP($A51,'Budget &amp; Revenue'!$A:$AE,31,FALSE)</f>
        <v>1</v>
      </c>
    </row>
    <row r="52" spans="1:16" x14ac:dyDescent="0.25">
      <c r="A52" s="167">
        <v>53</v>
      </c>
      <c r="B52" s="252" t="str">
        <f>VLOOKUP(A52,Estimate!A:C,3,FALSE)</f>
        <v>Insitu RCBC Base Slab</v>
      </c>
      <c r="C52" s="251">
        <f>VLOOKUP(A52,Estimate!A:L,12,FALSE)</f>
        <v>0</v>
      </c>
      <c r="D52" s="254"/>
      <c r="E52" s="254"/>
      <c r="F52" s="257"/>
      <c r="G52" s="266">
        <f>VLOOKUP($A52,'Budget &amp; Revenue'!$A:$AE,13,FALSE)</f>
        <v>0.47368421052631576</v>
      </c>
      <c r="H52" s="266">
        <f>VLOOKUP($A52,'Budget &amp; Revenue'!$A:$AE,15,FALSE)</f>
        <v>1</v>
      </c>
      <c r="I52" s="266">
        <f>VLOOKUP($A52,'Budget &amp; Revenue'!$A:$AE,17,FALSE)</f>
        <v>1</v>
      </c>
      <c r="J52" s="266">
        <f>VLOOKUP($A52,'Budget &amp; Revenue'!$A:$AE,19,FALSE)</f>
        <v>1</v>
      </c>
      <c r="K52" s="266">
        <f>VLOOKUP($A52,'Budget &amp; Revenue'!$A:$AE,21,FALSE)</f>
        <v>1</v>
      </c>
      <c r="L52" s="266">
        <f>VLOOKUP($A52,'Budget &amp; Revenue'!$A:$AE,23,FALSE)</f>
        <v>1</v>
      </c>
      <c r="M52" s="266">
        <f>VLOOKUP($A52,'Budget &amp; Revenue'!$A:$AE,25,FALSE)</f>
        <v>1</v>
      </c>
      <c r="N52" s="266">
        <f>VLOOKUP($A52,'Budget &amp; Revenue'!$A:$AE,27,FALSE)</f>
        <v>1</v>
      </c>
      <c r="O52" s="266">
        <f>VLOOKUP($A52,'Budget &amp; Revenue'!$A:$AE,29,FALSE)</f>
        <v>1</v>
      </c>
      <c r="P52" s="266">
        <f>VLOOKUP($A52,'Budget &amp; Revenue'!$A:$AE,31,FALSE)</f>
        <v>1</v>
      </c>
    </row>
    <row r="53" spans="1:16" x14ac:dyDescent="0.25">
      <c r="A53" s="167">
        <v>54</v>
      </c>
      <c r="B53" s="252" t="str">
        <f>VLOOKUP(A53,Estimate!A:C,3,FALSE)</f>
        <v>Culvert 4S - 1200 x 450 (4.8m)</v>
      </c>
      <c r="C53" s="251">
        <f>VLOOKUP(A53,Estimate!A:L,12,FALSE)</f>
        <v>2</v>
      </c>
      <c r="D53" s="255">
        <v>45</v>
      </c>
      <c r="E53" s="255" t="s">
        <v>1403</v>
      </c>
      <c r="F53" s="257">
        <f>VLOOKUP(A53,Estimate!A:Q,17,FALSE)</f>
        <v>666.53511111111118</v>
      </c>
      <c r="G53" s="266"/>
      <c r="H53" s="266"/>
      <c r="I53" s="266"/>
      <c r="J53" s="266"/>
      <c r="K53" s="266"/>
      <c r="L53" s="266"/>
      <c r="M53" s="266"/>
      <c r="N53" s="266"/>
      <c r="O53" s="266"/>
      <c r="P53" s="266"/>
    </row>
    <row r="54" spans="1:16" x14ac:dyDescent="0.25">
      <c r="A54" s="167">
        <v>55</v>
      </c>
      <c r="B54" s="252" t="str">
        <f>VLOOKUP(A54,Estimate!A:C,3,FALSE)</f>
        <v>Culvert 4AB - 1200 x 450 (4.8m)</v>
      </c>
      <c r="C54" s="251">
        <f>VLOOKUP(A54,Estimate!A:L,12,FALSE)</f>
        <v>2</v>
      </c>
      <c r="D54" s="255">
        <v>53</v>
      </c>
      <c r="E54" s="255" t="s">
        <v>1375</v>
      </c>
      <c r="F54" s="257">
        <f>VLOOKUP(A54,Estimate!A:Q,17,FALSE)</f>
        <v>666.53511111111118</v>
      </c>
      <c r="G54" s="266"/>
      <c r="H54" s="266"/>
      <c r="I54" s="266"/>
      <c r="J54" s="266"/>
      <c r="K54" s="266"/>
      <c r="L54" s="266"/>
      <c r="M54" s="266"/>
      <c r="N54" s="266"/>
      <c r="O54" s="266"/>
      <c r="P54" s="266"/>
    </row>
    <row r="55" spans="1:16" x14ac:dyDescent="0.25">
      <c r="A55" s="167">
        <v>56</v>
      </c>
      <c r="B55" s="252" t="str">
        <f>VLOOKUP(A55,Estimate!A:C,3,FALSE)</f>
        <v>Culvert 5E - 2/1200 x 450 (6m)</v>
      </c>
      <c r="C55" s="251">
        <f>VLOOKUP(A55,Estimate!A:L,12,FALSE)</f>
        <v>3</v>
      </c>
      <c r="D55" s="255">
        <v>54</v>
      </c>
      <c r="E55" s="255" t="s">
        <v>1404</v>
      </c>
      <c r="F55" s="257">
        <f>VLOOKUP(A55,Estimate!A:Q,17,FALSE)</f>
        <v>1499.704</v>
      </c>
      <c r="G55" s="266"/>
      <c r="H55" s="266"/>
      <c r="I55" s="266"/>
      <c r="J55" s="266"/>
      <c r="K55" s="266"/>
      <c r="L55" s="266"/>
      <c r="M55" s="266"/>
      <c r="N55" s="266"/>
      <c r="O55" s="266"/>
      <c r="P55" s="266"/>
    </row>
    <row r="56" spans="1:16" x14ac:dyDescent="0.25">
      <c r="A56" s="167">
        <v>57</v>
      </c>
      <c r="B56" s="252" t="str">
        <f>VLOOKUP(A56,Estimate!A:C,3,FALSE)</f>
        <v>Culvert 6D - 3/1200 x 600 (6m)</v>
      </c>
      <c r="C56" s="251">
        <f>VLOOKUP(A56,Estimate!A:L,12,FALSE)</f>
        <v>3</v>
      </c>
      <c r="D56" s="255">
        <v>55</v>
      </c>
      <c r="E56" s="255" t="s">
        <v>1376</v>
      </c>
      <c r="F56" s="257">
        <f>VLOOKUP(A56,Estimate!A:Q,17,FALSE)</f>
        <v>2332.8728888888891</v>
      </c>
      <c r="G56" s="266"/>
      <c r="H56" s="266"/>
      <c r="I56" s="266"/>
      <c r="J56" s="266"/>
      <c r="K56" s="266"/>
      <c r="L56" s="266"/>
      <c r="M56" s="266"/>
      <c r="N56" s="266"/>
      <c r="O56" s="266"/>
      <c r="P56" s="266"/>
    </row>
    <row r="57" spans="1:16" x14ac:dyDescent="0.25">
      <c r="A57" s="167">
        <v>58</v>
      </c>
      <c r="B57" s="252" t="str">
        <f>VLOOKUP(A57,Estimate!A:C,3,FALSE)</f>
        <v>Culvert 6F - 2/1200 x 600 (6m)</v>
      </c>
      <c r="C57" s="251">
        <f>VLOOKUP(A57,Estimate!A:L,12,FALSE)</f>
        <v>3</v>
      </c>
      <c r="D57" s="255">
        <v>56</v>
      </c>
      <c r="E57" s="255" t="s">
        <v>1405</v>
      </c>
      <c r="F57" s="257">
        <f>VLOOKUP(A57,Estimate!A:Q,17,FALSE)</f>
        <v>1499.704</v>
      </c>
      <c r="G57" s="266"/>
      <c r="H57" s="266"/>
      <c r="I57" s="266"/>
      <c r="J57" s="266"/>
      <c r="K57" s="266"/>
      <c r="L57" s="266"/>
      <c r="M57" s="266"/>
      <c r="N57" s="266"/>
      <c r="O57" s="266"/>
      <c r="P57" s="266"/>
    </row>
    <row r="58" spans="1:16" x14ac:dyDescent="0.25">
      <c r="A58" s="167">
        <v>59</v>
      </c>
      <c r="B58" s="252" t="str">
        <f>VLOOKUP(A58,Estimate!A:C,3,FALSE)</f>
        <v>Culvert 6K - 2/1200 x 450 (4.8m)</v>
      </c>
      <c r="C58" s="251">
        <f>VLOOKUP(A58,Estimate!A:L,12,FALSE)</f>
        <v>2</v>
      </c>
      <c r="D58" s="255">
        <v>57</v>
      </c>
      <c r="E58" s="255" t="s">
        <v>1377</v>
      </c>
      <c r="F58" s="257">
        <f>VLOOKUP(A58,Estimate!A:Q,17,FALSE)</f>
        <v>1499.704</v>
      </c>
      <c r="G58" s="266"/>
      <c r="H58" s="266"/>
      <c r="I58" s="266"/>
      <c r="J58" s="266"/>
      <c r="K58" s="266"/>
      <c r="L58" s="266"/>
      <c r="M58" s="266"/>
      <c r="N58" s="266"/>
      <c r="O58" s="266"/>
      <c r="P58" s="266"/>
    </row>
    <row r="59" spans="1:16" x14ac:dyDescent="0.25">
      <c r="A59" s="167">
        <v>60</v>
      </c>
      <c r="B59" s="252" t="str">
        <f>VLOOKUP(A59,Estimate!A:C,3,FALSE)</f>
        <v>Culvert 6M - 2/1200 x 450 (4.8m)</v>
      </c>
      <c r="C59" s="251">
        <f>VLOOKUP(A59,Estimate!A:L,12,FALSE)</f>
        <v>3</v>
      </c>
      <c r="D59" s="255">
        <v>58</v>
      </c>
      <c r="E59" s="255" t="s">
        <v>1378</v>
      </c>
      <c r="F59" s="257">
        <f>VLOOKUP(A59,Estimate!A:Q,17,FALSE)</f>
        <v>1499.704</v>
      </c>
      <c r="G59" s="266"/>
      <c r="H59" s="266"/>
      <c r="I59" s="266"/>
      <c r="J59" s="266"/>
      <c r="K59" s="266"/>
      <c r="L59" s="266"/>
      <c r="M59" s="266"/>
      <c r="N59" s="266"/>
      <c r="O59" s="266"/>
      <c r="P59" s="266"/>
    </row>
    <row r="60" spans="1:16" x14ac:dyDescent="0.25">
      <c r="A60" s="167">
        <v>61</v>
      </c>
      <c r="B60" s="252" t="str">
        <f>VLOOKUP(A60,Estimate!A:C,3,FALSE)</f>
        <v>Culvert 6P - 1200 x 450 (4.8m)</v>
      </c>
      <c r="C60" s="251">
        <f>VLOOKUP(A60,Estimate!A:L,12,FALSE)</f>
        <v>2</v>
      </c>
      <c r="D60" s="255">
        <v>59</v>
      </c>
      <c r="E60" s="255" t="s">
        <v>1379</v>
      </c>
      <c r="F60" s="257">
        <f>VLOOKUP(A60,Estimate!A:Q,17,FALSE)</f>
        <v>666.53511111111118</v>
      </c>
      <c r="G60" s="266"/>
      <c r="H60" s="266"/>
      <c r="I60" s="266"/>
      <c r="J60" s="266"/>
      <c r="K60" s="266"/>
      <c r="L60" s="266"/>
      <c r="M60" s="266"/>
      <c r="N60" s="266"/>
      <c r="O60" s="266"/>
      <c r="P60" s="266"/>
    </row>
    <row r="61" spans="1:16" x14ac:dyDescent="0.25">
      <c r="A61" s="167">
        <v>62</v>
      </c>
      <c r="B61" s="252" t="str">
        <f>VLOOKUP(A61,Estimate!A:C,3,FALSE)</f>
        <v>Culvert 6T - 1200 x 450 (6m)</v>
      </c>
      <c r="C61" s="251">
        <f>VLOOKUP(A61,Estimate!A:L,12,FALSE)</f>
        <v>3</v>
      </c>
      <c r="D61" s="255">
        <v>60</v>
      </c>
      <c r="E61" s="255" t="s">
        <v>1406</v>
      </c>
      <c r="F61" s="257">
        <f>VLOOKUP(A61,Estimate!A:Q,17,FALSE)</f>
        <v>916.48577777777768</v>
      </c>
      <c r="G61" s="266"/>
      <c r="H61" s="266"/>
      <c r="I61" s="266"/>
      <c r="J61" s="266"/>
      <c r="K61" s="266"/>
      <c r="L61" s="266"/>
      <c r="M61" s="266"/>
      <c r="N61" s="266"/>
      <c r="O61" s="266"/>
      <c r="P61" s="266"/>
    </row>
    <row r="62" spans="1:16" x14ac:dyDescent="0.25">
      <c r="A62" s="167">
        <v>63</v>
      </c>
      <c r="B62" s="252" t="str">
        <f>VLOOKUP(A62,Estimate!A:C,3,FALSE)</f>
        <v>Culvert 4U 2/1200 x 600 (10.8m) Under Road</v>
      </c>
      <c r="C62" s="251">
        <f>VLOOKUP(A62,Estimate!A:L,12,FALSE)</f>
        <v>3</v>
      </c>
      <c r="D62" s="255">
        <v>61</v>
      </c>
      <c r="E62" s="255" t="s">
        <v>1407</v>
      </c>
      <c r="F62" s="257">
        <f>VLOOKUP(A62,Estimate!A:Q,17,FALSE)</f>
        <v>2949.4178666666667</v>
      </c>
      <c r="G62" s="266"/>
      <c r="H62" s="266"/>
      <c r="I62" s="266"/>
      <c r="J62" s="266"/>
      <c r="K62" s="266"/>
      <c r="L62" s="266"/>
      <c r="M62" s="266"/>
      <c r="N62" s="266"/>
      <c r="O62" s="266"/>
      <c r="P62" s="266"/>
    </row>
    <row r="63" spans="1:16" x14ac:dyDescent="0.25">
      <c r="A63" s="167">
        <v>64</v>
      </c>
      <c r="B63" s="252" t="str">
        <f>VLOOKUP(A63,Estimate!A:C,3,FALSE)</f>
        <v>Culvert 4AA - 3/1200 x 450 (9.6m) Under Road</v>
      </c>
      <c r="C63" s="251">
        <f>VLOOKUP(A63,Estimate!A:L,12,FALSE)</f>
        <v>3</v>
      </c>
      <c r="D63" s="255">
        <v>62</v>
      </c>
      <c r="E63" s="255" t="s">
        <v>1408</v>
      </c>
      <c r="F63" s="257">
        <f>VLOOKUP(A63,Estimate!A:Q,17,FALSE)</f>
        <v>3682.6064888888891</v>
      </c>
      <c r="G63" s="266"/>
      <c r="H63" s="266"/>
      <c r="I63" s="266"/>
      <c r="J63" s="266"/>
      <c r="K63" s="266"/>
      <c r="L63" s="266"/>
      <c r="M63" s="266"/>
      <c r="N63" s="266"/>
      <c r="O63" s="266"/>
      <c r="P63" s="266"/>
    </row>
    <row r="64" spans="1:16" x14ac:dyDescent="0.25">
      <c r="A64" s="167">
        <v>65</v>
      </c>
      <c r="B64" s="252" t="str">
        <f>VLOOKUP(A64,Estimate!A:C,3,FALSE)</f>
        <v>Culvert 5D - 2/1200 x 600 ((.6m) Under Road</v>
      </c>
      <c r="C64" s="251">
        <f>VLOOKUP(A64,Estimate!A:L,12,FALSE)</f>
        <v>5</v>
      </c>
      <c r="D64" s="255">
        <v>63</v>
      </c>
      <c r="E64" s="255" t="s">
        <v>1380</v>
      </c>
      <c r="F64" s="257">
        <f>VLOOKUP(A64,Estimate!A:Q,17,FALSE)</f>
        <v>2399.5264000000002</v>
      </c>
      <c r="G64" s="266"/>
      <c r="H64" s="266"/>
      <c r="I64" s="266"/>
      <c r="J64" s="266"/>
      <c r="K64" s="266"/>
      <c r="L64" s="266"/>
      <c r="M64" s="266"/>
      <c r="N64" s="266"/>
      <c r="O64" s="266"/>
      <c r="P64" s="266"/>
    </row>
    <row r="65" spans="1:16" x14ac:dyDescent="0.25">
      <c r="A65" s="167">
        <v>66</v>
      </c>
      <c r="B65" s="252" t="str">
        <f>VLOOKUP(A65,Estimate!A:C,3,FALSE)</f>
        <v>Culvert 5M - 4/1200 x 600 (10.8m) Under Road</v>
      </c>
      <c r="C65" s="251">
        <f>VLOOKUP(A65,Estimate!A:L,12,FALSE)</f>
        <v>3</v>
      </c>
      <c r="D65" s="255">
        <v>64</v>
      </c>
      <c r="E65" s="255" t="s">
        <v>1409</v>
      </c>
      <c r="F65" s="257">
        <f>VLOOKUP(A65,Estimate!A:Q,17,FALSE)</f>
        <v>5748.8653333333332</v>
      </c>
      <c r="G65" s="266"/>
      <c r="H65" s="266"/>
      <c r="I65" s="266"/>
      <c r="J65" s="266"/>
      <c r="K65" s="266"/>
      <c r="L65" s="266"/>
      <c r="M65" s="266"/>
      <c r="N65" s="266"/>
      <c r="O65" s="266"/>
      <c r="P65" s="266"/>
    </row>
    <row r="66" spans="1:16" x14ac:dyDescent="0.25">
      <c r="A66" s="167">
        <v>67</v>
      </c>
      <c r="B66" s="252" t="str">
        <f>VLOOKUP(A66,Estimate!A:C,3,FALSE)</f>
        <v>Culvert 6B - 1200 x 450 (9.6m) Under Road</v>
      </c>
      <c r="C66" s="251">
        <f>VLOOKUP(A66,Estimate!A:L,12,FALSE)</f>
        <v>3</v>
      </c>
      <c r="D66" s="255">
        <v>65</v>
      </c>
      <c r="E66" s="255" t="s">
        <v>1410</v>
      </c>
      <c r="F66" s="257">
        <f>VLOOKUP(A66,Estimate!A:Q,17,FALSE)</f>
        <v>1291.4117777777778</v>
      </c>
      <c r="G66" s="266"/>
      <c r="H66" s="266"/>
      <c r="I66" s="266"/>
      <c r="J66" s="266"/>
      <c r="K66" s="266"/>
      <c r="L66" s="266"/>
      <c r="M66" s="266"/>
      <c r="N66" s="266"/>
      <c r="O66" s="266"/>
      <c r="P66" s="266"/>
    </row>
    <row r="67" spans="1:16" x14ac:dyDescent="0.25">
      <c r="A67" s="167">
        <v>68</v>
      </c>
      <c r="B67" s="252" t="str">
        <f>VLOOKUP(A67,Estimate!A:C,3,FALSE)</f>
        <v>Culvert 6V - 1200 x 450 (9.6m) Under Road</v>
      </c>
      <c r="C67" s="251">
        <f>VLOOKUP(A67,Estimate!A:L,12,FALSE)</f>
        <v>3</v>
      </c>
      <c r="D67" s="255">
        <v>66</v>
      </c>
      <c r="E67" s="255" t="s">
        <v>1411</v>
      </c>
      <c r="F67" s="257">
        <f>VLOOKUP(A67,Estimate!A:Q,17,FALSE)</f>
        <v>1291.4117777777778</v>
      </c>
      <c r="G67" s="266"/>
      <c r="H67" s="266"/>
      <c r="I67" s="266"/>
      <c r="J67" s="266"/>
      <c r="K67" s="266"/>
      <c r="L67" s="266"/>
      <c r="M67" s="266"/>
      <c r="N67" s="266"/>
      <c r="O67" s="266"/>
      <c r="P67" s="266"/>
    </row>
    <row r="68" spans="1:16" x14ac:dyDescent="0.25">
      <c r="A68" s="167">
        <v>69</v>
      </c>
      <c r="B68" s="252" t="str">
        <f>VLOOKUP(A68,Estimate!A:C,3,FALSE)</f>
        <v>RCBC - 1200 x 450</v>
      </c>
      <c r="C68" s="251">
        <f>VLOOKUP(A68,Estimate!A:L,12,FALSE)</f>
        <v>0</v>
      </c>
      <c r="D68" s="254"/>
      <c r="E68" s="254"/>
      <c r="F68" s="257"/>
      <c r="G68" s="266">
        <f>VLOOKUP($A68,'Budget &amp; Revenue'!$A:$AE,13,FALSE)</f>
        <v>0.14400000000000002</v>
      </c>
      <c r="H68" s="266">
        <f>VLOOKUP($A68,'Budget &amp; Revenue'!$A:$AE,15,FALSE)</f>
        <v>1</v>
      </c>
      <c r="I68" s="266">
        <f>VLOOKUP($A68,'Budget &amp; Revenue'!$A:$AE,17,FALSE)</f>
        <v>1</v>
      </c>
      <c r="J68" s="266">
        <f>VLOOKUP($A68,'Budget &amp; Revenue'!$A:$AE,19,FALSE)</f>
        <v>1</v>
      </c>
      <c r="K68" s="266">
        <f>VLOOKUP($A68,'Budget &amp; Revenue'!$A:$AE,21,FALSE)</f>
        <v>1</v>
      </c>
      <c r="L68" s="266">
        <f>VLOOKUP($A68,'Budget &amp; Revenue'!$A:$AE,23,FALSE)</f>
        <v>1</v>
      </c>
      <c r="M68" s="266">
        <f>VLOOKUP($A68,'Budget &amp; Revenue'!$A:$AE,25,FALSE)</f>
        <v>1</v>
      </c>
      <c r="N68" s="266">
        <f>VLOOKUP($A68,'Budget &amp; Revenue'!$A:$AE,27,FALSE)</f>
        <v>1</v>
      </c>
      <c r="O68" s="266">
        <f>VLOOKUP($A68,'Budget &amp; Revenue'!$A:$AE,29,FALSE)</f>
        <v>1</v>
      </c>
      <c r="P68" s="266">
        <f>VLOOKUP($A68,'Budget &amp; Revenue'!$A:$AE,31,FALSE)</f>
        <v>1</v>
      </c>
    </row>
    <row r="69" spans="1:16" x14ac:dyDescent="0.25">
      <c r="A69" s="167">
        <v>70</v>
      </c>
      <c r="B69" s="252" t="str">
        <f>VLOOKUP(A69,Estimate!A:C,3,FALSE)</f>
        <v>Culvert 4S - 1200 x 450 (4.8m)</v>
      </c>
      <c r="C69" s="251">
        <f>VLOOKUP(A69,Estimate!A:L,12,FALSE)</f>
        <v>1</v>
      </c>
      <c r="D69" s="255">
        <v>53</v>
      </c>
      <c r="E69" s="255">
        <v>70</v>
      </c>
      <c r="F69" s="257">
        <f>VLOOKUP(A69,Estimate!A:Q,17,FALSE)</f>
        <v>4074.5</v>
      </c>
      <c r="G69" s="266"/>
      <c r="H69" s="266"/>
      <c r="I69" s="266"/>
      <c r="J69" s="266"/>
      <c r="K69" s="266"/>
      <c r="L69" s="266"/>
      <c r="M69" s="266"/>
      <c r="N69" s="266"/>
      <c r="O69" s="266"/>
      <c r="P69" s="266"/>
    </row>
    <row r="70" spans="1:16" x14ac:dyDescent="0.25">
      <c r="A70" s="167">
        <v>71</v>
      </c>
      <c r="B70" s="252" t="str">
        <f>VLOOKUP(A70,Estimate!A:C,3,FALSE)</f>
        <v>Culvert 4AB - 1200 x 450 (4.8m)</v>
      </c>
      <c r="C70" s="251">
        <f>VLOOKUP(A70,Estimate!A:L,12,FALSE)</f>
        <v>1</v>
      </c>
      <c r="D70" s="255" t="s">
        <v>1381</v>
      </c>
      <c r="E70" s="255">
        <v>71</v>
      </c>
      <c r="F70" s="257">
        <f>VLOOKUP(A70,Estimate!A:Q,17,FALSE)</f>
        <v>4074.5</v>
      </c>
      <c r="G70" s="266"/>
      <c r="H70" s="266"/>
      <c r="I70" s="266"/>
      <c r="J70" s="266"/>
      <c r="K70" s="266"/>
      <c r="L70" s="266"/>
      <c r="M70" s="266"/>
      <c r="N70" s="266"/>
      <c r="O70" s="266"/>
      <c r="P70" s="266"/>
    </row>
    <row r="71" spans="1:16" x14ac:dyDescent="0.25">
      <c r="A71" s="167">
        <v>72</v>
      </c>
      <c r="B71" s="252" t="str">
        <f>VLOOKUP(A71,Estimate!A:C,3,FALSE)</f>
        <v>Culvert 5E - 2/1200 x 450 (6m)</v>
      </c>
      <c r="C71" s="251">
        <f>VLOOKUP(A71,Estimate!A:L,12,FALSE)</f>
        <v>1</v>
      </c>
      <c r="D71" s="255" t="s">
        <v>1412</v>
      </c>
      <c r="E71" s="255">
        <v>80</v>
      </c>
      <c r="F71" s="257">
        <f>VLOOKUP(A71,Estimate!A:Q,17,FALSE)</f>
        <v>8726</v>
      </c>
      <c r="G71" s="266"/>
      <c r="H71" s="266"/>
      <c r="I71" s="266"/>
      <c r="J71" s="266"/>
      <c r="K71" s="266"/>
      <c r="L71" s="266"/>
      <c r="M71" s="266"/>
      <c r="N71" s="266"/>
      <c r="O71" s="266"/>
      <c r="P71" s="266"/>
    </row>
    <row r="72" spans="1:16" x14ac:dyDescent="0.25">
      <c r="A72" s="167">
        <v>73</v>
      </c>
      <c r="B72" s="252" t="str">
        <f>VLOOKUP(A72,Estimate!A:C,3,FALSE)</f>
        <v>Culvert 6K - 2/1200 x 450 (4.8m)</v>
      </c>
      <c r="C72" s="251">
        <f>VLOOKUP(A72,Estimate!A:L,12,FALSE)</f>
        <v>1</v>
      </c>
      <c r="D72" s="255" t="s">
        <v>1413</v>
      </c>
      <c r="E72" s="255">
        <v>73</v>
      </c>
      <c r="F72" s="257">
        <f>VLOOKUP(A72,Estimate!A:Q,17,FALSE)</f>
        <v>6526.5</v>
      </c>
      <c r="G72" s="266"/>
      <c r="H72" s="266"/>
      <c r="I72" s="266"/>
      <c r="J72" s="266"/>
      <c r="K72" s="266"/>
      <c r="L72" s="266"/>
      <c r="M72" s="266"/>
      <c r="N72" s="266"/>
      <c r="O72" s="266"/>
      <c r="P72" s="266"/>
    </row>
    <row r="73" spans="1:16" x14ac:dyDescent="0.25">
      <c r="A73" s="167">
        <v>74</v>
      </c>
      <c r="B73" s="252" t="str">
        <f>VLOOKUP(A73,Estimate!A:C,3,FALSE)</f>
        <v>Culvert 6M - 2/1200 x 450 (4.8m)</v>
      </c>
      <c r="C73" s="251">
        <f>VLOOKUP(A73,Estimate!A:L,12,FALSE)</f>
        <v>1</v>
      </c>
      <c r="D73" s="255" t="s">
        <v>1383</v>
      </c>
      <c r="E73" s="255">
        <v>74</v>
      </c>
      <c r="F73" s="257">
        <f>VLOOKUP(A73,Estimate!A:Q,17,FALSE)</f>
        <v>6526.5</v>
      </c>
      <c r="G73" s="266"/>
      <c r="H73" s="266"/>
      <c r="I73" s="266"/>
      <c r="J73" s="266"/>
      <c r="K73" s="266"/>
      <c r="L73" s="266"/>
      <c r="M73" s="266"/>
      <c r="N73" s="266"/>
      <c r="O73" s="266"/>
      <c r="P73" s="266"/>
    </row>
    <row r="74" spans="1:16" x14ac:dyDescent="0.25">
      <c r="A74" s="167">
        <v>75</v>
      </c>
      <c r="B74" s="252" t="str">
        <f>VLOOKUP(A74,Estimate!A:C,3,FALSE)</f>
        <v>Culvert 6P - 1200 x 450 (4.8m)</v>
      </c>
      <c r="C74" s="251">
        <f>VLOOKUP(A74,Estimate!A:L,12,FALSE)</f>
        <v>1</v>
      </c>
      <c r="D74" s="255" t="s">
        <v>1384</v>
      </c>
      <c r="E74" s="255">
        <v>75</v>
      </c>
      <c r="F74" s="257">
        <f>VLOOKUP(A74,Estimate!A:Q,17,FALSE)</f>
        <v>4074.5</v>
      </c>
      <c r="G74" s="266"/>
      <c r="H74" s="266"/>
      <c r="I74" s="266"/>
      <c r="J74" s="266"/>
      <c r="K74" s="266"/>
      <c r="L74" s="266"/>
      <c r="M74" s="266"/>
      <c r="N74" s="266"/>
      <c r="O74" s="266"/>
      <c r="P74" s="266"/>
    </row>
    <row r="75" spans="1:16" x14ac:dyDescent="0.25">
      <c r="A75" s="167">
        <v>76</v>
      </c>
      <c r="B75" s="252" t="str">
        <f>VLOOKUP(A75,Estimate!A:C,3,FALSE)</f>
        <v>Culvert 6T - 1200 x 450 (6m)</v>
      </c>
      <c r="C75" s="251">
        <f>VLOOKUP(A75,Estimate!A:L,12,FALSE)</f>
        <v>1</v>
      </c>
      <c r="D75" s="255" t="s">
        <v>1386</v>
      </c>
      <c r="E75" s="255">
        <v>82</v>
      </c>
      <c r="F75" s="257">
        <f>VLOOKUP(A75,Estimate!A:Q,17,FALSE)</f>
        <v>5012</v>
      </c>
      <c r="G75" s="266"/>
      <c r="H75" s="266"/>
      <c r="I75" s="266"/>
      <c r="J75" s="266"/>
      <c r="K75" s="266"/>
      <c r="L75" s="266"/>
      <c r="M75" s="266"/>
      <c r="N75" s="266"/>
      <c r="O75" s="266"/>
      <c r="P75" s="266"/>
    </row>
    <row r="76" spans="1:16" x14ac:dyDescent="0.25">
      <c r="A76" s="167">
        <v>77</v>
      </c>
      <c r="B76" s="252" t="str">
        <f>VLOOKUP(A76,Estimate!A:C,3,FALSE)</f>
        <v>Culvert 4AA - 3/1200 x 450 (9.6m) Under Road</v>
      </c>
      <c r="C76" s="251">
        <f>VLOOKUP(A76,Estimate!A:L,12,FALSE)</f>
        <v>2</v>
      </c>
      <c r="D76" s="255" t="s">
        <v>1414</v>
      </c>
      <c r="E76" s="255">
        <v>83</v>
      </c>
      <c r="F76" s="257">
        <f>VLOOKUP(A76,Estimate!A:Q,17,FALSE)</f>
        <v>17957</v>
      </c>
      <c r="G76" s="266"/>
      <c r="H76" s="266"/>
      <c r="I76" s="266"/>
      <c r="J76" s="266"/>
      <c r="K76" s="266"/>
      <c r="L76" s="266"/>
      <c r="M76" s="266"/>
      <c r="N76" s="266"/>
      <c r="O76" s="266"/>
      <c r="P76" s="266"/>
    </row>
    <row r="77" spans="1:16" x14ac:dyDescent="0.25">
      <c r="A77" s="167">
        <v>78</v>
      </c>
      <c r="B77" s="252" t="str">
        <f>VLOOKUP(A77,Estimate!A:C,3,FALSE)</f>
        <v>Culvert 6B - 1200 x 450 (9.6m) Under Road</v>
      </c>
      <c r="C77" s="251">
        <f>VLOOKUP(A77,Estimate!A:L,12,FALSE)</f>
        <v>1</v>
      </c>
      <c r="D77" s="255" t="s">
        <v>1415</v>
      </c>
      <c r="E77" s="255">
        <v>78</v>
      </c>
      <c r="F77" s="257">
        <f>VLOOKUP(A77,Estimate!A:Q,17,FALSE)</f>
        <v>7500</v>
      </c>
      <c r="G77" s="266"/>
      <c r="H77" s="266"/>
      <c r="I77" s="266"/>
      <c r="J77" s="266"/>
      <c r="K77" s="266"/>
      <c r="L77" s="266"/>
      <c r="M77" s="266"/>
      <c r="N77" s="266"/>
      <c r="O77" s="266"/>
      <c r="P77" s="266"/>
    </row>
    <row r="78" spans="1:16" x14ac:dyDescent="0.25">
      <c r="A78" s="167">
        <v>79</v>
      </c>
      <c r="B78" s="252" t="str">
        <f>VLOOKUP(A78,Estimate!A:C,3,FALSE)</f>
        <v>Culvert 6V - 1200 x 450 (9.6m) Under Road</v>
      </c>
      <c r="C78" s="251">
        <f>VLOOKUP(A78,Estimate!A:L,12,FALSE)</f>
        <v>1</v>
      </c>
      <c r="D78" s="255" t="s">
        <v>1416</v>
      </c>
      <c r="E78" s="255">
        <v>85</v>
      </c>
      <c r="F78" s="257">
        <f>VLOOKUP(A78,Estimate!A:Q,17,FALSE)</f>
        <v>7500</v>
      </c>
      <c r="G78" s="266"/>
      <c r="H78" s="266"/>
      <c r="I78" s="266"/>
      <c r="J78" s="266"/>
      <c r="K78" s="266"/>
      <c r="L78" s="266"/>
      <c r="M78" s="266"/>
      <c r="N78" s="266"/>
      <c r="O78" s="266"/>
      <c r="P78" s="266"/>
    </row>
    <row r="79" spans="1:16" x14ac:dyDescent="0.25">
      <c r="A79" s="167">
        <v>80</v>
      </c>
      <c r="B79" s="252" t="str">
        <f>VLOOKUP(A79,Estimate!A:C,3,FALSE)</f>
        <v>RCBC - 1200 x 600</v>
      </c>
      <c r="C79" s="251">
        <f>VLOOKUP(A79,Estimate!A:L,12,FALSE)</f>
        <v>0</v>
      </c>
      <c r="D79" s="254"/>
      <c r="E79" s="255">
        <v>80</v>
      </c>
      <c r="F79" s="257"/>
      <c r="G79" s="266">
        <f>VLOOKUP($A79,'Budget &amp; Revenue'!$A:$AE,13,FALSE)</f>
        <v>0.35789473684210527</v>
      </c>
      <c r="H79" s="266">
        <f>VLOOKUP($A79,'Budget &amp; Revenue'!$A:$AE,15,FALSE)</f>
        <v>1</v>
      </c>
      <c r="I79" s="266">
        <f>VLOOKUP($A79,'Budget &amp; Revenue'!$A:$AE,17,FALSE)</f>
        <v>1</v>
      </c>
      <c r="J79" s="266">
        <f>VLOOKUP($A79,'Budget &amp; Revenue'!$A:$AE,19,FALSE)</f>
        <v>1</v>
      </c>
      <c r="K79" s="266">
        <f>VLOOKUP($A79,'Budget &amp; Revenue'!$A:$AE,21,FALSE)</f>
        <v>1</v>
      </c>
      <c r="L79" s="266">
        <f>VLOOKUP($A79,'Budget &amp; Revenue'!$A:$AE,23,FALSE)</f>
        <v>1</v>
      </c>
      <c r="M79" s="266">
        <f>VLOOKUP($A79,'Budget &amp; Revenue'!$A:$AE,25,FALSE)</f>
        <v>1</v>
      </c>
      <c r="N79" s="266">
        <f>VLOOKUP($A79,'Budget &amp; Revenue'!$A:$AE,27,FALSE)</f>
        <v>1</v>
      </c>
      <c r="O79" s="266">
        <f>VLOOKUP($A79,'Budget &amp; Revenue'!$A:$AE,29,FALSE)</f>
        <v>1</v>
      </c>
      <c r="P79" s="266">
        <f>VLOOKUP($A79,'Budget &amp; Revenue'!$A:$AE,31,FALSE)</f>
        <v>1</v>
      </c>
    </row>
    <row r="80" spans="1:16" x14ac:dyDescent="0.25">
      <c r="A80" s="167">
        <v>81</v>
      </c>
      <c r="B80" s="252" t="str">
        <f>VLOOKUP(A80,Estimate!A:C,3,FALSE)</f>
        <v>Culvert 6D - 3/1200 x 600 (6m)</v>
      </c>
      <c r="C80" s="251">
        <f>VLOOKUP(A80,Estimate!A:L,12,FALSE)</f>
        <v>1</v>
      </c>
      <c r="D80" s="255" t="s">
        <v>1417</v>
      </c>
      <c r="E80" s="255">
        <v>81</v>
      </c>
      <c r="F80" s="257">
        <f>VLOOKUP(A80,Estimate!A:Q,17,FALSE)</f>
        <v>11404.5</v>
      </c>
      <c r="G80" s="266"/>
      <c r="H80" s="266"/>
      <c r="I80" s="266"/>
      <c r="J80" s="266"/>
      <c r="K80" s="266"/>
      <c r="L80" s="266"/>
      <c r="M80" s="266"/>
      <c r="N80" s="266"/>
      <c r="O80" s="266"/>
      <c r="P80" s="266"/>
    </row>
    <row r="81" spans="1:16" x14ac:dyDescent="0.25">
      <c r="A81" s="167">
        <v>82</v>
      </c>
      <c r="B81" s="252" t="str">
        <f>VLOOKUP(A81,Estimate!A:C,3,FALSE)</f>
        <v>Culvert 6F - 2/1200 x 600 (6m)</v>
      </c>
      <c r="C81" s="251">
        <f>VLOOKUP(A81,Estimate!A:L,12,FALSE)</f>
        <v>1</v>
      </c>
      <c r="D81" s="255" t="s">
        <v>1382</v>
      </c>
      <c r="E81" s="255">
        <v>72</v>
      </c>
      <c r="F81" s="257">
        <f>VLOOKUP(A81,Estimate!A:Q,17,FALSE)</f>
        <v>8252</v>
      </c>
      <c r="G81" s="266"/>
      <c r="H81" s="266"/>
      <c r="I81" s="266"/>
      <c r="J81" s="266"/>
      <c r="K81" s="266"/>
      <c r="L81" s="266"/>
      <c r="M81" s="266"/>
      <c r="N81" s="266"/>
      <c r="O81" s="266"/>
      <c r="P81" s="266"/>
    </row>
    <row r="82" spans="1:16" x14ac:dyDescent="0.25">
      <c r="A82" s="167">
        <v>83</v>
      </c>
      <c r="B82" s="252" t="str">
        <f>VLOOKUP(A82,Estimate!A:C,3,FALSE)</f>
        <v>Culvert 4U 2/1200 x 600 (10.8m) Under Road</v>
      </c>
      <c r="C82" s="251">
        <f>VLOOKUP(A82,Estimate!A:L,12,FALSE)</f>
        <v>2</v>
      </c>
      <c r="D82" s="255" t="s">
        <v>1418</v>
      </c>
      <c r="E82" s="255">
        <v>76</v>
      </c>
      <c r="F82" s="257">
        <f>VLOOKUP(A82,Estimate!A:Q,17,FALSE)</f>
        <v>26159.333333333332</v>
      </c>
      <c r="G82" s="266"/>
      <c r="H82" s="266"/>
      <c r="I82" s="266"/>
      <c r="J82" s="266"/>
      <c r="K82" s="266"/>
      <c r="L82" s="266"/>
      <c r="M82" s="266"/>
      <c r="N82" s="266"/>
      <c r="O82" s="266"/>
      <c r="P82" s="266"/>
    </row>
    <row r="83" spans="1:16" x14ac:dyDescent="0.25">
      <c r="A83" s="167">
        <v>84</v>
      </c>
      <c r="B83" s="252" t="str">
        <f>VLOOKUP(A83,Estimate!A:C,3,FALSE)</f>
        <v>Culvert 5D - 2/1200 x 600 ((.6m) Under Road</v>
      </c>
      <c r="C83" s="251">
        <f>VLOOKUP(A83,Estimate!A:L,12,FALSE)</f>
        <v>1</v>
      </c>
      <c r="D83" s="255" t="s">
        <v>1419</v>
      </c>
      <c r="E83" s="255">
        <v>84</v>
      </c>
      <c r="F83" s="257">
        <f>VLOOKUP(A83,Estimate!A:Q,17,FALSE)</f>
        <v>8252</v>
      </c>
      <c r="G83" s="266"/>
      <c r="H83" s="266"/>
      <c r="I83" s="266"/>
      <c r="J83" s="266"/>
      <c r="K83" s="266"/>
      <c r="L83" s="266"/>
      <c r="M83" s="266"/>
      <c r="N83" s="266"/>
      <c r="O83" s="266"/>
      <c r="P83" s="266"/>
    </row>
    <row r="84" spans="1:16" x14ac:dyDescent="0.25">
      <c r="A84" s="167">
        <v>85</v>
      </c>
      <c r="B84" s="252" t="str">
        <f>VLOOKUP(A84,Estimate!A:C,3,FALSE)</f>
        <v>Culvert 5M - 4/1200 x 600 (10.8m) Under Road</v>
      </c>
      <c r="C84" s="251">
        <f>VLOOKUP(A84,Estimate!A:L,12,FALSE)</f>
        <v>2</v>
      </c>
      <c r="D84" s="255" t="s">
        <v>1385</v>
      </c>
      <c r="E84" s="255">
        <v>77</v>
      </c>
      <c r="F84" s="257">
        <f>VLOOKUP(A84,Estimate!A:Q,17,FALSE)</f>
        <v>25943</v>
      </c>
      <c r="G84" s="266"/>
      <c r="H84" s="266"/>
      <c r="I84" s="266"/>
      <c r="J84" s="266"/>
      <c r="K84" s="266"/>
      <c r="L84" s="266"/>
      <c r="M84" s="266"/>
      <c r="N84" s="266"/>
      <c r="O84" s="266"/>
      <c r="P84" s="266"/>
    </row>
    <row r="85" spans="1:16" x14ac:dyDescent="0.25">
      <c r="A85" s="167">
        <v>86</v>
      </c>
      <c r="B85" s="252" t="str">
        <f>VLOOKUP(A85,Estimate!A:C,3,FALSE)</f>
        <v>Cast in situ headwalls</v>
      </c>
      <c r="C85" s="251">
        <f>VLOOKUP(A85,Estimate!A:L,12,FALSE)</f>
        <v>4</v>
      </c>
      <c r="D85" s="255" t="s">
        <v>1420</v>
      </c>
      <c r="E85" s="256">
        <v>93115</v>
      </c>
      <c r="F85" s="257">
        <f>VLOOKUP(A85,Estimate!A:Q,17,FALSE)</f>
        <v>21000</v>
      </c>
      <c r="G85" s="266">
        <f>VLOOKUP($A85,'Budget &amp; Revenue'!$A:$AE,13,FALSE)</f>
        <v>0</v>
      </c>
      <c r="H85" s="266">
        <f>VLOOKUP($A85,'Budget &amp; Revenue'!$A:$AE,15,FALSE)</f>
        <v>0</v>
      </c>
      <c r="I85" s="266">
        <f>VLOOKUP($A85,'Budget &amp; Revenue'!$A:$AE,17,FALSE)</f>
        <v>0.8</v>
      </c>
      <c r="J85" s="266">
        <f>VLOOKUP($A85,'Budget &amp; Revenue'!$A:$AE,19,FALSE)</f>
        <v>1</v>
      </c>
      <c r="K85" s="266">
        <f>VLOOKUP($A85,'Budget &amp; Revenue'!$A:$AE,21,FALSE)</f>
        <v>1</v>
      </c>
      <c r="L85" s="266">
        <f>VLOOKUP($A85,'Budget &amp; Revenue'!$A:$AE,23,FALSE)</f>
        <v>1</v>
      </c>
      <c r="M85" s="266">
        <f>VLOOKUP($A85,'Budget &amp; Revenue'!$A:$AE,25,FALSE)</f>
        <v>1</v>
      </c>
      <c r="N85" s="266">
        <f>VLOOKUP($A85,'Budget &amp; Revenue'!$A:$AE,27,FALSE)</f>
        <v>1</v>
      </c>
      <c r="O85" s="266">
        <f>VLOOKUP($A85,'Budget &amp; Revenue'!$A:$AE,29,FALSE)</f>
        <v>1</v>
      </c>
      <c r="P85" s="266">
        <f>VLOOKUP($A85,'Budget &amp; Revenue'!$A:$AE,31,FALSE)</f>
        <v>1</v>
      </c>
    </row>
    <row r="86" spans="1:16" x14ac:dyDescent="0.25">
      <c r="A86" s="167">
        <v>87</v>
      </c>
      <c r="B86" s="252" t="str">
        <f>VLOOKUP(A86,Estimate!A:C,3,FALSE)</f>
        <v>375 HW</v>
      </c>
      <c r="C86" s="251">
        <f>VLOOKUP(A86,Estimate!A:L,12,FALSE)</f>
        <v>1</v>
      </c>
      <c r="D86" s="255">
        <v>50</v>
      </c>
      <c r="E86" s="255">
        <v>87</v>
      </c>
      <c r="F86" s="257">
        <f>VLOOKUP(A86,Estimate!A:Q,17,FALSE)</f>
        <v>621</v>
      </c>
      <c r="G86" s="266">
        <f>VLOOKUP($A86,'Budget &amp; Revenue'!$A:$AE,13,FALSE)</f>
        <v>0</v>
      </c>
      <c r="H86" s="266">
        <f>VLOOKUP($A86,'Budget &amp; Revenue'!$A:$AE,15,FALSE)</f>
        <v>0</v>
      </c>
      <c r="I86" s="266">
        <f>VLOOKUP($A86,'Budget &amp; Revenue'!$A:$AE,17,FALSE)</f>
        <v>1</v>
      </c>
      <c r="J86" s="266">
        <f>VLOOKUP($A86,'Budget &amp; Revenue'!$A:$AE,19,FALSE)</f>
        <v>1</v>
      </c>
      <c r="K86" s="266">
        <f>VLOOKUP($A86,'Budget &amp; Revenue'!$A:$AE,21,FALSE)</f>
        <v>1</v>
      </c>
      <c r="L86" s="266">
        <f>VLOOKUP($A86,'Budget &amp; Revenue'!$A:$AE,23,FALSE)</f>
        <v>1</v>
      </c>
      <c r="M86" s="266">
        <f>VLOOKUP($A86,'Budget &amp; Revenue'!$A:$AE,25,FALSE)</f>
        <v>1</v>
      </c>
      <c r="N86" s="266">
        <f>VLOOKUP($A86,'Budget &amp; Revenue'!$A:$AE,27,FALSE)</f>
        <v>1</v>
      </c>
      <c r="O86" s="266">
        <f>VLOOKUP($A86,'Budget &amp; Revenue'!$A:$AE,29,FALSE)</f>
        <v>1</v>
      </c>
      <c r="P86" s="266">
        <f>VLOOKUP($A86,'Budget &amp; Revenue'!$A:$AE,31,FALSE)</f>
        <v>1</v>
      </c>
    </row>
    <row r="87" spans="1:16" x14ac:dyDescent="0.25">
      <c r="A87" s="167">
        <v>88</v>
      </c>
      <c r="B87" s="252" t="str">
        <f>VLOOKUP(A87,Estimate!A:C,3,FALSE)</f>
        <v>375 Sloping HW</v>
      </c>
      <c r="C87" s="251">
        <f>VLOOKUP(A87,Estimate!A:L,12,FALSE)</f>
        <v>2</v>
      </c>
      <c r="D87" s="255">
        <v>86</v>
      </c>
      <c r="E87" s="255">
        <v>88</v>
      </c>
      <c r="F87" s="257">
        <f>VLOOKUP(A87,Estimate!A:Q,17,FALSE)</f>
        <v>15948</v>
      </c>
      <c r="G87" s="266">
        <f>VLOOKUP($A87,'Budget &amp; Revenue'!$A:$AE,13,FALSE)</f>
        <v>1</v>
      </c>
      <c r="H87" s="266">
        <f>VLOOKUP($A87,'Budget &amp; Revenue'!$A:$AE,15,FALSE)</f>
        <v>1</v>
      </c>
      <c r="I87" s="266">
        <f>VLOOKUP($A87,'Budget &amp; Revenue'!$A:$AE,17,FALSE)</f>
        <v>1</v>
      </c>
      <c r="J87" s="266">
        <f>VLOOKUP($A87,'Budget &amp; Revenue'!$A:$AE,19,FALSE)</f>
        <v>1</v>
      </c>
      <c r="K87" s="266">
        <f>VLOOKUP($A87,'Budget &amp; Revenue'!$A:$AE,21,FALSE)</f>
        <v>1</v>
      </c>
      <c r="L87" s="266">
        <f>VLOOKUP($A87,'Budget &amp; Revenue'!$A:$AE,23,FALSE)</f>
        <v>1</v>
      </c>
      <c r="M87" s="266">
        <f>VLOOKUP($A87,'Budget &amp; Revenue'!$A:$AE,25,FALSE)</f>
        <v>1</v>
      </c>
      <c r="N87" s="266">
        <f>VLOOKUP($A87,'Budget &amp; Revenue'!$A:$AE,27,FALSE)</f>
        <v>1</v>
      </c>
      <c r="O87" s="266">
        <f>VLOOKUP($A87,'Budget &amp; Revenue'!$A:$AE,29,FALSE)</f>
        <v>1</v>
      </c>
      <c r="P87" s="266">
        <f>VLOOKUP($A87,'Budget &amp; Revenue'!$A:$AE,31,FALSE)</f>
        <v>1</v>
      </c>
    </row>
    <row r="88" spans="1:16" x14ac:dyDescent="0.25">
      <c r="A88" s="167">
        <v>89</v>
      </c>
      <c r="B88" s="252" t="str">
        <f>VLOOKUP(A88,Estimate!A:C,3,FALSE)</f>
        <v>450 Sloping HW</v>
      </c>
      <c r="C88" s="251">
        <f>VLOOKUP(A88,Estimate!A:L,12,FALSE)</f>
        <v>3</v>
      </c>
      <c r="D88" s="255" t="s">
        <v>1421</v>
      </c>
      <c r="E88" s="255" t="s">
        <v>1422</v>
      </c>
      <c r="F88" s="257">
        <f>VLOOKUP(A88,Estimate!A:Q,17,FALSE)</f>
        <v>18120</v>
      </c>
      <c r="G88" s="266">
        <f>VLOOKUP($A88,'Budget &amp; Revenue'!$A:$AE,13,FALSE)</f>
        <v>0.5</v>
      </c>
      <c r="H88" s="266">
        <f>VLOOKUP($A88,'Budget &amp; Revenue'!$A:$AE,15,FALSE)</f>
        <v>1</v>
      </c>
      <c r="I88" s="266">
        <f>VLOOKUP($A88,'Budget &amp; Revenue'!$A:$AE,17,FALSE)</f>
        <v>1</v>
      </c>
      <c r="J88" s="266">
        <f>VLOOKUP($A88,'Budget &amp; Revenue'!$A:$AE,19,FALSE)</f>
        <v>1</v>
      </c>
      <c r="K88" s="266">
        <f>VLOOKUP($A88,'Budget &amp; Revenue'!$A:$AE,21,FALSE)</f>
        <v>1</v>
      </c>
      <c r="L88" s="266">
        <f>VLOOKUP($A88,'Budget &amp; Revenue'!$A:$AE,23,FALSE)</f>
        <v>1</v>
      </c>
      <c r="M88" s="266">
        <f>VLOOKUP($A88,'Budget &amp; Revenue'!$A:$AE,25,FALSE)</f>
        <v>1</v>
      </c>
      <c r="N88" s="266">
        <f>VLOOKUP($A88,'Budget &amp; Revenue'!$A:$AE,27,FALSE)</f>
        <v>1</v>
      </c>
      <c r="O88" s="266">
        <f>VLOOKUP($A88,'Budget &amp; Revenue'!$A:$AE,29,FALSE)</f>
        <v>1</v>
      </c>
      <c r="P88" s="266">
        <f>VLOOKUP($A88,'Budget &amp; Revenue'!$A:$AE,31,FALSE)</f>
        <v>1</v>
      </c>
    </row>
    <row r="89" spans="1:16" x14ac:dyDescent="0.25">
      <c r="A89" s="167">
        <v>90</v>
      </c>
      <c r="B89" s="252" t="str">
        <f>VLOOKUP(A89,Estimate!A:C,3,FALSE)</f>
        <v>B1 Kerb</v>
      </c>
      <c r="C89" s="251">
        <f>VLOOKUP(A89,Estimate!A:L,12,FALSE)</f>
        <v>1</v>
      </c>
      <c r="D89" s="255" t="s">
        <v>1423</v>
      </c>
      <c r="E89" s="255">
        <v>90</v>
      </c>
      <c r="F89" s="257">
        <f>VLOOKUP(A89,Estimate!A:Q,17,FALSE)</f>
        <v>3994.1525581395349</v>
      </c>
      <c r="G89" s="266">
        <f>VLOOKUP($A89,'Budget &amp; Revenue'!$A:$AE,13,FALSE)</f>
        <v>0</v>
      </c>
      <c r="H89" s="266">
        <f>VLOOKUP($A89,'Budget &amp; Revenue'!$A:$AE,15,FALSE)</f>
        <v>1</v>
      </c>
      <c r="I89" s="266">
        <f>VLOOKUP($A89,'Budget &amp; Revenue'!$A:$AE,17,FALSE)</f>
        <v>1</v>
      </c>
      <c r="J89" s="266">
        <f>VLOOKUP($A89,'Budget &amp; Revenue'!$A:$AE,19,FALSE)</f>
        <v>1</v>
      </c>
      <c r="K89" s="266">
        <f>VLOOKUP($A89,'Budget &amp; Revenue'!$A:$AE,21,FALSE)</f>
        <v>1</v>
      </c>
      <c r="L89" s="266">
        <f>VLOOKUP($A89,'Budget &amp; Revenue'!$A:$AE,23,FALSE)</f>
        <v>1</v>
      </c>
      <c r="M89" s="266">
        <f>VLOOKUP($A89,'Budget &amp; Revenue'!$A:$AE,25,FALSE)</f>
        <v>1</v>
      </c>
      <c r="N89" s="266">
        <f>VLOOKUP($A89,'Budget &amp; Revenue'!$A:$AE,27,FALSE)</f>
        <v>1</v>
      </c>
      <c r="O89" s="266">
        <f>VLOOKUP($A89,'Budget &amp; Revenue'!$A:$AE,29,FALSE)</f>
        <v>1</v>
      </c>
      <c r="P89" s="266">
        <f>VLOOKUP($A89,'Budget &amp; Revenue'!$A:$AE,31,FALSE)</f>
        <v>1</v>
      </c>
    </row>
    <row r="90" spans="1:16" x14ac:dyDescent="0.25">
      <c r="A90" s="167">
        <v>91</v>
      </c>
      <c r="B90" s="252" t="str">
        <f>VLOOKUP(A90,Estimate!A:C,3,FALSE)</f>
        <v>SM5 Kerb</v>
      </c>
      <c r="C90" s="251">
        <f>VLOOKUP(A90,Estimate!A:L,12,FALSE)</f>
        <v>1</v>
      </c>
      <c r="D90" s="255">
        <v>89</v>
      </c>
      <c r="E90" s="255">
        <v>94</v>
      </c>
      <c r="F90" s="257">
        <f>VLOOKUP(A90,Estimate!A:Q,17,FALSE)</f>
        <v>4351.8966666666665</v>
      </c>
      <c r="G90" s="266">
        <f>VLOOKUP($A90,'Budget &amp; Revenue'!$A:$AE,13,FALSE)</f>
        <v>0</v>
      </c>
      <c r="H90" s="266">
        <f>VLOOKUP($A90,'Budget &amp; Revenue'!$A:$AE,15,FALSE)</f>
        <v>0</v>
      </c>
      <c r="I90" s="266">
        <f>VLOOKUP($A90,'Budget &amp; Revenue'!$A:$AE,17,FALSE)</f>
        <v>1</v>
      </c>
      <c r="J90" s="266">
        <f>VLOOKUP($A90,'Budget &amp; Revenue'!$A:$AE,19,FALSE)</f>
        <v>1</v>
      </c>
      <c r="K90" s="266">
        <f>VLOOKUP($A90,'Budget &amp; Revenue'!$A:$AE,21,FALSE)</f>
        <v>1</v>
      </c>
      <c r="L90" s="266">
        <f>VLOOKUP($A90,'Budget &amp; Revenue'!$A:$AE,23,FALSE)</f>
        <v>1</v>
      </c>
      <c r="M90" s="266">
        <f>VLOOKUP($A90,'Budget &amp; Revenue'!$A:$AE,25,FALSE)</f>
        <v>1</v>
      </c>
      <c r="N90" s="266">
        <f>VLOOKUP($A90,'Budget &amp; Revenue'!$A:$AE,27,FALSE)</f>
        <v>1</v>
      </c>
      <c r="O90" s="266">
        <f>VLOOKUP($A90,'Budget &amp; Revenue'!$A:$AE,29,FALSE)</f>
        <v>1</v>
      </c>
      <c r="P90" s="266">
        <f>VLOOKUP($A90,'Budget &amp; Revenue'!$A:$AE,31,FALSE)</f>
        <v>1</v>
      </c>
    </row>
    <row r="91" spans="1:16" x14ac:dyDescent="0.25">
      <c r="A91" s="167">
        <v>92</v>
      </c>
      <c r="B91" s="252" t="str">
        <f>VLOOKUP(A91,Estimate!A:C,3,FALSE)</f>
        <v>Sub-soil</v>
      </c>
      <c r="C91" s="251">
        <f>VLOOKUP(A91,Estimate!A:L,12,FALSE)</f>
        <v>16</v>
      </c>
      <c r="D91" s="255">
        <v>93</v>
      </c>
      <c r="E91" s="255" t="s">
        <v>1424</v>
      </c>
      <c r="F91" s="257">
        <f>VLOOKUP(A91,Estimate!A:Q,17,FALSE)</f>
        <v>59161.798451845185</v>
      </c>
      <c r="G91" s="266">
        <f>VLOOKUP($A91,'Budget &amp; Revenue'!$A:$AE,13,FALSE)</f>
        <v>0</v>
      </c>
      <c r="H91" s="266">
        <f>VLOOKUP($A91,'Budget &amp; Revenue'!$A:$AE,15,FALSE)</f>
        <v>1</v>
      </c>
      <c r="I91" s="266">
        <f>VLOOKUP($A91,'Budget &amp; Revenue'!$A:$AE,17,FALSE)</f>
        <v>1</v>
      </c>
      <c r="J91" s="266">
        <f>VLOOKUP($A91,'Budget &amp; Revenue'!$A:$AE,19,FALSE)</f>
        <v>1</v>
      </c>
      <c r="K91" s="266">
        <f>VLOOKUP($A91,'Budget &amp; Revenue'!$A:$AE,21,FALSE)</f>
        <v>1</v>
      </c>
      <c r="L91" s="266">
        <f>VLOOKUP($A91,'Budget &amp; Revenue'!$A:$AE,23,FALSE)</f>
        <v>1</v>
      </c>
      <c r="M91" s="266">
        <f>VLOOKUP($A91,'Budget &amp; Revenue'!$A:$AE,25,FALSE)</f>
        <v>1</v>
      </c>
      <c r="N91" s="266">
        <f>VLOOKUP($A91,'Budget &amp; Revenue'!$A:$AE,27,FALSE)</f>
        <v>1</v>
      </c>
      <c r="O91" s="266">
        <f>VLOOKUP($A91,'Budget &amp; Revenue'!$A:$AE,29,FALSE)</f>
        <v>1</v>
      </c>
      <c r="P91" s="266">
        <f>VLOOKUP($A91,'Budget &amp; Revenue'!$A:$AE,31,FALSE)</f>
        <v>1</v>
      </c>
    </row>
    <row r="92" spans="1:16" x14ac:dyDescent="0.25">
      <c r="A92" s="167">
        <v>93</v>
      </c>
      <c r="B92" s="252" t="str">
        <f>VLOOKUP(A92,Estimate!A:C,3,FALSE)</f>
        <v>PAVEMENTS</v>
      </c>
      <c r="C92" s="251">
        <f>VLOOKUP(A92,Estimate!A:L,12,FALSE)</f>
        <v>0</v>
      </c>
      <c r="D92" s="254"/>
      <c r="E92" s="254"/>
      <c r="F92" s="257"/>
      <c r="G92" s="266" t="str">
        <f>VLOOKUP($A92,'Budget &amp; Revenue'!$A:$AE,13,FALSE)</f>
        <v xml:space="preserve"> </v>
      </c>
      <c r="H92" s="266" t="str">
        <f>VLOOKUP($A92,'Budget &amp; Revenue'!$A:$AE,15,FALSE)</f>
        <v xml:space="preserve"> </v>
      </c>
      <c r="I92" s="266" t="str">
        <f>VLOOKUP($A92,'Budget &amp; Revenue'!$A:$AE,17,FALSE)</f>
        <v xml:space="preserve"> </v>
      </c>
      <c r="J92" s="266" t="str">
        <f>VLOOKUP($A92,'Budget &amp; Revenue'!$A:$AE,19,FALSE)</f>
        <v xml:space="preserve"> </v>
      </c>
      <c r="K92" s="266" t="str">
        <f>VLOOKUP($A92,'Budget &amp; Revenue'!$A:$AE,21,FALSE)</f>
        <v xml:space="preserve"> </v>
      </c>
      <c r="L92" s="266" t="str">
        <f>VLOOKUP($A92,'Budget &amp; Revenue'!$A:$AE,23,FALSE)</f>
        <v xml:space="preserve"> </v>
      </c>
      <c r="M92" s="266" t="str">
        <f>VLOOKUP($A92,'Budget &amp; Revenue'!$A:$AE,25,FALSE)</f>
        <v xml:space="preserve"> </v>
      </c>
      <c r="N92" s="266" t="str">
        <f>VLOOKUP($A92,'Budget &amp; Revenue'!$A:$AE,27,FALSE)</f>
        <v xml:space="preserve"> </v>
      </c>
      <c r="O92" s="266" t="str">
        <f>VLOOKUP($A92,'Budget &amp; Revenue'!$A:$AE,29,FALSE)</f>
        <v xml:space="preserve"> </v>
      </c>
      <c r="P92" s="266" t="str">
        <f>VLOOKUP($A92,'Budget &amp; Revenue'!$A:$AE,31,FALSE)</f>
        <v xml:space="preserve"> </v>
      </c>
    </row>
    <row r="93" spans="1:16" x14ac:dyDescent="0.25">
      <c r="A93" s="167">
        <v>94</v>
      </c>
      <c r="B93" s="252" t="str">
        <f>VLOOKUP(A93,Estimate!A:C,3,FALSE)</f>
        <v>Place only 2.3</v>
      </c>
      <c r="C93" s="251">
        <f>VLOOKUP(A93,Estimate!A:L,12,FALSE)</f>
        <v>7</v>
      </c>
      <c r="D93" s="255" t="s">
        <v>1425</v>
      </c>
      <c r="E93" s="255">
        <v>91</v>
      </c>
      <c r="F93" s="257">
        <f>VLOOKUP(A93,Estimate!A:Q,17,FALSE)</f>
        <v>52163.00630063007</v>
      </c>
      <c r="G93" s="266">
        <f>VLOOKUP($A93,'Budget &amp; Revenue'!$A:$AE,13,FALSE)</f>
        <v>0</v>
      </c>
      <c r="H93" s="266">
        <f>VLOOKUP($A93,'Budget &amp; Revenue'!$A:$AE,15,FALSE)</f>
        <v>1</v>
      </c>
      <c r="I93" s="266">
        <f>VLOOKUP($A93,'Budget &amp; Revenue'!$A:$AE,17,FALSE)</f>
        <v>1</v>
      </c>
      <c r="J93" s="266">
        <f>VLOOKUP($A93,'Budget &amp; Revenue'!$A:$AE,19,FALSE)</f>
        <v>1</v>
      </c>
      <c r="K93" s="266">
        <f>VLOOKUP($A93,'Budget &amp; Revenue'!$A:$AE,21,FALSE)</f>
        <v>1</v>
      </c>
      <c r="L93" s="266">
        <f>VLOOKUP($A93,'Budget &amp; Revenue'!$A:$AE,23,FALSE)</f>
        <v>1</v>
      </c>
      <c r="M93" s="266">
        <f>VLOOKUP($A93,'Budget &amp; Revenue'!$A:$AE,25,FALSE)</f>
        <v>1</v>
      </c>
      <c r="N93" s="266">
        <f>VLOOKUP($A93,'Budget &amp; Revenue'!$A:$AE,27,FALSE)</f>
        <v>1</v>
      </c>
      <c r="O93" s="266">
        <f>VLOOKUP($A93,'Budget &amp; Revenue'!$A:$AE,29,FALSE)</f>
        <v>1</v>
      </c>
      <c r="P93" s="266">
        <f>VLOOKUP($A93,'Budget &amp; Revenue'!$A:$AE,31,FALSE)</f>
        <v>1</v>
      </c>
    </row>
    <row r="94" spans="1:16" x14ac:dyDescent="0.25">
      <c r="A94" s="167">
        <v>96</v>
      </c>
      <c r="B94" s="252" t="str">
        <f>VLOOKUP(A94,Estimate!A:C,3,FALSE)</f>
        <v>Place Only 2.1</v>
      </c>
      <c r="C94" s="251">
        <f>VLOOKUP(A94,Estimate!A:L,12,FALSE)</f>
        <v>10</v>
      </c>
      <c r="D94" s="255">
        <v>90</v>
      </c>
      <c r="E94" s="255">
        <v>95</v>
      </c>
      <c r="F94" s="257">
        <f>VLOOKUP(A94,Estimate!A:Q,17,FALSE)</f>
        <v>63885.87997266803</v>
      </c>
      <c r="G94" s="266">
        <f>VLOOKUP($A94,'Budget &amp; Revenue'!$A:$AE,13,FALSE)</f>
        <v>0</v>
      </c>
      <c r="H94" s="266">
        <f>VLOOKUP($A94,'Budget &amp; Revenue'!$A:$AE,15,FALSE)</f>
        <v>1</v>
      </c>
      <c r="I94" s="266">
        <f>VLOOKUP($A94,'Budget &amp; Revenue'!$A:$AE,17,FALSE)</f>
        <v>1</v>
      </c>
      <c r="J94" s="266">
        <f>VLOOKUP($A94,'Budget &amp; Revenue'!$A:$AE,19,FALSE)</f>
        <v>1</v>
      </c>
      <c r="K94" s="266">
        <f>VLOOKUP($A94,'Budget &amp; Revenue'!$A:$AE,21,FALSE)</f>
        <v>1</v>
      </c>
      <c r="L94" s="266">
        <f>VLOOKUP($A94,'Budget &amp; Revenue'!$A:$AE,23,FALSE)</f>
        <v>1</v>
      </c>
      <c r="M94" s="266">
        <f>VLOOKUP($A94,'Budget &amp; Revenue'!$A:$AE,25,FALSE)</f>
        <v>1</v>
      </c>
      <c r="N94" s="266">
        <f>VLOOKUP($A94,'Budget &amp; Revenue'!$A:$AE,27,FALSE)</f>
        <v>1</v>
      </c>
      <c r="O94" s="266">
        <f>VLOOKUP($A94,'Budget &amp; Revenue'!$A:$AE,29,FALSE)</f>
        <v>1</v>
      </c>
      <c r="P94" s="266">
        <f>VLOOKUP($A94,'Budget &amp; Revenue'!$A:$AE,31,FALSE)</f>
        <v>1</v>
      </c>
    </row>
    <row r="95" spans="1:16" x14ac:dyDescent="0.25">
      <c r="A95" s="167">
        <v>97</v>
      </c>
      <c r="B95" s="252" t="str">
        <f>VLOOKUP(A95,Estimate!A:C,3,FALSE)</f>
        <v>First Coat AMC5</v>
      </c>
      <c r="C95" s="251">
        <f>VLOOKUP(A95,Estimate!A:L,12,FALSE)</f>
        <v>1</v>
      </c>
      <c r="D95" s="256">
        <v>94109</v>
      </c>
      <c r="E95" s="255" t="s">
        <v>1426</v>
      </c>
      <c r="F95" s="257">
        <f>VLOOKUP(A95,Estimate!A:Q,17,FALSE)</f>
        <v>39396</v>
      </c>
      <c r="G95" s="266">
        <f>VLOOKUP($A95,'Budget &amp; Revenue'!$A:$AE,13,FALSE)</f>
        <v>0</v>
      </c>
      <c r="H95" s="266">
        <f>VLOOKUP($A95,'Budget &amp; Revenue'!$A:$AE,15,FALSE)</f>
        <v>1</v>
      </c>
      <c r="I95" s="266">
        <f>VLOOKUP($A95,'Budget &amp; Revenue'!$A:$AE,17,FALSE)</f>
        <v>1</v>
      </c>
      <c r="J95" s="266">
        <f>VLOOKUP($A95,'Budget &amp; Revenue'!$A:$AE,19,FALSE)</f>
        <v>1</v>
      </c>
      <c r="K95" s="266">
        <f>VLOOKUP($A95,'Budget &amp; Revenue'!$A:$AE,21,FALSE)</f>
        <v>1</v>
      </c>
      <c r="L95" s="266">
        <f>VLOOKUP($A95,'Budget &amp; Revenue'!$A:$AE,23,FALSE)</f>
        <v>1</v>
      </c>
      <c r="M95" s="266">
        <f>VLOOKUP($A95,'Budget &amp; Revenue'!$A:$AE,25,FALSE)</f>
        <v>1</v>
      </c>
      <c r="N95" s="266">
        <f>VLOOKUP($A95,'Budget &amp; Revenue'!$A:$AE,27,FALSE)</f>
        <v>1</v>
      </c>
      <c r="O95" s="266">
        <f>VLOOKUP($A95,'Budget &amp; Revenue'!$A:$AE,29,FALSE)</f>
        <v>1</v>
      </c>
      <c r="P95" s="266">
        <f>VLOOKUP($A95,'Budget &amp; Revenue'!$A:$AE,31,FALSE)</f>
        <v>1</v>
      </c>
    </row>
    <row r="96" spans="1:16" x14ac:dyDescent="0.25">
      <c r="A96" s="167">
        <v>98</v>
      </c>
      <c r="B96" s="252" t="str">
        <f>VLOOKUP(A96,Estimate!A:C,3,FALSE)</f>
        <v>Second Coat</v>
      </c>
      <c r="C96" s="251">
        <f>VLOOKUP(A96,Estimate!A:L,12,FALSE)</f>
        <v>1</v>
      </c>
      <c r="D96" s="255" t="s">
        <v>1388</v>
      </c>
      <c r="E96" s="255" t="s">
        <v>1427</v>
      </c>
      <c r="F96" s="257">
        <f>VLOOKUP(A96,Estimate!A:Q,17,FALSE)</f>
        <v>78595.02</v>
      </c>
      <c r="G96" s="266">
        <f>VLOOKUP($A96,'Budget &amp; Revenue'!$A:$AE,13,FALSE)</f>
        <v>0</v>
      </c>
      <c r="H96" s="266">
        <f>VLOOKUP($A96,'Budget &amp; Revenue'!$A:$AE,15,FALSE)</f>
        <v>0</v>
      </c>
      <c r="I96" s="266">
        <f>VLOOKUP($A96,'Budget &amp; Revenue'!$A:$AE,17,FALSE)</f>
        <v>0</v>
      </c>
      <c r="J96" s="266">
        <f>VLOOKUP($A96,'Budget &amp; Revenue'!$A:$AE,19,FALSE)</f>
        <v>1</v>
      </c>
      <c r="K96" s="266">
        <f>VLOOKUP($A96,'Budget &amp; Revenue'!$A:$AE,21,FALSE)</f>
        <v>1</v>
      </c>
      <c r="L96" s="266">
        <f>VLOOKUP($A96,'Budget &amp; Revenue'!$A:$AE,23,FALSE)</f>
        <v>1</v>
      </c>
      <c r="M96" s="266">
        <f>VLOOKUP($A96,'Budget &amp; Revenue'!$A:$AE,25,FALSE)</f>
        <v>1</v>
      </c>
      <c r="N96" s="266">
        <f>VLOOKUP($A96,'Budget &amp; Revenue'!$A:$AE,27,FALSE)</f>
        <v>1</v>
      </c>
      <c r="O96" s="266">
        <f>VLOOKUP($A96,'Budget &amp; Revenue'!$A:$AE,29,FALSE)</f>
        <v>1</v>
      </c>
      <c r="P96" s="266">
        <f>VLOOKUP($A96,'Budget &amp; Revenue'!$A:$AE,31,FALSE)</f>
        <v>1</v>
      </c>
    </row>
    <row r="97" spans="1:16" x14ac:dyDescent="0.25">
      <c r="A97" s="167">
        <v>99</v>
      </c>
      <c r="B97" s="252" t="str">
        <f>VLOOKUP(A97,Estimate!A:C,3,FALSE)</f>
        <v>Pavement Markings - Longitudinal Lines</v>
      </c>
      <c r="C97" s="251">
        <f>VLOOKUP(A97,Estimate!A:L,12,FALSE)</f>
        <v>1</v>
      </c>
      <c r="D97" s="255" t="s">
        <v>1387</v>
      </c>
      <c r="E97" s="255">
        <v>98</v>
      </c>
      <c r="F97" s="257">
        <f>VLOOKUP(A97,Estimate!A:Q,17,FALSE)</f>
        <v>6808</v>
      </c>
      <c r="G97" s="266">
        <f>VLOOKUP($A97,'Budget &amp; Revenue'!$A:$AE,13,FALSE)</f>
        <v>0</v>
      </c>
      <c r="H97" s="266">
        <f>VLOOKUP($A97,'Budget &amp; Revenue'!$A:$AE,15,FALSE)</f>
        <v>0</v>
      </c>
      <c r="I97" s="266">
        <f>VLOOKUP($A97,'Budget &amp; Revenue'!$A:$AE,17,FALSE)</f>
        <v>0</v>
      </c>
      <c r="J97" s="266">
        <f>VLOOKUP($A97,'Budget &amp; Revenue'!$A:$AE,19,FALSE)</f>
        <v>0</v>
      </c>
      <c r="K97" s="266">
        <f>VLOOKUP($A97,'Budget &amp; Revenue'!$A:$AE,21,FALSE)</f>
        <v>0</v>
      </c>
      <c r="L97" s="266">
        <f>VLOOKUP($A97,'Budget &amp; Revenue'!$A:$AE,23,FALSE)</f>
        <v>1</v>
      </c>
      <c r="M97" s="266">
        <f>VLOOKUP($A97,'Budget &amp; Revenue'!$A:$AE,25,FALSE)</f>
        <v>1</v>
      </c>
      <c r="N97" s="266">
        <f>VLOOKUP($A97,'Budget &amp; Revenue'!$A:$AE,27,FALSE)</f>
        <v>1</v>
      </c>
      <c r="O97" s="266">
        <f>VLOOKUP($A97,'Budget &amp; Revenue'!$A:$AE,29,FALSE)</f>
        <v>1</v>
      </c>
      <c r="P97" s="266">
        <f>VLOOKUP($A97,'Budget &amp; Revenue'!$A:$AE,31,FALSE)</f>
        <v>1</v>
      </c>
    </row>
    <row r="98" spans="1:16" x14ac:dyDescent="0.25">
      <c r="A98" s="167">
        <v>100</v>
      </c>
      <c r="B98" s="252" t="str">
        <f>VLOOKUP(A98,Estimate!A:C,3,FALSE)</f>
        <v>Pavement Marking (Transverse etc)</v>
      </c>
      <c r="C98" s="251">
        <f>VLOOKUP(A98,Estimate!A:L,12,FALSE)</f>
        <v>1</v>
      </c>
      <c r="D98" s="255">
        <v>97</v>
      </c>
      <c r="E98" s="255">
        <v>106</v>
      </c>
      <c r="F98" s="257">
        <f>VLOOKUP(A98,Estimate!A:Q,17,FALSE)</f>
        <v>2000</v>
      </c>
      <c r="G98" s="266">
        <f>VLOOKUP($A98,'Budget &amp; Revenue'!$A:$AE,13,FALSE)</f>
        <v>0</v>
      </c>
      <c r="H98" s="266">
        <f>VLOOKUP($A98,'Budget &amp; Revenue'!$A:$AE,15,FALSE)</f>
        <v>0</v>
      </c>
      <c r="I98" s="266">
        <f>VLOOKUP($A98,'Budget &amp; Revenue'!$A:$AE,17,FALSE)</f>
        <v>0</v>
      </c>
      <c r="J98" s="266">
        <f>VLOOKUP($A98,'Budget &amp; Revenue'!$A:$AE,19,FALSE)</f>
        <v>0</v>
      </c>
      <c r="K98" s="266">
        <f>VLOOKUP($A98,'Budget &amp; Revenue'!$A:$AE,21,FALSE)</f>
        <v>0</v>
      </c>
      <c r="L98" s="266">
        <f>VLOOKUP($A98,'Budget &amp; Revenue'!$A:$AE,23,FALSE)</f>
        <v>1</v>
      </c>
      <c r="M98" s="266">
        <f>VLOOKUP($A98,'Budget &amp; Revenue'!$A:$AE,25,FALSE)</f>
        <v>1</v>
      </c>
      <c r="N98" s="266">
        <f>VLOOKUP($A98,'Budget &amp; Revenue'!$A:$AE,27,FALSE)</f>
        <v>1</v>
      </c>
      <c r="O98" s="266">
        <f>VLOOKUP($A98,'Budget &amp; Revenue'!$A:$AE,29,FALSE)</f>
        <v>1</v>
      </c>
      <c r="P98" s="266">
        <f>VLOOKUP($A98,'Budget &amp; Revenue'!$A:$AE,31,FALSE)</f>
        <v>1</v>
      </c>
    </row>
    <row r="99" spans="1:16" x14ac:dyDescent="0.25">
      <c r="A99" s="167">
        <v>101</v>
      </c>
      <c r="B99" s="252" t="str">
        <f>VLOOKUP(A99,Estimate!A:C,3,FALSE)</f>
        <v>Remove &amp; reinstate exisiting signs &amp; supports</v>
      </c>
      <c r="C99" s="251">
        <f>VLOOKUP(A99,Estimate!A:L,12,FALSE)</f>
        <v>2</v>
      </c>
      <c r="D99" s="255">
        <v>95</v>
      </c>
      <c r="E99" s="255">
        <v>100</v>
      </c>
      <c r="F99" s="257">
        <f>VLOOKUP(A99,Estimate!A:Q,17,FALSE)</f>
        <v>840</v>
      </c>
      <c r="G99" s="266">
        <f>VLOOKUP($A99,'Budget &amp; Revenue'!$A:$AE,13,FALSE)</f>
        <v>0</v>
      </c>
      <c r="H99" s="266">
        <f>VLOOKUP($A99,'Budget &amp; Revenue'!$A:$AE,15,FALSE)</f>
        <v>0</v>
      </c>
      <c r="I99" s="266">
        <f>VLOOKUP($A99,'Budget &amp; Revenue'!$A:$AE,17,FALSE)</f>
        <v>0</v>
      </c>
      <c r="J99" s="266">
        <f>VLOOKUP($A99,'Budget &amp; Revenue'!$A:$AE,19,FALSE)</f>
        <v>0</v>
      </c>
      <c r="K99" s="266">
        <f>VLOOKUP($A99,'Budget &amp; Revenue'!$A:$AE,21,FALSE)</f>
        <v>1</v>
      </c>
      <c r="L99" s="266">
        <f>VLOOKUP($A99,'Budget &amp; Revenue'!$A:$AE,23,FALSE)</f>
        <v>1</v>
      </c>
      <c r="M99" s="266">
        <f>VLOOKUP($A99,'Budget &amp; Revenue'!$A:$AE,25,FALSE)</f>
        <v>1</v>
      </c>
      <c r="N99" s="266">
        <f>VLOOKUP($A99,'Budget &amp; Revenue'!$A:$AE,27,FALSE)</f>
        <v>1</v>
      </c>
      <c r="O99" s="266">
        <f>VLOOKUP($A99,'Budget &amp; Revenue'!$A:$AE,29,FALSE)</f>
        <v>1</v>
      </c>
      <c r="P99" s="266">
        <f>VLOOKUP($A99,'Budget &amp; Revenue'!$A:$AE,31,FALSE)</f>
        <v>1</v>
      </c>
    </row>
    <row r="100" spans="1:16" x14ac:dyDescent="0.25">
      <c r="A100" s="167">
        <v>102</v>
      </c>
      <c r="B100" s="252" t="str">
        <f>VLOOKUP(A100,Estimate!A:C,3,FALSE)</f>
        <v>Supply &amp; Install all signs complete</v>
      </c>
      <c r="C100" s="251">
        <f>VLOOKUP(A100,Estimate!A:L,12,FALSE)</f>
        <v>2</v>
      </c>
      <c r="D100" s="255">
        <v>99</v>
      </c>
      <c r="E100" s="255">
        <v>101</v>
      </c>
      <c r="F100" s="257">
        <f>VLOOKUP(A100,Estimate!A:Q,17,FALSE)</f>
        <v>5804.5</v>
      </c>
      <c r="G100" s="266">
        <f>VLOOKUP($A100,'Budget &amp; Revenue'!$A:$AE,13,FALSE)</f>
        <v>0</v>
      </c>
      <c r="H100" s="266">
        <f>VLOOKUP($A100,'Budget &amp; Revenue'!$A:$AE,15,FALSE)</f>
        <v>0</v>
      </c>
      <c r="I100" s="266">
        <f>VLOOKUP($A100,'Budget &amp; Revenue'!$A:$AE,17,FALSE)</f>
        <v>0</v>
      </c>
      <c r="J100" s="266">
        <f>VLOOKUP($A100,'Budget &amp; Revenue'!$A:$AE,19,FALSE)</f>
        <v>0</v>
      </c>
      <c r="K100" s="266">
        <f>VLOOKUP($A100,'Budget &amp; Revenue'!$A:$AE,21,FALSE)</f>
        <v>0.96153846153846156</v>
      </c>
      <c r="L100" s="266">
        <f>VLOOKUP($A100,'Budget &amp; Revenue'!$A:$AE,23,FALSE)</f>
        <v>1</v>
      </c>
      <c r="M100" s="266">
        <f>VLOOKUP($A100,'Budget &amp; Revenue'!$A:$AE,25,FALSE)</f>
        <v>1</v>
      </c>
      <c r="N100" s="266">
        <f>VLOOKUP($A100,'Budget &amp; Revenue'!$A:$AE,27,FALSE)</f>
        <v>1</v>
      </c>
      <c r="O100" s="266">
        <f>VLOOKUP($A100,'Budget &amp; Revenue'!$A:$AE,29,FALSE)</f>
        <v>1</v>
      </c>
      <c r="P100" s="266">
        <f>VLOOKUP($A100,'Budget &amp; Revenue'!$A:$AE,31,FALSE)</f>
        <v>1</v>
      </c>
    </row>
    <row r="101" spans="1:16" x14ac:dyDescent="0.25">
      <c r="A101" s="167">
        <v>103</v>
      </c>
      <c r="B101" s="252" t="str">
        <f>VLOOKUP(A101,Estimate!A:C,3,FALSE)</f>
        <v>Guide Posts</v>
      </c>
      <c r="C101" s="251">
        <f>VLOOKUP(A101,Estimate!A:L,12,FALSE)</f>
        <v>3</v>
      </c>
      <c r="D101" s="255">
        <v>100</v>
      </c>
      <c r="E101" s="255">
        <v>106</v>
      </c>
      <c r="F101" s="257">
        <f>VLOOKUP(A101,Estimate!A:Q,17,FALSE)</f>
        <v>4585</v>
      </c>
      <c r="G101" s="266">
        <f>VLOOKUP($A101,'Budget &amp; Revenue'!$A:$AE,13,FALSE)</f>
        <v>0</v>
      </c>
      <c r="H101" s="266">
        <f>VLOOKUP($A101,'Budget &amp; Revenue'!$A:$AE,15,FALSE)</f>
        <v>0</v>
      </c>
      <c r="I101" s="266">
        <f>VLOOKUP($A101,'Budget &amp; Revenue'!$A:$AE,17,FALSE)</f>
        <v>0</v>
      </c>
      <c r="J101" s="266">
        <f>VLOOKUP($A101,'Budget &amp; Revenue'!$A:$AE,19,FALSE)</f>
        <v>0</v>
      </c>
      <c r="K101" s="266">
        <f>VLOOKUP($A101,'Budget &amp; Revenue'!$A:$AE,21,FALSE)</f>
        <v>0</v>
      </c>
      <c r="L101" s="266">
        <f>VLOOKUP($A101,'Budget &amp; Revenue'!$A:$AE,23,FALSE)</f>
        <v>1</v>
      </c>
      <c r="M101" s="266">
        <f>VLOOKUP($A101,'Budget &amp; Revenue'!$A:$AE,25,FALSE)</f>
        <v>1</v>
      </c>
      <c r="N101" s="266">
        <f>VLOOKUP($A101,'Budget &amp; Revenue'!$A:$AE,27,FALSE)</f>
        <v>1</v>
      </c>
      <c r="O101" s="266">
        <f>VLOOKUP($A101,'Budget &amp; Revenue'!$A:$AE,29,FALSE)</f>
        <v>1</v>
      </c>
      <c r="P101" s="266">
        <f>VLOOKUP($A101,'Budget &amp; Revenue'!$A:$AE,31,FALSE)</f>
        <v>1</v>
      </c>
    </row>
    <row r="102" spans="1:16" x14ac:dyDescent="0.25">
      <c r="A102" s="167">
        <v>104</v>
      </c>
      <c r="B102" s="252" t="str">
        <f>VLOOKUP(A102,Estimate!A:C,3,FALSE)</f>
        <v>MISCELLANEOUS</v>
      </c>
      <c r="C102" s="251">
        <f>VLOOKUP(A102,Estimate!A:L,12,FALSE)</f>
        <v>0</v>
      </c>
      <c r="D102" s="254"/>
      <c r="E102" s="254"/>
      <c r="F102" s="257"/>
      <c r="G102" s="266" t="str">
        <f>VLOOKUP($A102,'Budget &amp; Revenue'!$A:$AE,13,FALSE)</f>
        <v xml:space="preserve"> </v>
      </c>
      <c r="H102" s="266" t="str">
        <f>VLOOKUP($A102,'Budget &amp; Revenue'!$A:$AE,15,FALSE)</f>
        <v xml:space="preserve"> </v>
      </c>
      <c r="I102" s="266" t="str">
        <f>VLOOKUP($A102,'Budget &amp; Revenue'!$A:$AE,17,FALSE)</f>
        <v xml:space="preserve"> </v>
      </c>
      <c r="J102" s="266" t="str">
        <f>VLOOKUP($A102,'Budget &amp; Revenue'!$A:$AE,19,FALSE)</f>
        <v xml:space="preserve"> </v>
      </c>
      <c r="K102" s="266" t="str">
        <f>VLOOKUP($A102,'Budget &amp; Revenue'!$A:$AE,21,FALSE)</f>
        <v xml:space="preserve"> </v>
      </c>
      <c r="L102" s="266" t="str">
        <f>VLOOKUP($A102,'Budget &amp; Revenue'!$A:$AE,23,FALSE)</f>
        <v xml:space="preserve"> </v>
      </c>
      <c r="M102" s="266" t="str">
        <f>VLOOKUP($A102,'Budget &amp; Revenue'!$A:$AE,25,FALSE)</f>
        <v xml:space="preserve"> </v>
      </c>
      <c r="N102" s="266" t="str">
        <f>VLOOKUP($A102,'Budget &amp; Revenue'!$A:$AE,27,FALSE)</f>
        <v xml:space="preserve"> </v>
      </c>
      <c r="O102" s="266" t="str">
        <f>VLOOKUP($A102,'Budget &amp; Revenue'!$A:$AE,29,FALSE)</f>
        <v xml:space="preserve"> </v>
      </c>
      <c r="P102" s="266" t="str">
        <f>VLOOKUP($A102,'Budget &amp; Revenue'!$A:$AE,31,FALSE)</f>
        <v xml:space="preserve"> </v>
      </c>
    </row>
    <row r="103" spans="1:16" x14ac:dyDescent="0.25">
      <c r="A103" s="167">
        <v>105</v>
      </c>
      <c r="B103" s="252" t="str">
        <f>VLOOKUP(A103,Estimate!A:C,3,FALSE)</f>
        <v>Grass seeding</v>
      </c>
      <c r="C103" s="251">
        <f>VLOOKUP(A103,Estimate!A:L,12,FALSE)</f>
        <v>1</v>
      </c>
      <c r="D103" s="255">
        <v>95</v>
      </c>
      <c r="E103" s="255">
        <v>4</v>
      </c>
      <c r="F103" s="257">
        <f>VLOOKUP(A103,Estimate!A:Q,17,FALSE)</f>
        <v>24794</v>
      </c>
      <c r="G103" s="266">
        <f>VLOOKUP($A103,'Budget &amp; Revenue'!$A:$AE,13,FALSE)</f>
        <v>0</v>
      </c>
      <c r="H103" s="266">
        <f>VLOOKUP($A103,'Budget &amp; Revenue'!$A:$AE,15,FALSE)</f>
        <v>0</v>
      </c>
      <c r="I103" s="266">
        <f>VLOOKUP($A103,'Budget &amp; Revenue'!$A:$AE,17,FALSE)</f>
        <v>0</v>
      </c>
      <c r="J103" s="266">
        <f>VLOOKUP($A103,'Budget &amp; Revenue'!$A:$AE,19,FALSE)</f>
        <v>0</v>
      </c>
      <c r="K103" s="266">
        <f>VLOOKUP($A103,'Budget &amp; Revenue'!$A:$AE,21,FALSE)</f>
        <v>0</v>
      </c>
      <c r="L103" s="266">
        <f>VLOOKUP($A103,'Budget &amp; Revenue'!$A:$AE,23,FALSE)</f>
        <v>0</v>
      </c>
      <c r="M103" s="266">
        <f>VLOOKUP($A103,'Budget &amp; Revenue'!$A:$AE,25,FALSE)</f>
        <v>0</v>
      </c>
      <c r="N103" s="266">
        <f>VLOOKUP($A103,'Budget &amp; Revenue'!$A:$AE,27,FALSE)</f>
        <v>1</v>
      </c>
      <c r="O103" s="266">
        <f>VLOOKUP($A103,'Budget &amp; Revenue'!$A:$AE,29,FALSE)</f>
        <v>1</v>
      </c>
      <c r="P103" s="266">
        <f>VLOOKUP($A103,'Budget &amp; Revenue'!$A:$AE,31,FALSE)</f>
        <v>1</v>
      </c>
    </row>
    <row r="104" spans="1:16" x14ac:dyDescent="0.25">
      <c r="A104" s="167">
        <v>106</v>
      </c>
      <c r="B104" s="252" t="str">
        <f>VLOOKUP(A104,Estimate!A:C,3,FALSE)</f>
        <v>Sawcut Bitumen pavement</v>
      </c>
      <c r="C104" s="251">
        <f>VLOOKUP(A104,Estimate!A:L,12,FALSE)</f>
        <v>1</v>
      </c>
      <c r="D104" s="255" t="s">
        <v>1428</v>
      </c>
      <c r="E104" s="255">
        <v>47</v>
      </c>
      <c r="F104" s="257">
        <f>VLOOKUP(A104,Estimate!A:Q,17,FALSE)</f>
        <v>1590</v>
      </c>
      <c r="G104" s="266">
        <f>VLOOKUP($A104,'Budget &amp; Revenue'!$A:$AE,13,FALSE)</f>
        <v>0</v>
      </c>
      <c r="H104" s="266">
        <f>VLOOKUP($A104,'Budget &amp; Revenue'!$A:$AE,15,FALSE)</f>
        <v>1</v>
      </c>
      <c r="I104" s="266">
        <f>VLOOKUP($A104,'Budget &amp; Revenue'!$A:$AE,17,FALSE)</f>
        <v>1</v>
      </c>
      <c r="J104" s="266">
        <f>VLOOKUP($A104,'Budget &amp; Revenue'!$A:$AE,19,FALSE)</f>
        <v>1</v>
      </c>
      <c r="K104" s="266">
        <f>VLOOKUP($A104,'Budget &amp; Revenue'!$A:$AE,21,FALSE)</f>
        <v>1</v>
      </c>
      <c r="L104" s="266">
        <f>VLOOKUP($A104,'Budget &amp; Revenue'!$A:$AE,23,FALSE)</f>
        <v>1</v>
      </c>
      <c r="M104" s="266">
        <f>VLOOKUP($A104,'Budget &amp; Revenue'!$A:$AE,25,FALSE)</f>
        <v>1</v>
      </c>
      <c r="N104" s="266">
        <f>VLOOKUP($A104,'Budget &amp; Revenue'!$A:$AE,27,FALSE)</f>
        <v>1</v>
      </c>
      <c r="O104" s="266">
        <f>VLOOKUP($A104,'Budget &amp; Revenue'!$A:$AE,29,FALSE)</f>
        <v>1</v>
      </c>
      <c r="P104" s="266">
        <f>VLOOKUP($A104,'Budget &amp; Revenue'!$A:$AE,31,FALSE)</f>
        <v>1</v>
      </c>
    </row>
    <row r="105" spans="1:16" x14ac:dyDescent="0.25">
      <c r="A105" s="167">
        <v>107</v>
      </c>
      <c r="B105" s="252" t="str">
        <f>VLOOKUP(A105,Estimate!A:C,3,FALSE)</f>
        <v>Locate &amp; Protect Services</v>
      </c>
      <c r="C105" s="251">
        <f>VLOOKUP(A105,Estimate!A:L,12,FALSE)</f>
        <v>2</v>
      </c>
      <c r="D105" s="255">
        <v>36</v>
      </c>
      <c r="E105" s="255">
        <v>41</v>
      </c>
      <c r="F105" s="257">
        <f>VLOOKUP(A105,Estimate!A:Q,17,FALSE)</f>
        <v>2430</v>
      </c>
      <c r="G105" s="266">
        <f>VLOOKUP($A105,'Budget &amp; Revenue'!$A:$AE,13,FALSE)</f>
        <v>1</v>
      </c>
      <c r="H105" s="266">
        <f>VLOOKUP($A105,'Budget &amp; Revenue'!$A:$AE,15,FALSE)</f>
        <v>1</v>
      </c>
      <c r="I105" s="266">
        <f>VLOOKUP($A105,'Budget &amp; Revenue'!$A:$AE,17,FALSE)</f>
        <v>1</v>
      </c>
      <c r="J105" s="266">
        <f>VLOOKUP($A105,'Budget &amp; Revenue'!$A:$AE,19,FALSE)</f>
        <v>1</v>
      </c>
      <c r="K105" s="266">
        <f>VLOOKUP($A105,'Budget &amp; Revenue'!$A:$AE,21,FALSE)</f>
        <v>1</v>
      </c>
      <c r="L105" s="266">
        <f>VLOOKUP($A105,'Budget &amp; Revenue'!$A:$AE,23,FALSE)</f>
        <v>1</v>
      </c>
      <c r="M105" s="266">
        <f>VLOOKUP($A105,'Budget &amp; Revenue'!$A:$AE,25,FALSE)</f>
        <v>1</v>
      </c>
      <c r="N105" s="266">
        <f>VLOOKUP($A105,'Budget &amp; Revenue'!$A:$AE,27,FALSE)</f>
        <v>1</v>
      </c>
      <c r="O105" s="266">
        <f>VLOOKUP($A105,'Budget &amp; Revenue'!$A:$AE,29,FALSE)</f>
        <v>1</v>
      </c>
      <c r="P105" s="266">
        <f>VLOOKUP($A105,'Budget &amp; Revenue'!$A:$AE,31,FALSE)</f>
        <v>1</v>
      </c>
    </row>
    <row r="106" spans="1:16" x14ac:dyDescent="0.25">
      <c r="A106" s="167">
        <v>108</v>
      </c>
      <c r="B106" s="252" t="str">
        <f>VLOOKUP(A106,Estimate!A:C,3,FALSE)</f>
        <v>As Constructed Plans</v>
      </c>
      <c r="C106" s="251">
        <f>VLOOKUP(A106,Estimate!A:L,12,FALSE)</f>
        <v>5</v>
      </c>
      <c r="D106" s="256">
        <v>98117125101</v>
      </c>
      <c r="E106" s="255">
        <v>4</v>
      </c>
      <c r="F106" s="257">
        <f>VLOOKUP(A106,Estimate!A:Q,17,FALSE)</f>
        <v>8325</v>
      </c>
      <c r="G106" s="266">
        <f>VLOOKUP($A106,'Budget &amp; Revenue'!$A:$AE,13,FALSE)</f>
        <v>0</v>
      </c>
      <c r="H106" s="266">
        <f>VLOOKUP($A106,'Budget &amp; Revenue'!$A:$AE,15,FALSE)</f>
        <v>0</v>
      </c>
      <c r="I106" s="266">
        <f>VLOOKUP($A106,'Budget &amp; Revenue'!$A:$AE,17,FALSE)</f>
        <v>0</v>
      </c>
      <c r="J106" s="266">
        <f>VLOOKUP($A106,'Budget &amp; Revenue'!$A:$AE,19,FALSE)</f>
        <v>0</v>
      </c>
      <c r="K106" s="266">
        <f>VLOOKUP($A106,'Budget &amp; Revenue'!$A:$AE,21,FALSE)</f>
        <v>0</v>
      </c>
      <c r="L106" s="266">
        <f>VLOOKUP($A106,'Budget &amp; Revenue'!$A:$AE,23,FALSE)</f>
        <v>0</v>
      </c>
      <c r="M106" s="266">
        <f>VLOOKUP($A106,'Budget &amp; Revenue'!$A:$AE,25,FALSE)</f>
        <v>0</v>
      </c>
      <c r="N106" s="266">
        <f>VLOOKUP($A106,'Budget &amp; Revenue'!$A:$AE,27,FALSE)</f>
        <v>1</v>
      </c>
      <c r="O106" s="266">
        <f>VLOOKUP($A106,'Budget &amp; Revenue'!$A:$AE,29,FALSE)</f>
        <v>1</v>
      </c>
      <c r="P106" s="266">
        <f>VLOOKUP($A106,'Budget &amp; Revenue'!$A:$AE,31,FALSE)</f>
        <v>1</v>
      </c>
    </row>
    <row r="107" spans="1:16" x14ac:dyDescent="0.25">
      <c r="A107" s="167">
        <v>109</v>
      </c>
      <c r="B107" s="252" t="str">
        <f>VLOOKUP(A107,Estimate!A:C,3,FALSE)</f>
        <v>Principal Supply of Precast Conrete Items</v>
      </c>
      <c r="C107" s="251">
        <f>VLOOKUP(A107,Estimate!A:L,12,FALSE)</f>
        <v>1</v>
      </c>
      <c r="D107" s="255">
        <v>3</v>
      </c>
      <c r="E107" s="255">
        <v>36</v>
      </c>
      <c r="F107" s="257">
        <f>VLOOKUP(A107,Estimate!A:Q,17,FALSE)</f>
        <v>-116891.2</v>
      </c>
      <c r="G107" s="266">
        <f>VLOOKUP($A107,'Budget &amp; Revenue'!$A:$AE,13,FALSE)</f>
        <v>0.41899999999999998</v>
      </c>
      <c r="H107" s="266">
        <f>VLOOKUP($A107,'Budget &amp; Revenue'!$A:$AE,15,FALSE)</f>
        <v>1</v>
      </c>
      <c r="I107" s="266">
        <f>VLOOKUP($A107,'Budget &amp; Revenue'!$A:$AE,17,FALSE)</f>
        <v>1</v>
      </c>
      <c r="J107" s="266">
        <f>VLOOKUP($A107,'Budget &amp; Revenue'!$A:$AE,19,FALSE)</f>
        <v>1</v>
      </c>
      <c r="K107" s="266">
        <f>VLOOKUP($A107,'Budget &amp; Revenue'!$A:$AE,21,FALSE)</f>
        <v>1</v>
      </c>
      <c r="L107" s="266">
        <f>VLOOKUP($A107,'Budget &amp; Revenue'!$A:$AE,23,FALSE)</f>
        <v>1</v>
      </c>
      <c r="M107" s="266">
        <f>VLOOKUP($A107,'Budget &amp; Revenue'!$A:$AE,25,FALSE)</f>
        <v>1</v>
      </c>
      <c r="N107" s="266">
        <f>VLOOKUP($A107,'Budget &amp; Revenue'!$A:$AE,27,FALSE)</f>
        <v>1</v>
      </c>
      <c r="O107" s="266">
        <f>VLOOKUP($A107,'Budget &amp; Revenue'!$A:$AE,29,FALSE)</f>
        <v>1</v>
      </c>
      <c r="P107" s="266">
        <f>VLOOKUP($A107,'Budget &amp; Revenue'!$A:$AE,31,FALSE)</f>
        <v>1</v>
      </c>
    </row>
    <row r="108" spans="1:16" x14ac:dyDescent="0.25">
      <c r="A108" s="167">
        <v>110</v>
      </c>
      <c r="B108" s="252" t="str">
        <f>VLOOKUP(A108,Estimate!A:C,3,FALSE)</f>
        <v>Additional 375RCP at chainage 230.</v>
      </c>
      <c r="C108" s="251">
        <f>VLOOKUP(A108,Estimate!A:L,12,FALSE)</f>
        <v>4</v>
      </c>
      <c r="D108" s="255">
        <v>50</v>
      </c>
      <c r="E108" s="255">
        <v>51</v>
      </c>
      <c r="F108" s="257">
        <f>VLOOKUP(A108,Estimate!A:Q,17,FALSE)</f>
        <v>991.32065231647027</v>
      </c>
      <c r="G108" s="266">
        <f>VLOOKUP($A108,'Budget &amp; Revenue'!$A:$AE,13,FALSE)</f>
        <v>0</v>
      </c>
      <c r="H108" s="266">
        <f>VLOOKUP($A108,'Budget &amp; Revenue'!$A:$AE,15,FALSE)</f>
        <v>0</v>
      </c>
      <c r="I108" s="266">
        <f>VLOOKUP($A108,'Budget &amp; Revenue'!$A:$AE,17,FALSE)</f>
        <v>1</v>
      </c>
      <c r="J108" s="266">
        <f>VLOOKUP($A108,'Budget &amp; Revenue'!$A:$AE,19,FALSE)</f>
        <v>1</v>
      </c>
      <c r="K108" s="266">
        <f>VLOOKUP($A108,'Budget &amp; Revenue'!$A:$AE,21,FALSE)</f>
        <v>1</v>
      </c>
      <c r="L108" s="266">
        <f>VLOOKUP($A108,'Budget &amp; Revenue'!$A:$AE,23,FALSE)</f>
        <v>1</v>
      </c>
      <c r="M108" s="266">
        <f>VLOOKUP($A108,'Budget &amp; Revenue'!$A:$AE,25,FALSE)</f>
        <v>1</v>
      </c>
      <c r="N108" s="266">
        <f>VLOOKUP($A108,'Budget &amp; Revenue'!$A:$AE,27,FALSE)</f>
        <v>1</v>
      </c>
      <c r="O108" s="266">
        <f>VLOOKUP($A108,'Budget &amp; Revenue'!$A:$AE,29,FALSE)</f>
        <v>1</v>
      </c>
      <c r="P108" s="266">
        <f>VLOOKUP($A108,'Budget &amp; Revenue'!$A:$AE,31,FALSE)</f>
        <v>1</v>
      </c>
    </row>
    <row r="109" spans="1:16" x14ac:dyDescent="0.25">
      <c r="A109" s="167">
        <v>112</v>
      </c>
      <c r="B109" s="252" t="str">
        <f>VLOOKUP(A109,Estimate!A:C,3,FALSE)</f>
        <v>Revised Seal Design</v>
      </c>
      <c r="C109" s="251">
        <f>VLOOKUP(A109,Estimate!A:L,12,FALSE)</f>
        <v>0</v>
      </c>
      <c r="D109" s="255">
        <v>34</v>
      </c>
      <c r="E109" s="255">
        <v>95</v>
      </c>
      <c r="F109" s="257">
        <f>VLOOKUP(A109,Estimate!A:Q,17,FALSE)</f>
        <v>10735.410000000002</v>
      </c>
      <c r="G109" s="266">
        <f>VLOOKUP($A109,'Budget &amp; Revenue'!$A:$AE,13,FALSE)</f>
        <v>0</v>
      </c>
      <c r="H109" s="266">
        <f>VLOOKUP($A109,'Budget &amp; Revenue'!$A:$AE,15,FALSE)</f>
        <v>0</v>
      </c>
      <c r="I109" s="266">
        <f>VLOOKUP($A109,'Budget &amp; Revenue'!$A:$AE,17,FALSE)</f>
        <v>1</v>
      </c>
      <c r="J109" s="266">
        <f>VLOOKUP($A109,'Budget &amp; Revenue'!$A:$AE,19,FALSE)</f>
        <v>1</v>
      </c>
      <c r="K109" s="266">
        <f>VLOOKUP($A109,'Budget &amp; Revenue'!$A:$AE,21,FALSE)</f>
        <v>1</v>
      </c>
      <c r="L109" s="266">
        <f>VLOOKUP($A109,'Budget &amp; Revenue'!$A:$AE,23,FALSE)</f>
        <v>1</v>
      </c>
      <c r="M109" s="266">
        <f>VLOOKUP($A109,'Budget &amp; Revenue'!$A:$AE,25,FALSE)</f>
        <v>1</v>
      </c>
      <c r="N109" s="266">
        <f>VLOOKUP($A109,'Budget &amp; Revenue'!$A:$AE,27,FALSE)</f>
        <v>1</v>
      </c>
      <c r="O109" s="266">
        <f>VLOOKUP($A109,'Budget &amp; Revenue'!$A:$AE,29,FALSE)</f>
        <v>1</v>
      </c>
      <c r="P109" s="266">
        <f>VLOOKUP($A109,'Budget &amp; Revenue'!$A:$AE,31,FALSE)</f>
        <v>1</v>
      </c>
    </row>
    <row r="110" spans="1:16" x14ac:dyDescent="0.25">
      <c r="A110" s="167">
        <v>113</v>
      </c>
      <c r="B110" s="252" t="str">
        <f>VLOOKUP(A110,Estimate!A:C,3,FALSE)</f>
        <v>Shape table drain chainage 523-725</v>
      </c>
      <c r="C110" s="251">
        <f>VLOOKUP(A110,Estimate!A:L,12,FALSE)</f>
        <v>1</v>
      </c>
      <c r="D110" s="255">
        <v>48</v>
      </c>
      <c r="E110" s="255">
        <v>51</v>
      </c>
      <c r="F110" s="257">
        <f>VLOOKUP(A110,Estimate!A:Q,17,FALSE)</f>
        <v>2072.8397839783979</v>
      </c>
      <c r="G110" s="266">
        <f>VLOOKUP($A110,'Budget &amp; Revenue'!$A:$AE,13,FALSE)</f>
        <v>0</v>
      </c>
      <c r="H110" s="266">
        <f>VLOOKUP($A110,'Budget &amp; Revenue'!$A:$AE,15,FALSE)</f>
        <v>0</v>
      </c>
      <c r="I110" s="266">
        <f>VLOOKUP($A110,'Budget &amp; Revenue'!$A:$AE,17,FALSE)</f>
        <v>1</v>
      </c>
      <c r="J110" s="266">
        <f>VLOOKUP($A110,'Budget &amp; Revenue'!$A:$AE,19,FALSE)</f>
        <v>1</v>
      </c>
      <c r="K110" s="266">
        <f>VLOOKUP($A110,'Budget &amp; Revenue'!$A:$AE,21,FALSE)</f>
        <v>1</v>
      </c>
      <c r="L110" s="266">
        <f>VLOOKUP($A110,'Budget &amp; Revenue'!$A:$AE,23,FALSE)</f>
        <v>1</v>
      </c>
      <c r="M110" s="266">
        <f>VLOOKUP($A110,'Budget &amp; Revenue'!$A:$AE,25,FALSE)</f>
        <v>1</v>
      </c>
      <c r="N110" s="266">
        <f>VLOOKUP($A110,'Budget &amp; Revenue'!$A:$AE,27,FALSE)</f>
        <v>1</v>
      </c>
      <c r="O110" s="266">
        <f>VLOOKUP($A110,'Budget &amp; Revenue'!$A:$AE,29,FALSE)</f>
        <v>1</v>
      </c>
      <c r="P110" s="266">
        <f>VLOOKUP($A110,'Budget &amp; Revenue'!$A:$AE,31,FALSE)</f>
        <v>1</v>
      </c>
    </row>
    <row r="111" spans="1:16" x14ac:dyDescent="0.25">
      <c r="A111" s="167">
        <v>114</v>
      </c>
      <c r="B111" s="252" t="str">
        <f>VLOOKUP(A111,Estimate!A:C,3,FALSE)</f>
        <v>Nicol St - Revised pavement design</v>
      </c>
      <c r="C111" s="251">
        <f>VLOOKUP(A111,Estimate!A:L,12,FALSE)</f>
        <v>0</v>
      </c>
      <c r="D111" s="255">
        <v>16</v>
      </c>
      <c r="E111" s="255">
        <v>24</v>
      </c>
      <c r="F111" s="257">
        <f>VLOOKUP(A111,Estimate!A:Q,17,FALSE)</f>
        <v>-36828.596141177375</v>
      </c>
      <c r="G111" s="266">
        <f>VLOOKUP($A111,'Budget &amp; Revenue'!$A:$AE,13,FALSE)</f>
        <v>0</v>
      </c>
      <c r="H111" s="266">
        <f>VLOOKUP($A111,'Budget &amp; Revenue'!$A:$AE,15,FALSE)</f>
        <v>0</v>
      </c>
      <c r="I111" s="266">
        <f>VLOOKUP($A111,'Budget &amp; Revenue'!$A:$AE,17,FALSE)</f>
        <v>0.18</v>
      </c>
      <c r="J111" s="266">
        <f>VLOOKUP($A111,'Budget &amp; Revenue'!$A:$AE,19,FALSE)</f>
        <v>0.18</v>
      </c>
      <c r="K111" s="266">
        <f>VLOOKUP($A111,'Budget &amp; Revenue'!$A:$AE,21,FALSE)</f>
        <v>0.88</v>
      </c>
      <c r="L111" s="266">
        <f>VLOOKUP($A111,'Budget &amp; Revenue'!$A:$AE,23,FALSE)</f>
        <v>1</v>
      </c>
      <c r="M111" s="266">
        <f>VLOOKUP($A111,'Budget &amp; Revenue'!$A:$AE,25,FALSE)</f>
        <v>1</v>
      </c>
      <c r="N111" s="266">
        <f>VLOOKUP($A111,'Budget &amp; Revenue'!$A:$AE,27,FALSE)</f>
        <v>1</v>
      </c>
      <c r="O111" s="266">
        <f>VLOOKUP($A111,'Budget &amp; Revenue'!$A:$AE,29,FALSE)</f>
        <v>1</v>
      </c>
      <c r="P111" s="266">
        <f>VLOOKUP($A111,'Budget &amp; Revenue'!$A:$AE,31,FALSE)</f>
        <v>1</v>
      </c>
    </row>
    <row r="112" spans="1:16" x14ac:dyDescent="0.25">
      <c r="A112" s="167">
        <v>115</v>
      </c>
      <c r="B112" s="252" t="str">
        <f>VLOOKUP(A112,Estimate!A:C,3,FALSE)</f>
        <v>Nicol St - Additional drain outlet</v>
      </c>
      <c r="C112" s="251">
        <f>VLOOKUP(A112,Estimate!A:L,12,FALSE)</f>
        <v>2</v>
      </c>
      <c r="D112" s="255">
        <v>19</v>
      </c>
      <c r="E112" s="255">
        <v>17</v>
      </c>
      <c r="F112" s="257">
        <f>VLOOKUP(A112,Estimate!A:Q,17,FALSE)</f>
        <v>3241.2213114754099</v>
      </c>
      <c r="G112" s="266">
        <f>VLOOKUP($A112,'Budget &amp; Revenue'!$A:$AE,13,FALSE)</f>
        <v>0</v>
      </c>
      <c r="H112" s="266">
        <f>VLOOKUP($A112,'Budget &amp; Revenue'!$A:$AE,15,FALSE)</f>
        <v>0</v>
      </c>
      <c r="I112" s="266">
        <f>VLOOKUP($A112,'Budget &amp; Revenue'!$A:$AE,17,FALSE)</f>
        <v>1</v>
      </c>
      <c r="J112" s="266">
        <f>VLOOKUP($A112,'Budget &amp; Revenue'!$A:$AE,19,FALSE)</f>
        <v>1</v>
      </c>
      <c r="K112" s="266">
        <f>VLOOKUP($A112,'Budget &amp; Revenue'!$A:$AE,21,FALSE)</f>
        <v>1</v>
      </c>
      <c r="L112" s="266">
        <f>VLOOKUP($A112,'Budget &amp; Revenue'!$A:$AE,23,FALSE)</f>
        <v>1</v>
      </c>
      <c r="M112" s="266">
        <f>VLOOKUP($A112,'Budget &amp; Revenue'!$A:$AE,25,FALSE)</f>
        <v>1</v>
      </c>
      <c r="N112" s="266">
        <f>VLOOKUP($A112,'Budget &amp; Revenue'!$A:$AE,27,FALSE)</f>
        <v>1</v>
      </c>
      <c r="O112" s="266">
        <f>VLOOKUP($A112,'Budget &amp; Revenue'!$A:$AE,29,FALSE)</f>
        <v>1</v>
      </c>
      <c r="P112" s="266">
        <f>VLOOKUP($A112,'Budget &amp; Revenue'!$A:$AE,31,FALSE)</f>
        <v>1</v>
      </c>
    </row>
    <row r="113" spans="1:16" x14ac:dyDescent="0.25">
      <c r="A113" s="167">
        <v>116</v>
      </c>
      <c r="B113" s="252" t="str">
        <f>VLOOKUP(A113,Estimate!A:C,3,FALSE)</f>
        <v>Nicol St - Subgrade pavement repairs</v>
      </c>
      <c r="C113" s="251">
        <f>VLOOKUP(A113,Estimate!A:L,12,FALSE)</f>
        <v>2</v>
      </c>
      <c r="D113" s="256">
        <v>16119</v>
      </c>
      <c r="E113" s="255">
        <v>114</v>
      </c>
      <c r="F113" s="257">
        <f>VLOOKUP(A113,Estimate!A:Q,17,FALSE)</f>
        <v>10385.460524145279</v>
      </c>
      <c r="G113" s="266">
        <f>VLOOKUP($A113,'Budget &amp; Revenue'!$A:$AE,13,FALSE)</f>
        <v>0</v>
      </c>
      <c r="H113" s="266">
        <f>VLOOKUP($A113,'Budget &amp; Revenue'!$A:$AE,15,FALSE)</f>
        <v>0</v>
      </c>
      <c r="I113" s="266">
        <f>VLOOKUP($A113,'Budget &amp; Revenue'!$A:$AE,17,FALSE)</f>
        <v>1</v>
      </c>
      <c r="J113" s="266">
        <f>VLOOKUP($A113,'Budget &amp; Revenue'!$A:$AE,19,FALSE)</f>
        <v>1</v>
      </c>
      <c r="K113" s="266">
        <f>VLOOKUP($A113,'Budget &amp; Revenue'!$A:$AE,21,FALSE)</f>
        <v>1</v>
      </c>
      <c r="L113" s="266">
        <f>VLOOKUP($A113,'Budget &amp; Revenue'!$A:$AE,23,FALSE)</f>
        <v>1</v>
      </c>
      <c r="M113" s="266">
        <f>VLOOKUP($A113,'Budget &amp; Revenue'!$A:$AE,25,FALSE)</f>
        <v>1</v>
      </c>
      <c r="N113" s="266">
        <f>VLOOKUP($A113,'Budget &amp; Revenue'!$A:$AE,27,FALSE)</f>
        <v>1</v>
      </c>
      <c r="O113" s="266">
        <f>VLOOKUP($A113,'Budget &amp; Revenue'!$A:$AE,29,FALSE)</f>
        <v>1</v>
      </c>
      <c r="P113" s="266">
        <f>VLOOKUP($A113,'Budget &amp; Revenue'!$A:$AE,31,FALSE)</f>
        <v>1</v>
      </c>
    </row>
    <row r="114" spans="1:16" x14ac:dyDescent="0.25">
      <c r="A114" s="167">
        <v>117</v>
      </c>
      <c r="B114" s="252" t="str">
        <f>VLOOKUP(A114,Estimate!A:C,3,FALSE)</f>
        <v>Nicol St - Additional works to water services</v>
      </c>
      <c r="C114" s="251">
        <f>VLOOKUP(A114,Estimate!A:L,12,FALSE)</f>
        <v>1</v>
      </c>
      <c r="D114" s="255">
        <v>113</v>
      </c>
      <c r="E114" s="255">
        <v>21</v>
      </c>
      <c r="F114" s="257">
        <f>VLOOKUP(A114,Estimate!A:Q,17,FALSE)</f>
        <v>13500</v>
      </c>
      <c r="G114" s="266">
        <f>VLOOKUP($A114,'Budget &amp; Revenue'!$A:$AE,13,FALSE)</f>
        <v>0</v>
      </c>
      <c r="H114" s="266">
        <f>VLOOKUP($A114,'Budget &amp; Revenue'!$A:$AE,15,FALSE)</f>
        <v>0</v>
      </c>
      <c r="I114" s="266">
        <f>VLOOKUP($A114,'Budget &amp; Revenue'!$A:$AE,17,FALSE)</f>
        <v>0</v>
      </c>
      <c r="J114" s="266">
        <f>VLOOKUP($A114,'Budget &amp; Revenue'!$A:$AE,19,FALSE)</f>
        <v>0</v>
      </c>
      <c r="K114" s="266">
        <f>VLOOKUP($A114,'Budget &amp; Revenue'!$A:$AE,21,FALSE)</f>
        <v>1</v>
      </c>
      <c r="L114" s="266">
        <f>VLOOKUP($A114,'Budget &amp; Revenue'!$A:$AE,23,FALSE)</f>
        <v>1</v>
      </c>
      <c r="M114" s="266">
        <f>VLOOKUP($A114,'Budget &amp; Revenue'!$A:$AE,25,FALSE)</f>
        <v>1</v>
      </c>
      <c r="N114" s="266">
        <f>VLOOKUP($A114,'Budget &amp; Revenue'!$A:$AE,27,FALSE)</f>
        <v>1</v>
      </c>
      <c r="O114" s="266">
        <f>VLOOKUP($A114,'Budget &amp; Revenue'!$A:$AE,29,FALSE)</f>
        <v>1</v>
      </c>
      <c r="P114" s="266">
        <f>VLOOKUP($A114,'Budget &amp; Revenue'!$A:$AE,31,FALSE)</f>
        <v>1</v>
      </c>
    </row>
    <row r="115" spans="1:16" x14ac:dyDescent="0.25">
      <c r="A115" s="167">
        <v>118</v>
      </c>
      <c r="B115" s="252" t="str">
        <f>VLOOKUP(A115,Estimate!A:C,3,FALSE)</f>
        <v>Wright Rd - Drainage works ch1300</v>
      </c>
      <c r="C115" s="251">
        <f>VLOOKUP(A115,Estimate!A:L,12,FALSE)</f>
        <v>3</v>
      </c>
      <c r="D115" s="255">
        <v>85</v>
      </c>
      <c r="E115" s="256">
        <v>116121</v>
      </c>
      <c r="F115" s="257">
        <f>VLOOKUP(A115,Estimate!A:Q,17,FALSE)</f>
        <v>5796</v>
      </c>
      <c r="G115" s="266">
        <f>VLOOKUP($A115,'Budget &amp; Revenue'!$A:$AE,13,FALSE)</f>
        <v>0</v>
      </c>
      <c r="H115" s="266">
        <f>VLOOKUP($A115,'Budget &amp; Revenue'!$A:$AE,15,FALSE)</f>
        <v>0</v>
      </c>
      <c r="I115" s="266">
        <f>VLOOKUP($A115,'Budget &amp; Revenue'!$A:$AE,17,FALSE)</f>
        <v>0</v>
      </c>
      <c r="J115" s="266">
        <f>VLOOKUP($A115,'Budget &amp; Revenue'!$A:$AE,19,FALSE)</f>
        <v>0</v>
      </c>
      <c r="K115" s="266">
        <f>VLOOKUP($A115,'Budget &amp; Revenue'!$A:$AE,21,FALSE)</f>
        <v>1</v>
      </c>
      <c r="L115" s="266">
        <f>VLOOKUP($A115,'Budget &amp; Revenue'!$A:$AE,23,FALSE)</f>
        <v>1</v>
      </c>
      <c r="M115" s="266">
        <f>VLOOKUP($A115,'Budget &amp; Revenue'!$A:$AE,25,FALSE)</f>
        <v>1</v>
      </c>
      <c r="N115" s="266">
        <f>VLOOKUP($A115,'Budget &amp; Revenue'!$A:$AE,27,FALSE)</f>
        <v>1</v>
      </c>
      <c r="O115" s="266">
        <f>VLOOKUP($A115,'Budget &amp; Revenue'!$A:$AE,29,FALSE)</f>
        <v>1</v>
      </c>
      <c r="P115" s="266">
        <f>VLOOKUP($A115,'Budget &amp; Revenue'!$A:$AE,31,FALSE)</f>
        <v>1</v>
      </c>
    </row>
    <row r="116" spans="1:16" x14ac:dyDescent="0.25">
      <c r="A116" s="167">
        <v>119</v>
      </c>
      <c r="B116" s="252" t="str">
        <f>VLOOKUP(A116,Estimate!A:C,3,FALSE)</f>
        <v>Wright Rd - Additional culvert no.06</v>
      </c>
      <c r="C116" s="251">
        <f>VLOOKUP(A116,Estimate!A:L,12,FALSE)</f>
        <v>3</v>
      </c>
      <c r="D116" s="255">
        <v>115</v>
      </c>
      <c r="E116" s="255">
        <v>117</v>
      </c>
      <c r="F116" s="257">
        <f>VLOOKUP(A116,Estimate!A:Q,17,FALSE)</f>
        <v>2127.1545723164704</v>
      </c>
      <c r="G116" s="266">
        <f>VLOOKUP($A116,'Budget &amp; Revenue'!$A:$AE,13,FALSE)</f>
        <v>0</v>
      </c>
      <c r="H116" s="266">
        <f>VLOOKUP($A116,'Budget &amp; Revenue'!$A:$AE,15,FALSE)</f>
        <v>0</v>
      </c>
      <c r="I116" s="266">
        <f>VLOOKUP($A116,'Budget &amp; Revenue'!$A:$AE,17,FALSE)</f>
        <v>0</v>
      </c>
      <c r="J116" s="266">
        <f>VLOOKUP($A116,'Budget &amp; Revenue'!$A:$AE,19,FALSE)</f>
        <v>0</v>
      </c>
      <c r="K116" s="266">
        <f>VLOOKUP($A116,'Budget &amp; Revenue'!$A:$AE,21,FALSE)</f>
        <v>0</v>
      </c>
      <c r="L116" s="266">
        <f>VLOOKUP($A116,'Budget &amp; Revenue'!$A:$AE,23,FALSE)</f>
        <v>0</v>
      </c>
      <c r="M116" s="266">
        <f>VLOOKUP($A116,'Budget &amp; Revenue'!$A:$AE,25,FALSE)</f>
        <v>0</v>
      </c>
      <c r="N116" s="266">
        <f>VLOOKUP($A116,'Budget &amp; Revenue'!$A:$AE,27,FALSE)</f>
        <v>0</v>
      </c>
      <c r="O116" s="266">
        <f>VLOOKUP($A116,'Budget &amp; Revenue'!$A:$AE,29,FALSE)</f>
        <v>1</v>
      </c>
      <c r="P116" s="266">
        <f>VLOOKUP($A116,'Budget &amp; Revenue'!$A:$AE,31,FALSE)</f>
        <v>1</v>
      </c>
    </row>
    <row r="117" spans="1:16" x14ac:dyDescent="0.25">
      <c r="A117" s="167">
        <v>120</v>
      </c>
      <c r="B117" s="252" t="str">
        <f>VLOOKUP(A117,Estimate!A:C,3,FALSE)</f>
        <v>Wright Rd - Driveway works</v>
      </c>
      <c r="C117" s="251">
        <f>VLOOKUP(A117,Estimate!A:L,12,FALSE)</f>
        <v>4</v>
      </c>
      <c r="D117" s="255">
        <v>116</v>
      </c>
      <c r="E117" s="255">
        <v>106</v>
      </c>
      <c r="F117" s="257">
        <f>VLOOKUP(A117,Estimate!A:Q,17,FALSE)</f>
        <v>9750</v>
      </c>
      <c r="G117" s="266">
        <f>VLOOKUP($A117,'Budget &amp; Revenue'!$A:$AE,13,FALSE)</f>
        <v>0</v>
      </c>
      <c r="H117" s="266">
        <f>VLOOKUP($A117,'Budget &amp; Revenue'!$A:$AE,15,FALSE)</f>
        <v>0</v>
      </c>
      <c r="I117" s="266">
        <f>VLOOKUP($A117,'Budget &amp; Revenue'!$A:$AE,17,FALSE)</f>
        <v>0</v>
      </c>
      <c r="J117" s="266">
        <f>VLOOKUP($A117,'Budget &amp; Revenue'!$A:$AE,19,FALSE)</f>
        <v>0</v>
      </c>
      <c r="K117" s="266">
        <f>VLOOKUP($A117,'Budget &amp; Revenue'!$A:$AE,21,FALSE)</f>
        <v>0</v>
      </c>
      <c r="L117" s="266">
        <f>VLOOKUP($A117,'Budget &amp; Revenue'!$A:$AE,23,FALSE)</f>
        <v>0</v>
      </c>
      <c r="M117" s="266">
        <f>VLOOKUP($A117,'Budget &amp; Revenue'!$A:$AE,25,FALSE)</f>
        <v>0</v>
      </c>
      <c r="N117" s="266">
        <f>VLOOKUP($A117,'Budget &amp; Revenue'!$A:$AE,27,FALSE)</f>
        <v>1</v>
      </c>
      <c r="O117" s="266">
        <f>VLOOKUP($A117,'Budget &amp; Revenue'!$A:$AE,29,FALSE)</f>
        <v>1</v>
      </c>
      <c r="P117" s="266">
        <f>VLOOKUP($A117,'Budget &amp; Revenue'!$A:$AE,31,FALSE)</f>
        <v>1</v>
      </c>
    </row>
    <row r="118" spans="1:16" x14ac:dyDescent="0.25">
      <c r="A118" s="167">
        <v>121</v>
      </c>
      <c r="B118" s="252" t="str">
        <f>VLOOKUP(A118,Estimate!A:C,3,FALSE)</f>
        <v>Nicol St - Kerb ramp reconstruction</v>
      </c>
      <c r="C118" s="251">
        <f>VLOOKUP(A118,Estimate!A:L,12,FALSE)</f>
        <v>2</v>
      </c>
      <c r="D118" s="255" t="s">
        <v>1389</v>
      </c>
      <c r="E118" s="255">
        <v>23</v>
      </c>
      <c r="F118" s="257">
        <f>VLOOKUP(A118,Estimate!A:Q,17,FALSE)</f>
        <v>2270</v>
      </c>
      <c r="G118" s="266">
        <f>VLOOKUP($A118,'Budget &amp; Revenue'!$A:$AE,13,FALSE)</f>
        <v>0</v>
      </c>
      <c r="H118" s="266">
        <f>VLOOKUP($A118,'Budget &amp; Revenue'!$A:$AE,15,FALSE)</f>
        <v>0</v>
      </c>
      <c r="I118" s="266">
        <f>VLOOKUP($A118,'Budget &amp; Revenue'!$A:$AE,17,FALSE)</f>
        <v>0</v>
      </c>
      <c r="J118" s="266">
        <f>VLOOKUP($A118,'Budget &amp; Revenue'!$A:$AE,19,FALSE)</f>
        <v>0</v>
      </c>
      <c r="K118" s="266">
        <f>VLOOKUP($A118,'Budget &amp; Revenue'!$A:$AE,21,FALSE)</f>
        <v>0</v>
      </c>
      <c r="L118" s="266">
        <f>VLOOKUP($A118,'Budget &amp; Revenue'!$A:$AE,23,FALSE)</f>
        <v>1</v>
      </c>
      <c r="M118" s="266">
        <f>VLOOKUP($A118,'Budget &amp; Revenue'!$A:$AE,25,FALSE)</f>
        <v>1</v>
      </c>
      <c r="N118" s="266">
        <f>VLOOKUP($A118,'Budget &amp; Revenue'!$A:$AE,27,FALSE)</f>
        <v>1</v>
      </c>
      <c r="O118" s="266">
        <f>VLOOKUP($A118,'Budget &amp; Revenue'!$A:$AE,29,FALSE)</f>
        <v>1</v>
      </c>
      <c r="P118" s="266">
        <f>VLOOKUP($A118,'Budget &amp; Revenue'!$A:$AE,31,FALSE)</f>
        <v>1</v>
      </c>
    </row>
    <row r="119" spans="1:16" x14ac:dyDescent="0.25">
      <c r="A119" s="167">
        <v>122</v>
      </c>
      <c r="B119" s="252" t="str">
        <f>VLOOKUP(A119,Estimate!A:C,3,FALSE)</f>
        <v>Nicol St - Removal of Unsuitable - Telstra Cable</v>
      </c>
      <c r="C119" s="251">
        <f>VLOOKUP(A119,Estimate!A:L,12,FALSE)</f>
        <v>1</v>
      </c>
      <c r="D119" s="255">
        <v>16</v>
      </c>
      <c r="E119" s="255">
        <v>113</v>
      </c>
      <c r="F119" s="257">
        <f>VLOOKUP(A119,Estimate!A:Q,17,FALSE)</f>
        <v>3117.6134293429345</v>
      </c>
      <c r="G119" s="266">
        <f>VLOOKUP($A119,'Budget &amp; Revenue'!$A:$AE,13,FALSE)</f>
        <v>0</v>
      </c>
      <c r="H119" s="266">
        <f>VLOOKUP($A119,'Budget &amp; Revenue'!$A:$AE,15,FALSE)</f>
        <v>0</v>
      </c>
      <c r="I119" s="266">
        <f>VLOOKUP($A119,'Budget &amp; Revenue'!$A:$AE,17,FALSE)</f>
        <v>0</v>
      </c>
      <c r="J119" s="266">
        <f>VLOOKUP($A119,'Budget &amp; Revenue'!$A:$AE,19,FALSE)</f>
        <v>0</v>
      </c>
      <c r="K119" s="266">
        <f>VLOOKUP($A119,'Budget &amp; Revenue'!$A:$AE,21,FALSE)</f>
        <v>0</v>
      </c>
      <c r="L119" s="266">
        <f>VLOOKUP($A119,'Budget &amp; Revenue'!$A:$AE,23,FALSE)</f>
        <v>0</v>
      </c>
      <c r="M119" s="266">
        <f>VLOOKUP($A119,'Budget &amp; Revenue'!$A:$AE,25,FALSE)</f>
        <v>0</v>
      </c>
      <c r="N119" s="266">
        <f>VLOOKUP($A119,'Budget &amp; Revenue'!$A:$AE,27,FALSE)</f>
        <v>1</v>
      </c>
      <c r="O119" s="266">
        <f>VLOOKUP($A119,'Budget &amp; Revenue'!$A:$AE,29,FALSE)</f>
        <v>1</v>
      </c>
      <c r="P119" s="266">
        <f>VLOOKUP($A119,'Budget &amp; Revenue'!$A:$AE,31,FALSE)</f>
        <v>1</v>
      </c>
    </row>
    <row r="120" spans="1:16" x14ac:dyDescent="0.25">
      <c r="A120" s="167">
        <v>123</v>
      </c>
      <c r="B120" s="252" t="str">
        <f>VLOOKUP(A120,Estimate!A:C,3,FALSE)</f>
        <v>Wright Road - Scour &amp; Batter Protection</v>
      </c>
      <c r="C120" s="251">
        <f>VLOOKUP(A120,Estimate!A:L,12,FALSE)</f>
        <v>0</v>
      </c>
      <c r="D120" s="254"/>
      <c r="E120" s="254"/>
      <c r="F120" s="257"/>
      <c r="G120" s="266"/>
      <c r="H120" s="266"/>
      <c r="I120" s="266"/>
      <c r="J120" s="266"/>
      <c r="K120" s="266"/>
      <c r="L120" s="266"/>
      <c r="M120" s="266"/>
      <c r="N120" s="266"/>
      <c r="O120" s="266"/>
      <c r="P120" s="266"/>
    </row>
    <row r="121" spans="1:16" x14ac:dyDescent="0.25">
      <c r="A121" s="167">
        <v>124</v>
      </c>
      <c r="B121" s="252" t="str">
        <f>VLOOKUP(A121,Estimate!A:C,3,FALSE)</f>
        <v>Scour Protection</v>
      </c>
      <c r="C121" s="251">
        <f>VLOOKUP(A121,Estimate!A:L,12,FALSE)</f>
        <v>6</v>
      </c>
      <c r="D121" s="255">
        <v>115</v>
      </c>
      <c r="E121" s="255">
        <v>122</v>
      </c>
      <c r="F121" s="257">
        <f>VLOOKUP(A121,Estimate!A:Q,17,FALSE)</f>
        <v>8991.2997299729977</v>
      </c>
      <c r="G121" s="266">
        <f>VLOOKUP($A121,'Budget &amp; Revenue'!$A:$AE,13,FALSE)</f>
        <v>0</v>
      </c>
      <c r="H121" s="266">
        <f>VLOOKUP($A121,'Budget &amp; Revenue'!$A:$AE,15,FALSE)</f>
        <v>0</v>
      </c>
      <c r="I121" s="266">
        <f>VLOOKUP($A121,'Budget &amp; Revenue'!$A:$AE,17,FALSE)</f>
        <v>0</v>
      </c>
      <c r="J121" s="266">
        <f>VLOOKUP($A121,'Budget &amp; Revenue'!$A:$AE,19,FALSE)</f>
        <v>0</v>
      </c>
      <c r="K121" s="266">
        <f>VLOOKUP($A121,'Budget &amp; Revenue'!$A:$AE,21,FALSE)</f>
        <v>0</v>
      </c>
      <c r="L121" s="266">
        <f>VLOOKUP($A121,'Budget &amp; Revenue'!$A:$AE,23,FALSE)</f>
        <v>0</v>
      </c>
      <c r="M121" s="266">
        <f>VLOOKUP($A121,'Budget &amp; Revenue'!$A:$AE,25,FALSE)</f>
        <v>0</v>
      </c>
      <c r="N121" s="266">
        <f>VLOOKUP($A121,'Budget &amp; Revenue'!$A:$AE,27,FALSE)</f>
        <v>0</v>
      </c>
      <c r="O121" s="266">
        <f>VLOOKUP($A121,'Budget &amp; Revenue'!$A:$AE,29,FALSE)</f>
        <v>1</v>
      </c>
      <c r="P121" s="266">
        <f>VLOOKUP($A121,'Budget &amp; Revenue'!$A:$AE,31,FALSE)</f>
        <v>1</v>
      </c>
    </row>
    <row r="122" spans="1:16" x14ac:dyDescent="0.25">
      <c r="A122" s="167">
        <v>125</v>
      </c>
      <c r="B122" s="252" t="str">
        <f>VLOOKUP(A122,Estimate!A:C,3,FALSE)</f>
        <v>Drain Widening - Lot 130</v>
      </c>
      <c r="C122" s="251">
        <f>VLOOKUP(A122,Estimate!A:L,12,FALSE)</f>
        <v>1</v>
      </c>
      <c r="D122" s="255">
        <v>121</v>
      </c>
      <c r="E122" s="255">
        <v>123</v>
      </c>
      <c r="F122" s="257">
        <f>VLOOKUP(A122,Estimate!A:Q,17,FALSE)</f>
        <v>3303.3303330333033</v>
      </c>
      <c r="G122" s="266">
        <f>VLOOKUP($A122,'Budget &amp; Revenue'!$A:$AE,13,FALSE)</f>
        <v>0</v>
      </c>
      <c r="H122" s="266">
        <f>VLOOKUP($A122,'Budget &amp; Revenue'!$A:$AE,15,FALSE)</f>
        <v>0</v>
      </c>
      <c r="I122" s="266">
        <f>VLOOKUP($A122,'Budget &amp; Revenue'!$A:$AE,17,FALSE)</f>
        <v>0</v>
      </c>
      <c r="J122" s="266">
        <f>VLOOKUP($A122,'Budget &amp; Revenue'!$A:$AE,19,FALSE)</f>
        <v>0</v>
      </c>
      <c r="K122" s="266">
        <f>VLOOKUP($A122,'Budget &amp; Revenue'!$A:$AE,21,FALSE)</f>
        <v>0</v>
      </c>
      <c r="L122" s="266">
        <f>VLOOKUP($A122,'Budget &amp; Revenue'!$A:$AE,23,FALSE)</f>
        <v>0</v>
      </c>
      <c r="M122" s="266">
        <f>VLOOKUP($A122,'Budget &amp; Revenue'!$A:$AE,25,FALSE)</f>
        <v>0</v>
      </c>
      <c r="N122" s="266">
        <f>VLOOKUP($A122,'Budget &amp; Revenue'!$A:$AE,27,FALSE)</f>
        <v>1</v>
      </c>
      <c r="O122" s="266">
        <f>VLOOKUP($A122,'Budget &amp; Revenue'!$A:$AE,29,FALSE)</f>
        <v>1</v>
      </c>
      <c r="P122" s="266">
        <f>VLOOKUP($A122,'Budget &amp; Revenue'!$A:$AE,31,FALSE)</f>
        <v>1</v>
      </c>
    </row>
    <row r="123" spans="1:16" x14ac:dyDescent="0.25">
      <c r="A123" s="167">
        <v>126</v>
      </c>
      <c r="B123" s="252" t="str">
        <f>VLOOKUP(A123,Estimate!A:C,3,FALSE)</f>
        <v>Batter Protection - Lot 130</v>
      </c>
      <c r="C123" s="251">
        <f>VLOOKUP(A123,Estimate!A:L,12,FALSE)</f>
        <v>1</v>
      </c>
      <c r="D123" s="255">
        <v>122</v>
      </c>
      <c r="E123" s="255">
        <v>124</v>
      </c>
      <c r="F123" s="257">
        <f>VLOOKUP(A123,Estimate!A:Q,17,FALSE)</f>
        <v>2641.590909090909</v>
      </c>
      <c r="G123" s="266">
        <f>VLOOKUP($A123,'Budget &amp; Revenue'!$A:$AE,13,FALSE)</f>
        <v>0</v>
      </c>
      <c r="H123" s="266">
        <f>VLOOKUP($A123,'Budget &amp; Revenue'!$A:$AE,15,FALSE)</f>
        <v>0</v>
      </c>
      <c r="I123" s="266">
        <f>VLOOKUP($A123,'Budget &amp; Revenue'!$A:$AE,17,FALSE)</f>
        <v>0</v>
      </c>
      <c r="J123" s="266">
        <f>VLOOKUP($A123,'Budget &amp; Revenue'!$A:$AE,19,FALSE)</f>
        <v>0</v>
      </c>
      <c r="K123" s="266">
        <f>VLOOKUP($A123,'Budget &amp; Revenue'!$A:$AE,21,FALSE)</f>
        <v>0</v>
      </c>
      <c r="L123" s="266">
        <f>VLOOKUP($A123,'Budget &amp; Revenue'!$A:$AE,23,FALSE)</f>
        <v>0</v>
      </c>
      <c r="M123" s="266">
        <f>VLOOKUP($A123,'Budget &amp; Revenue'!$A:$AE,25,FALSE)</f>
        <v>0</v>
      </c>
      <c r="N123" s="266">
        <f>VLOOKUP($A123,'Budget &amp; Revenue'!$A:$AE,27,FALSE)</f>
        <v>0</v>
      </c>
      <c r="O123" s="266">
        <f>VLOOKUP($A123,'Budget &amp; Revenue'!$A:$AE,29,FALSE)</f>
        <v>1</v>
      </c>
      <c r="P123" s="266">
        <f>VLOOKUP($A123,'Budget &amp; Revenue'!$A:$AE,31,FALSE)</f>
        <v>1</v>
      </c>
    </row>
    <row r="124" spans="1:16" x14ac:dyDescent="0.25">
      <c r="A124" s="167">
        <v>127</v>
      </c>
      <c r="B124" s="252" t="str">
        <f>VLOOKUP(A124,Estimate!A:C,3,FALSE)</f>
        <v>Culvert Extension - Lot 30</v>
      </c>
      <c r="C124" s="251">
        <f>VLOOKUP(A124,Estimate!A:L,12,FALSE)</f>
        <v>3</v>
      </c>
      <c r="D124" s="255">
        <v>123</v>
      </c>
      <c r="E124" s="255">
        <v>125</v>
      </c>
      <c r="F124" s="257">
        <f>VLOOKUP(A124,Estimate!A:Q,17,FALSE)</f>
        <v>3181.7675555555556</v>
      </c>
      <c r="G124" s="266">
        <f>VLOOKUP($A124,'Budget &amp; Revenue'!$A:$AE,13,FALSE)</f>
        <v>0</v>
      </c>
      <c r="H124" s="266">
        <f>VLOOKUP($A124,'Budget &amp; Revenue'!$A:$AE,15,FALSE)</f>
        <v>0</v>
      </c>
      <c r="I124" s="266">
        <f>VLOOKUP($A124,'Budget &amp; Revenue'!$A:$AE,17,FALSE)</f>
        <v>0</v>
      </c>
      <c r="J124" s="266">
        <f>VLOOKUP($A124,'Budget &amp; Revenue'!$A:$AE,19,FALSE)</f>
        <v>0</v>
      </c>
      <c r="K124" s="266">
        <f>VLOOKUP($A124,'Budget &amp; Revenue'!$A:$AE,21,FALSE)</f>
        <v>0</v>
      </c>
      <c r="L124" s="266">
        <f>VLOOKUP($A124,'Budget &amp; Revenue'!$A:$AE,23,FALSE)</f>
        <v>0</v>
      </c>
      <c r="M124" s="266">
        <f>VLOOKUP($A124,'Budget &amp; Revenue'!$A:$AE,25,FALSE)</f>
        <v>0</v>
      </c>
      <c r="N124" s="266">
        <f>VLOOKUP($A124,'Budget &amp; Revenue'!$A:$AE,27,FALSE)</f>
        <v>0</v>
      </c>
      <c r="O124" s="266">
        <f>VLOOKUP($A124,'Budget &amp; Revenue'!$A:$AE,29,FALSE)</f>
        <v>0.41666666666666669</v>
      </c>
      <c r="P124" s="266">
        <f>VLOOKUP($A124,'Budget &amp; Revenue'!$A:$AE,31,FALSE)</f>
        <v>0.41666666666666669</v>
      </c>
    </row>
    <row r="125" spans="1:16" x14ac:dyDescent="0.25">
      <c r="A125" s="167">
        <v>128</v>
      </c>
      <c r="B125" s="252" t="str">
        <f>VLOOKUP(A125,Estimate!A:C,3,FALSE)</f>
        <v>Additional Drainage Works - Wright Road</v>
      </c>
      <c r="C125" s="251">
        <f>VLOOKUP(A125,Estimate!A:L,12,FALSE)</f>
        <v>1</v>
      </c>
      <c r="D125" s="255">
        <v>124</v>
      </c>
      <c r="E125" s="255">
        <v>106</v>
      </c>
      <c r="F125" s="257">
        <f>VLOOKUP(A125,Estimate!A:Q,17,FALSE)</f>
        <v>1238.7488748874887</v>
      </c>
      <c r="G125" s="266">
        <f>VLOOKUP($A125,'Budget &amp; Revenue'!$A:$AE,13,FALSE)</f>
        <v>0</v>
      </c>
      <c r="H125" s="266">
        <f>VLOOKUP($A125,'Budget &amp; Revenue'!$A:$AE,15,FALSE)</f>
        <v>0</v>
      </c>
      <c r="I125" s="266">
        <f>VLOOKUP($A125,'Budget &amp; Revenue'!$A:$AE,17,FALSE)</f>
        <v>0</v>
      </c>
      <c r="J125" s="266">
        <f>VLOOKUP($A125,'Budget &amp; Revenue'!$A:$AE,19,FALSE)</f>
        <v>0</v>
      </c>
      <c r="K125" s="266">
        <f>VLOOKUP($A125,'Budget &amp; Revenue'!$A:$AE,21,FALSE)</f>
        <v>0</v>
      </c>
      <c r="L125" s="266">
        <f>VLOOKUP($A125,'Budget &amp; Revenue'!$A:$AE,23,FALSE)</f>
        <v>0</v>
      </c>
      <c r="M125" s="266">
        <f>VLOOKUP($A125,'Budget &amp; Revenue'!$A:$AE,25,FALSE)</f>
        <v>0</v>
      </c>
      <c r="N125" s="266">
        <f>VLOOKUP($A125,'Budget &amp; Revenue'!$A:$AE,27,FALSE)</f>
        <v>0</v>
      </c>
      <c r="O125" s="266">
        <f>VLOOKUP($A125,'Budget &amp; Revenue'!$A:$AE,29,FALSE)</f>
        <v>0</v>
      </c>
      <c r="P125" s="266">
        <f>VLOOKUP($A125,'Budget &amp; Revenue'!$A:$AE,31,FALSE)</f>
        <v>1</v>
      </c>
    </row>
    <row r="126" spans="1:16" x14ac:dyDescent="0.25">
      <c r="G126" s="260"/>
    </row>
    <row r="127" spans="1:16" x14ac:dyDescent="0.25">
      <c r="G127" s="260"/>
    </row>
    <row r="293" spans="13:13" x14ac:dyDescent="0.25">
      <c r="M293" s="260"/>
    </row>
  </sheetData>
  <sortState xmlns:xlrd2="http://schemas.microsoft.com/office/spreadsheetml/2017/richdata2" ref="M5:M970">
    <sortCondition ref="M5"/>
  </sortState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1500-1441-4275-B966-A5F6AA9A06C1}">
  <dimension ref="A1:AR122"/>
  <sheetViews>
    <sheetView workbookViewId="0">
      <pane ySplit="2" topLeftCell="A98" activePane="bottomLeft" state="frozen"/>
      <selection pane="bottomLeft" activeCell="AD31" sqref="AD31"/>
    </sheetView>
  </sheetViews>
  <sheetFormatPr defaultColWidth="9.140625" defaultRowHeight="15" x14ac:dyDescent="0.25"/>
  <cols>
    <col min="1" max="1" width="9.140625" style="101"/>
    <col min="2" max="2" width="9.85546875" style="98" bestFit="1" customWidth="1"/>
    <col min="3" max="3" width="50.7109375" style="161" customWidth="1"/>
    <col min="4" max="4" width="6.28515625" style="98" bestFit="1" customWidth="1"/>
    <col min="5" max="5" width="13.28515625" style="190" bestFit="1" customWidth="1"/>
    <col min="6" max="6" width="14" style="98" customWidth="1"/>
    <col min="7" max="7" width="14.140625" style="98" customWidth="1"/>
    <col min="8" max="8" width="10.5703125" style="98" customWidth="1"/>
    <col min="9" max="9" width="11.42578125" style="98" customWidth="1"/>
    <col min="10" max="10" width="12.28515625" style="98" customWidth="1"/>
    <col min="11" max="11" width="7.140625" style="98" customWidth="1"/>
    <col min="12" max="12" width="9.140625" style="98" bestFit="1" customWidth="1"/>
    <col min="13" max="13" width="13.28515625" style="98" bestFit="1" customWidth="1"/>
    <col min="14" max="14" width="9.140625" style="98" bestFit="1" customWidth="1"/>
    <col min="15" max="15" width="13.28515625" style="98" bestFit="1" customWidth="1"/>
    <col min="16" max="16" width="9.140625" style="98" bestFit="1" customWidth="1"/>
    <col min="17" max="17" width="13.28515625" style="98" bestFit="1" customWidth="1"/>
    <col min="18" max="18" width="9.140625" style="98" bestFit="1" customWidth="1"/>
    <col min="19" max="19" width="13.28515625" style="98" bestFit="1" customWidth="1"/>
    <col min="20" max="20" width="9.140625" style="98" bestFit="1" customWidth="1"/>
    <col min="21" max="21" width="13.28515625" style="98" bestFit="1" customWidth="1"/>
    <col min="22" max="22" width="9.140625" style="98" bestFit="1" customWidth="1"/>
    <col min="23" max="23" width="13.28515625" style="98" bestFit="1" customWidth="1"/>
    <col min="24" max="24" width="9.140625" style="98" bestFit="1" customWidth="1"/>
    <col min="25" max="25" width="13.28515625" style="98" bestFit="1" customWidth="1"/>
    <col min="26" max="26" width="9.140625" style="98" bestFit="1" customWidth="1"/>
    <col min="27" max="27" width="13.28515625" style="98" bestFit="1" customWidth="1"/>
    <col min="28" max="28" width="9.140625" style="98" bestFit="1" customWidth="1"/>
    <col min="29" max="29" width="13.28515625" style="98" bestFit="1" customWidth="1"/>
    <col min="30" max="30" width="9.140625" style="98" bestFit="1" customWidth="1"/>
    <col min="31" max="31" width="13.28515625" style="98" bestFit="1" customWidth="1"/>
    <col min="32" max="32" width="5.7109375" style="98" customWidth="1"/>
    <col min="33" max="42" width="18" style="98" customWidth="1"/>
    <col min="43" max="16384" width="9.140625" style="98"/>
  </cols>
  <sheetData>
    <row r="1" spans="1:42" s="162" customFormat="1" ht="30" x14ac:dyDescent="0.25">
      <c r="A1" s="193" t="s">
        <v>673</v>
      </c>
      <c r="B1" s="193" t="s">
        <v>1211</v>
      </c>
      <c r="C1" s="193" t="s">
        <v>298</v>
      </c>
      <c r="D1" s="193" t="s">
        <v>3</v>
      </c>
      <c r="E1" s="194" t="s">
        <v>1261</v>
      </c>
      <c r="F1" s="193" t="s">
        <v>1212</v>
      </c>
      <c r="G1" s="193" t="s">
        <v>1213</v>
      </c>
      <c r="H1" s="193" t="s">
        <v>1214</v>
      </c>
      <c r="I1" s="193" t="s">
        <v>1215</v>
      </c>
      <c r="J1" s="193" t="s">
        <v>1216</v>
      </c>
      <c r="K1" s="193"/>
      <c r="L1" s="193" t="s">
        <v>1262</v>
      </c>
      <c r="M1" s="193" t="s">
        <v>1282</v>
      </c>
      <c r="N1" s="193" t="s">
        <v>1263</v>
      </c>
      <c r="O1" s="193" t="s">
        <v>1286</v>
      </c>
      <c r="P1" s="193" t="s">
        <v>1264</v>
      </c>
      <c r="Q1" s="193" t="s">
        <v>1287</v>
      </c>
      <c r="R1" s="193" t="s">
        <v>1265</v>
      </c>
      <c r="S1" s="193" t="s">
        <v>1288</v>
      </c>
      <c r="T1" s="193" t="s">
        <v>1266</v>
      </c>
      <c r="U1" s="193" t="s">
        <v>1289</v>
      </c>
      <c r="V1" s="193" t="s">
        <v>1267</v>
      </c>
      <c r="W1" s="193" t="s">
        <v>1290</v>
      </c>
      <c r="X1" s="193" t="s">
        <v>1268</v>
      </c>
      <c r="Y1" s="193" t="s">
        <v>1291</v>
      </c>
      <c r="Z1" s="193" t="s">
        <v>1269</v>
      </c>
      <c r="AA1" s="193" t="s">
        <v>1292</v>
      </c>
      <c r="AB1" s="193" t="s">
        <v>1270</v>
      </c>
      <c r="AC1" s="193" t="s">
        <v>1293</v>
      </c>
      <c r="AD1" s="193" t="s">
        <v>1271</v>
      </c>
      <c r="AE1" s="193" t="s">
        <v>1294</v>
      </c>
      <c r="AF1" s="195"/>
      <c r="AG1" s="193" t="s">
        <v>1272</v>
      </c>
      <c r="AH1" s="193" t="s">
        <v>1273</v>
      </c>
      <c r="AI1" s="193" t="s">
        <v>1274</v>
      </c>
      <c r="AJ1" s="193" t="s">
        <v>1275</v>
      </c>
      <c r="AK1" s="193" t="s">
        <v>1276</v>
      </c>
      <c r="AL1" s="193" t="s">
        <v>1277</v>
      </c>
      <c r="AM1" s="193" t="s">
        <v>1278</v>
      </c>
      <c r="AN1" s="193" t="s">
        <v>1279</v>
      </c>
      <c r="AO1" s="193" t="s">
        <v>1280</v>
      </c>
      <c r="AP1" s="193" t="s">
        <v>1281</v>
      </c>
    </row>
    <row r="2" spans="1:42" x14ac:dyDescent="0.25">
      <c r="A2" s="196" t="s">
        <v>643</v>
      </c>
      <c r="B2" s="197" t="s">
        <v>643</v>
      </c>
      <c r="C2" s="198" t="s">
        <v>1217</v>
      </c>
      <c r="D2" s="197" t="s">
        <v>643</v>
      </c>
      <c r="E2" s="199"/>
      <c r="F2" s="200" t="s">
        <v>643</v>
      </c>
      <c r="G2" s="200" t="s">
        <v>643</v>
      </c>
      <c r="H2" s="201" t="s">
        <v>643</v>
      </c>
      <c r="I2" s="201" t="s">
        <v>643</v>
      </c>
      <c r="J2" s="201" t="s">
        <v>643</v>
      </c>
      <c r="K2" s="200"/>
      <c r="L2" s="200" t="s">
        <v>643</v>
      </c>
      <c r="M2" s="200"/>
      <c r="N2" s="200" t="s">
        <v>643</v>
      </c>
      <c r="O2" s="200"/>
      <c r="P2" s="200" t="s">
        <v>643</v>
      </c>
      <c r="Q2" s="200"/>
      <c r="R2" s="200" t="s">
        <v>643</v>
      </c>
      <c r="S2" s="200"/>
      <c r="T2" s="200" t="s">
        <v>643</v>
      </c>
      <c r="U2" s="200"/>
      <c r="V2" s="200" t="s">
        <v>643</v>
      </c>
      <c r="W2" s="200"/>
      <c r="X2" s="200" t="s">
        <v>643</v>
      </c>
      <c r="Y2" s="200"/>
      <c r="Z2" s="200" t="s">
        <v>643</v>
      </c>
      <c r="AA2" s="200"/>
      <c r="AB2" s="200" t="s">
        <v>643</v>
      </c>
      <c r="AC2" s="200"/>
      <c r="AD2" s="200" t="s">
        <v>643</v>
      </c>
      <c r="AE2" s="200"/>
      <c r="AF2" s="200" t="s">
        <v>643</v>
      </c>
      <c r="AG2" s="200" t="s">
        <v>643</v>
      </c>
      <c r="AH2" s="200" t="s">
        <v>643</v>
      </c>
      <c r="AI2" s="200" t="s">
        <v>643</v>
      </c>
      <c r="AJ2" s="200" t="s">
        <v>643</v>
      </c>
      <c r="AK2" s="200" t="s">
        <v>643</v>
      </c>
      <c r="AL2" s="200" t="s">
        <v>643</v>
      </c>
      <c r="AM2" s="200" t="s">
        <v>643</v>
      </c>
      <c r="AN2" s="200" t="s">
        <v>643</v>
      </c>
      <c r="AO2" s="200" t="s">
        <v>643</v>
      </c>
      <c r="AP2" s="200" t="s">
        <v>643</v>
      </c>
    </row>
    <row r="3" spans="1:42" x14ac:dyDescent="0.25">
      <c r="A3" s="202"/>
      <c r="B3" s="203" t="s">
        <v>643</v>
      </c>
      <c r="C3" s="204" t="s">
        <v>643</v>
      </c>
      <c r="D3" s="203" t="s">
        <v>643</v>
      </c>
      <c r="E3" s="205"/>
      <c r="F3" s="206" t="s">
        <v>643</v>
      </c>
      <c r="G3" s="206" t="s">
        <v>643</v>
      </c>
      <c r="H3" s="207" t="s">
        <v>643</v>
      </c>
      <c r="I3" s="207" t="s">
        <v>643</v>
      </c>
      <c r="J3" s="207" t="s">
        <v>643</v>
      </c>
      <c r="K3" s="206"/>
      <c r="L3" s="206" t="s">
        <v>643</v>
      </c>
      <c r="M3" s="206"/>
      <c r="N3" s="206" t="s">
        <v>643</v>
      </c>
      <c r="O3" s="206"/>
      <c r="P3" s="206" t="s">
        <v>643</v>
      </c>
      <c r="Q3" s="206"/>
      <c r="R3" s="206" t="s">
        <v>643</v>
      </c>
      <c r="S3" s="206"/>
      <c r="T3" s="206" t="s">
        <v>643</v>
      </c>
      <c r="U3" s="206"/>
      <c r="V3" s="206" t="s">
        <v>643</v>
      </c>
      <c r="W3" s="206"/>
      <c r="X3" s="206" t="s">
        <v>643</v>
      </c>
      <c r="Y3" s="206"/>
      <c r="Z3" s="206" t="s">
        <v>643</v>
      </c>
      <c r="AA3" s="206"/>
      <c r="AB3" s="206" t="s">
        <v>643</v>
      </c>
      <c r="AC3" s="206"/>
      <c r="AD3" s="206" t="s">
        <v>643</v>
      </c>
      <c r="AE3" s="206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</row>
    <row r="4" spans="1:42" x14ac:dyDescent="0.25">
      <c r="A4" s="202">
        <v>5</v>
      </c>
      <c r="B4" s="203" t="s">
        <v>1218</v>
      </c>
      <c r="C4" s="204" t="s">
        <v>14</v>
      </c>
      <c r="D4" s="203" t="s">
        <v>715</v>
      </c>
      <c r="E4" s="205"/>
      <c r="F4" s="206" t="s">
        <v>643</v>
      </c>
      <c r="G4" s="206" t="s">
        <v>643</v>
      </c>
      <c r="H4" s="207" t="s">
        <v>643</v>
      </c>
      <c r="I4" s="207" t="s">
        <v>643</v>
      </c>
      <c r="J4" s="207" t="s">
        <v>643</v>
      </c>
      <c r="K4" s="206"/>
      <c r="L4" s="206" t="s">
        <v>643</v>
      </c>
      <c r="M4" s="206"/>
      <c r="N4" s="206" t="s">
        <v>643</v>
      </c>
      <c r="O4" s="206"/>
      <c r="P4" s="206" t="s">
        <v>643</v>
      </c>
      <c r="Q4" s="206"/>
      <c r="R4" s="206" t="s">
        <v>643</v>
      </c>
      <c r="S4" s="206"/>
      <c r="T4" s="206" t="s">
        <v>643</v>
      </c>
      <c r="U4" s="206"/>
      <c r="V4" s="206" t="s">
        <v>643</v>
      </c>
      <c r="W4" s="206"/>
      <c r="X4" s="206" t="s">
        <v>643</v>
      </c>
      <c r="Y4" s="206"/>
      <c r="Z4" s="206" t="s">
        <v>643</v>
      </c>
      <c r="AA4" s="206"/>
      <c r="AB4" s="206" t="s">
        <v>643</v>
      </c>
      <c r="AC4" s="206"/>
      <c r="AD4" s="206" t="s">
        <v>643</v>
      </c>
      <c r="AE4" s="206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</row>
    <row r="5" spans="1:42" x14ac:dyDescent="0.25">
      <c r="A5" s="202"/>
      <c r="B5" s="203" t="s">
        <v>1218</v>
      </c>
      <c r="C5" s="204" t="s">
        <v>643</v>
      </c>
      <c r="D5" s="203" t="s">
        <v>715</v>
      </c>
      <c r="E5" s="205" t="str">
        <f>IFERROR(VLOOKUP(A5,Estimate!A:Q,17,FALSE)," ")</f>
        <v xml:space="preserve"> </v>
      </c>
      <c r="F5" s="206" t="s">
        <v>643</v>
      </c>
      <c r="G5" s="206" t="s">
        <v>643</v>
      </c>
      <c r="H5" s="207" t="s">
        <v>643</v>
      </c>
      <c r="I5" s="207" t="s">
        <v>643</v>
      </c>
      <c r="J5" s="207" t="s">
        <v>643</v>
      </c>
      <c r="K5" s="206"/>
      <c r="L5" s="206" t="s">
        <v>643</v>
      </c>
      <c r="M5" s="206"/>
      <c r="N5" s="206" t="s">
        <v>643</v>
      </c>
      <c r="O5" s="206"/>
      <c r="P5" s="206" t="s">
        <v>643</v>
      </c>
      <c r="Q5" s="206"/>
      <c r="R5" s="206" t="s">
        <v>643</v>
      </c>
      <c r="S5" s="206"/>
      <c r="T5" s="206" t="s">
        <v>643</v>
      </c>
      <c r="U5" s="206"/>
      <c r="V5" s="206" t="s">
        <v>643</v>
      </c>
      <c r="W5" s="206"/>
      <c r="X5" s="206" t="s">
        <v>643</v>
      </c>
      <c r="Y5" s="206"/>
      <c r="Z5" s="206" t="s">
        <v>643</v>
      </c>
      <c r="AA5" s="206"/>
      <c r="AB5" s="206" t="s">
        <v>643</v>
      </c>
      <c r="AC5" s="206"/>
      <c r="AD5" s="206" t="s">
        <v>643</v>
      </c>
      <c r="AE5" s="206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</row>
    <row r="6" spans="1:42" x14ac:dyDescent="0.25">
      <c r="A6" s="202">
        <v>6</v>
      </c>
      <c r="B6" s="203" t="s">
        <v>1219</v>
      </c>
      <c r="C6" s="204" t="s">
        <v>16</v>
      </c>
      <c r="D6" s="203" t="s">
        <v>17</v>
      </c>
      <c r="E6" s="205">
        <f>IFERROR(VLOOKUP(A6,Estimate!A:Q,17,FALSE)," ")</f>
        <v>3250</v>
      </c>
      <c r="F6" s="206">
        <v>1</v>
      </c>
      <c r="G6" s="206">
        <v>1</v>
      </c>
      <c r="H6" s="207">
        <v>3999.73</v>
      </c>
      <c r="I6" s="207">
        <v>3999.73</v>
      </c>
      <c r="J6" s="207">
        <v>3999.73</v>
      </c>
      <c r="K6" s="206"/>
      <c r="L6" s="206"/>
      <c r="M6" s="208">
        <f>IFERROR(L6/$G6," ")</f>
        <v>0</v>
      </c>
      <c r="N6" s="206">
        <v>0.6</v>
      </c>
      <c r="O6" s="208">
        <f>IFERROR(N6/$G6," ")</f>
        <v>0.6</v>
      </c>
      <c r="P6" s="206">
        <v>0.7</v>
      </c>
      <c r="Q6" s="208">
        <f>IFERROR(P6/$G6," ")</f>
        <v>0.7</v>
      </c>
      <c r="R6" s="206">
        <v>0.7</v>
      </c>
      <c r="S6" s="208">
        <f>IFERROR(R6/$G6," ")</f>
        <v>0.7</v>
      </c>
      <c r="T6" s="206">
        <v>0.85</v>
      </c>
      <c r="U6" s="208">
        <f>IFERROR(T6/$G6," ")</f>
        <v>0.85</v>
      </c>
      <c r="V6" s="206">
        <v>0.9</v>
      </c>
      <c r="W6" s="208">
        <f>IFERROR(V6/$G6," ")</f>
        <v>0.9</v>
      </c>
      <c r="X6" s="206">
        <v>0.9</v>
      </c>
      <c r="Y6" s="208">
        <f>IFERROR(X6/$G6," ")</f>
        <v>0.9</v>
      </c>
      <c r="Z6" s="206">
        <v>1</v>
      </c>
      <c r="AA6" s="208">
        <f>IFERROR(Z6/$G6," ")</f>
        <v>1</v>
      </c>
      <c r="AB6" s="206">
        <v>1</v>
      </c>
      <c r="AC6" s="208">
        <f>IFERROR(AB6/$G6," ")</f>
        <v>1</v>
      </c>
      <c r="AD6" s="206">
        <v>1</v>
      </c>
      <c r="AE6" s="208">
        <f>IFERROR(AD6/$G6," ")</f>
        <v>1</v>
      </c>
      <c r="AF6" s="203"/>
      <c r="AG6" s="205">
        <f>IFERROR(L6*$H6," ")</f>
        <v>0</v>
      </c>
      <c r="AH6" s="205">
        <f t="shared" ref="AH6:AH21" si="0">IFERROR(N6*$H6," ")</f>
        <v>2399.8379999999997</v>
      </c>
      <c r="AI6" s="205">
        <f t="shared" ref="AI6:AI21" si="1">IFERROR(P6*$H6," ")</f>
        <v>2799.8109999999997</v>
      </c>
      <c r="AJ6" s="205">
        <f t="shared" ref="AJ6:AJ21" si="2">IFERROR(R6*$H6," ")</f>
        <v>2799.8109999999997</v>
      </c>
      <c r="AK6" s="205">
        <f t="shared" ref="AK6:AK21" si="3">IFERROR(T6*$H6," ")</f>
        <v>3399.7705000000001</v>
      </c>
      <c r="AL6" s="205">
        <f t="shared" ref="AL6:AL21" si="4">IFERROR(V6*$H6," ")</f>
        <v>3599.7570000000001</v>
      </c>
      <c r="AM6" s="205">
        <f t="shared" ref="AM6:AM21" si="5">IFERROR(X6*$H6," ")</f>
        <v>3599.7570000000001</v>
      </c>
      <c r="AN6" s="205">
        <f t="shared" ref="AN6:AN21" si="6">IFERROR(Z6*$H6," ")</f>
        <v>3999.73</v>
      </c>
      <c r="AO6" s="205">
        <f t="shared" ref="AO6:AO21" si="7">IFERROR(AB6*$H6," ")</f>
        <v>3999.73</v>
      </c>
      <c r="AP6" s="205">
        <f t="shared" ref="AP6:AP21" si="8">IFERROR(AD6*$H6," ")</f>
        <v>3999.73</v>
      </c>
    </row>
    <row r="7" spans="1:42" x14ac:dyDescent="0.25">
      <c r="A7" s="202">
        <v>7</v>
      </c>
      <c r="B7" s="203" t="s">
        <v>1219</v>
      </c>
      <c r="C7" s="204" t="s">
        <v>21</v>
      </c>
      <c r="D7" s="203" t="s">
        <v>17</v>
      </c>
      <c r="E7" s="205">
        <f>IFERROR(VLOOKUP(A7,Estimate!A:Q,17,FALSE)," ")</f>
        <v>11750</v>
      </c>
      <c r="F7" s="206">
        <v>1</v>
      </c>
      <c r="G7" s="206">
        <v>1</v>
      </c>
      <c r="H7" s="207">
        <v>14460.56</v>
      </c>
      <c r="I7" s="207">
        <v>14460.56</v>
      </c>
      <c r="J7" s="207">
        <v>14460.56</v>
      </c>
      <c r="K7" s="206"/>
      <c r="L7" s="206"/>
      <c r="M7" s="208">
        <f t="shared" ref="M7:O70" si="9">IFERROR(L7/$G7," ")</f>
        <v>0</v>
      </c>
      <c r="N7" s="206">
        <v>0.6</v>
      </c>
      <c r="O7" s="208">
        <f t="shared" si="9"/>
        <v>0.6</v>
      </c>
      <c r="P7" s="206">
        <v>0.7</v>
      </c>
      <c r="Q7" s="208">
        <f t="shared" ref="Q7:S7" si="10">IFERROR(P7/$G7," ")</f>
        <v>0.7</v>
      </c>
      <c r="R7" s="206">
        <v>0.7</v>
      </c>
      <c r="S7" s="208">
        <f t="shared" si="10"/>
        <v>0.7</v>
      </c>
      <c r="T7" s="206">
        <v>0.85</v>
      </c>
      <c r="U7" s="208">
        <f t="shared" ref="U7:W7" si="11">IFERROR(T7/$G7," ")</f>
        <v>0.85</v>
      </c>
      <c r="V7" s="206">
        <v>0.9</v>
      </c>
      <c r="W7" s="208">
        <f t="shared" si="11"/>
        <v>0.9</v>
      </c>
      <c r="X7" s="206">
        <v>0.9</v>
      </c>
      <c r="Y7" s="208">
        <f t="shared" ref="Y7:AA7" si="12">IFERROR(X7/$G7," ")</f>
        <v>0.9</v>
      </c>
      <c r="Z7" s="206">
        <v>1</v>
      </c>
      <c r="AA7" s="208">
        <f t="shared" si="12"/>
        <v>1</v>
      </c>
      <c r="AB7" s="206">
        <v>1</v>
      </c>
      <c r="AC7" s="208">
        <f t="shared" ref="AC7:AE7" si="13">IFERROR(AB7/$G7," ")</f>
        <v>1</v>
      </c>
      <c r="AD7" s="206">
        <v>1</v>
      </c>
      <c r="AE7" s="208">
        <f t="shared" si="13"/>
        <v>1</v>
      </c>
      <c r="AF7" s="203"/>
      <c r="AG7" s="205">
        <f t="shared" ref="AG7:AG70" si="14">IFERROR(L7*$H7," ")</f>
        <v>0</v>
      </c>
      <c r="AH7" s="205">
        <f t="shared" si="0"/>
        <v>8676.3359999999993</v>
      </c>
      <c r="AI7" s="205">
        <f t="shared" si="1"/>
        <v>10122.392</v>
      </c>
      <c r="AJ7" s="205">
        <f t="shared" si="2"/>
        <v>10122.392</v>
      </c>
      <c r="AK7" s="205">
        <f t="shared" si="3"/>
        <v>12291.475999999999</v>
      </c>
      <c r="AL7" s="205">
        <f t="shared" si="4"/>
        <v>13014.503999999999</v>
      </c>
      <c r="AM7" s="205">
        <f t="shared" si="5"/>
        <v>13014.503999999999</v>
      </c>
      <c r="AN7" s="205">
        <f t="shared" si="6"/>
        <v>14460.56</v>
      </c>
      <c r="AO7" s="205">
        <f t="shared" si="7"/>
        <v>14460.56</v>
      </c>
      <c r="AP7" s="205">
        <f t="shared" si="8"/>
        <v>14460.56</v>
      </c>
    </row>
    <row r="8" spans="1:42" x14ac:dyDescent="0.25">
      <c r="A8" s="202">
        <v>8</v>
      </c>
      <c r="B8" s="203" t="s">
        <v>1220</v>
      </c>
      <c r="C8" s="204" t="s">
        <v>29</v>
      </c>
      <c r="D8" s="203" t="s">
        <v>17</v>
      </c>
      <c r="E8" s="205">
        <f>IFERROR(VLOOKUP(A8,Estimate!A:Q,17,FALSE)," ")</f>
        <v>13900</v>
      </c>
      <c r="F8" s="206">
        <v>1</v>
      </c>
      <c r="G8" s="206">
        <v>1</v>
      </c>
      <c r="H8" s="207">
        <v>17106.54</v>
      </c>
      <c r="I8" s="207">
        <v>17106.54</v>
      </c>
      <c r="J8" s="207">
        <v>17106.54</v>
      </c>
      <c r="K8" s="206"/>
      <c r="L8" s="206"/>
      <c r="M8" s="208">
        <f t="shared" si="9"/>
        <v>0</v>
      </c>
      <c r="N8" s="206">
        <v>0.8</v>
      </c>
      <c r="O8" s="208">
        <f t="shared" si="9"/>
        <v>0.8</v>
      </c>
      <c r="P8" s="206">
        <v>0.8</v>
      </c>
      <c r="Q8" s="208">
        <f t="shared" ref="Q8:S8" si="15">IFERROR(P8/$G8," ")</f>
        <v>0.8</v>
      </c>
      <c r="R8" s="206">
        <v>0.8</v>
      </c>
      <c r="S8" s="208">
        <f t="shared" si="15"/>
        <v>0.8</v>
      </c>
      <c r="T8" s="206">
        <v>1</v>
      </c>
      <c r="U8" s="208">
        <f t="shared" ref="U8:W8" si="16">IFERROR(T8/$G8," ")</f>
        <v>1</v>
      </c>
      <c r="V8" s="206">
        <v>1</v>
      </c>
      <c r="W8" s="208">
        <f t="shared" si="16"/>
        <v>1</v>
      </c>
      <c r="X8" s="206">
        <v>1</v>
      </c>
      <c r="Y8" s="208">
        <f t="shared" ref="Y8:AA8" si="17">IFERROR(X8/$G8," ")</f>
        <v>1</v>
      </c>
      <c r="Z8" s="206">
        <v>1</v>
      </c>
      <c r="AA8" s="208">
        <f t="shared" si="17"/>
        <v>1</v>
      </c>
      <c r="AB8" s="206">
        <v>1</v>
      </c>
      <c r="AC8" s="208">
        <f t="shared" ref="AC8:AE8" si="18">IFERROR(AB8/$G8," ")</f>
        <v>1</v>
      </c>
      <c r="AD8" s="206">
        <v>1</v>
      </c>
      <c r="AE8" s="208">
        <f t="shared" si="18"/>
        <v>1</v>
      </c>
      <c r="AF8" s="203"/>
      <c r="AG8" s="205">
        <f t="shared" si="14"/>
        <v>0</v>
      </c>
      <c r="AH8" s="205">
        <f t="shared" si="0"/>
        <v>13685.232000000002</v>
      </c>
      <c r="AI8" s="205">
        <f t="shared" si="1"/>
        <v>13685.232000000002</v>
      </c>
      <c r="AJ8" s="205">
        <f t="shared" si="2"/>
        <v>13685.232000000002</v>
      </c>
      <c r="AK8" s="205">
        <f t="shared" si="3"/>
        <v>17106.54</v>
      </c>
      <c r="AL8" s="205">
        <f t="shared" si="4"/>
        <v>17106.54</v>
      </c>
      <c r="AM8" s="205">
        <f t="shared" si="5"/>
        <v>17106.54</v>
      </c>
      <c r="AN8" s="205">
        <f t="shared" si="6"/>
        <v>17106.54</v>
      </c>
      <c r="AO8" s="205">
        <f t="shared" si="7"/>
        <v>17106.54</v>
      </c>
      <c r="AP8" s="205">
        <f t="shared" si="8"/>
        <v>17106.54</v>
      </c>
    </row>
    <row r="9" spans="1:42" x14ac:dyDescent="0.25">
      <c r="A9" s="202">
        <v>9</v>
      </c>
      <c r="B9" s="203" t="s">
        <v>1218</v>
      </c>
      <c r="C9" s="204" t="s">
        <v>32</v>
      </c>
      <c r="D9" s="203" t="s">
        <v>17</v>
      </c>
      <c r="E9" s="205">
        <f>IFERROR(VLOOKUP(A9,Estimate!A:Q,17,FALSE)," ")</f>
        <v>3250</v>
      </c>
      <c r="F9" s="206">
        <v>1</v>
      </c>
      <c r="G9" s="206">
        <v>1</v>
      </c>
      <c r="H9" s="207">
        <v>3999.73</v>
      </c>
      <c r="I9" s="207">
        <v>3999.73</v>
      </c>
      <c r="J9" s="207">
        <v>3999.73</v>
      </c>
      <c r="K9" s="206"/>
      <c r="L9" s="206"/>
      <c r="M9" s="208">
        <f t="shared" si="9"/>
        <v>0</v>
      </c>
      <c r="N9" s="206">
        <v>1</v>
      </c>
      <c r="O9" s="208">
        <f t="shared" si="9"/>
        <v>1</v>
      </c>
      <c r="P9" s="206">
        <v>1</v>
      </c>
      <c r="Q9" s="208">
        <f t="shared" ref="Q9:S9" si="19">IFERROR(P9/$G9," ")</f>
        <v>1</v>
      </c>
      <c r="R9" s="206">
        <v>1</v>
      </c>
      <c r="S9" s="208">
        <f t="shared" si="19"/>
        <v>1</v>
      </c>
      <c r="T9" s="206">
        <v>1</v>
      </c>
      <c r="U9" s="208">
        <f t="shared" ref="U9:W9" si="20">IFERROR(T9/$G9," ")</f>
        <v>1</v>
      </c>
      <c r="V9" s="206">
        <v>1</v>
      </c>
      <c r="W9" s="208">
        <f t="shared" si="20"/>
        <v>1</v>
      </c>
      <c r="X9" s="206">
        <v>1</v>
      </c>
      <c r="Y9" s="208">
        <f t="shared" ref="Y9:AA9" si="21">IFERROR(X9/$G9," ")</f>
        <v>1</v>
      </c>
      <c r="Z9" s="206">
        <v>1</v>
      </c>
      <c r="AA9" s="208">
        <f t="shared" si="21"/>
        <v>1</v>
      </c>
      <c r="AB9" s="206">
        <v>1</v>
      </c>
      <c r="AC9" s="208">
        <f t="shared" ref="AC9:AE9" si="22">IFERROR(AB9/$G9," ")</f>
        <v>1</v>
      </c>
      <c r="AD9" s="206">
        <v>1</v>
      </c>
      <c r="AE9" s="208">
        <f t="shared" si="22"/>
        <v>1</v>
      </c>
      <c r="AF9" s="203"/>
      <c r="AG9" s="205">
        <f t="shared" si="14"/>
        <v>0</v>
      </c>
      <c r="AH9" s="205">
        <f t="shared" si="0"/>
        <v>3999.73</v>
      </c>
      <c r="AI9" s="205">
        <f t="shared" si="1"/>
        <v>3999.73</v>
      </c>
      <c r="AJ9" s="205">
        <f t="shared" si="2"/>
        <v>3999.73</v>
      </c>
      <c r="AK9" s="205">
        <f t="shared" si="3"/>
        <v>3999.73</v>
      </c>
      <c r="AL9" s="205">
        <f t="shared" si="4"/>
        <v>3999.73</v>
      </c>
      <c r="AM9" s="205">
        <f t="shared" si="5"/>
        <v>3999.73</v>
      </c>
      <c r="AN9" s="205">
        <f t="shared" si="6"/>
        <v>3999.73</v>
      </c>
      <c r="AO9" s="205">
        <f t="shared" si="7"/>
        <v>3999.73</v>
      </c>
      <c r="AP9" s="205">
        <f t="shared" si="8"/>
        <v>3999.73</v>
      </c>
    </row>
    <row r="10" spans="1:42" x14ac:dyDescent="0.25">
      <c r="A10" s="202"/>
      <c r="B10" s="203" t="s">
        <v>1218</v>
      </c>
      <c r="C10" s="204" t="s">
        <v>643</v>
      </c>
      <c r="D10" s="203" t="s">
        <v>715</v>
      </c>
      <c r="E10" s="205" t="str">
        <f>IFERROR(VLOOKUP(A10,Estimate!A:Q,17,FALSE)," ")</f>
        <v xml:space="preserve"> </v>
      </c>
      <c r="F10" s="206" t="s">
        <v>643</v>
      </c>
      <c r="G10" s="206" t="s">
        <v>643</v>
      </c>
      <c r="H10" s="207" t="s">
        <v>643</v>
      </c>
      <c r="I10" s="207" t="s">
        <v>643</v>
      </c>
      <c r="J10" s="207" t="s">
        <v>643</v>
      </c>
      <c r="K10" s="206"/>
      <c r="L10" s="206" t="s">
        <v>643</v>
      </c>
      <c r="M10" s="208" t="str">
        <f t="shared" si="9"/>
        <v xml:space="preserve"> </v>
      </c>
      <c r="N10" s="206" t="s">
        <v>643</v>
      </c>
      <c r="O10" s="208" t="str">
        <f t="shared" si="9"/>
        <v xml:space="preserve"> </v>
      </c>
      <c r="P10" s="206" t="s">
        <v>643</v>
      </c>
      <c r="Q10" s="208" t="str">
        <f t="shared" ref="Q10:S10" si="23">IFERROR(P10/$G10," ")</f>
        <v xml:space="preserve"> </v>
      </c>
      <c r="R10" s="206" t="s">
        <v>643</v>
      </c>
      <c r="S10" s="208" t="str">
        <f t="shared" si="23"/>
        <v xml:space="preserve"> </v>
      </c>
      <c r="T10" s="206" t="s">
        <v>643</v>
      </c>
      <c r="U10" s="208" t="str">
        <f t="shared" ref="U10:W10" si="24">IFERROR(T10/$G10," ")</f>
        <v xml:space="preserve"> </v>
      </c>
      <c r="V10" s="206" t="s">
        <v>643</v>
      </c>
      <c r="W10" s="208" t="str">
        <f t="shared" si="24"/>
        <v xml:space="preserve"> </v>
      </c>
      <c r="X10" s="206" t="s">
        <v>643</v>
      </c>
      <c r="Y10" s="208" t="str">
        <f t="shared" ref="Y10:AA10" si="25">IFERROR(X10/$G10," ")</f>
        <v xml:space="preserve"> </v>
      </c>
      <c r="Z10" s="206" t="s">
        <v>643</v>
      </c>
      <c r="AA10" s="208" t="str">
        <f t="shared" si="25"/>
        <v xml:space="preserve"> </v>
      </c>
      <c r="AB10" s="206" t="s">
        <v>643</v>
      </c>
      <c r="AC10" s="208" t="str">
        <f t="shared" ref="AC10:AE10" si="26">IFERROR(AB10/$G10," ")</f>
        <v xml:space="preserve"> </v>
      </c>
      <c r="AD10" s="206" t="s">
        <v>643</v>
      </c>
      <c r="AE10" s="208" t="str">
        <f t="shared" si="26"/>
        <v xml:space="preserve"> </v>
      </c>
      <c r="AF10" s="203"/>
      <c r="AG10" s="205" t="str">
        <f t="shared" si="14"/>
        <v xml:space="preserve"> </v>
      </c>
      <c r="AH10" s="205" t="str">
        <f t="shared" si="0"/>
        <v xml:space="preserve"> </v>
      </c>
      <c r="AI10" s="205" t="str">
        <f t="shared" si="1"/>
        <v xml:space="preserve"> </v>
      </c>
      <c r="AJ10" s="205" t="str">
        <f t="shared" si="2"/>
        <v xml:space="preserve"> </v>
      </c>
      <c r="AK10" s="205" t="str">
        <f t="shared" si="3"/>
        <v xml:space="preserve"> </v>
      </c>
      <c r="AL10" s="205" t="str">
        <f t="shared" si="4"/>
        <v xml:space="preserve"> </v>
      </c>
      <c r="AM10" s="205" t="str">
        <f t="shared" si="5"/>
        <v xml:space="preserve"> </v>
      </c>
      <c r="AN10" s="205" t="str">
        <f t="shared" si="6"/>
        <v xml:space="preserve"> </v>
      </c>
      <c r="AO10" s="205" t="str">
        <f t="shared" si="7"/>
        <v xml:space="preserve"> </v>
      </c>
      <c r="AP10" s="205" t="str">
        <f t="shared" si="8"/>
        <v xml:space="preserve"> </v>
      </c>
    </row>
    <row r="11" spans="1:42" x14ac:dyDescent="0.25">
      <c r="A11" s="202"/>
      <c r="B11" s="203" t="s">
        <v>1218</v>
      </c>
      <c r="C11" s="204" t="s">
        <v>34</v>
      </c>
      <c r="D11" s="203" t="s">
        <v>715</v>
      </c>
      <c r="E11" s="205" t="str">
        <f>IFERROR(VLOOKUP(A11,Estimate!A:Q,17,FALSE)," ")</f>
        <v xml:space="preserve"> </v>
      </c>
      <c r="F11" s="206" t="s">
        <v>643</v>
      </c>
      <c r="G11" s="206" t="s">
        <v>643</v>
      </c>
      <c r="H11" s="207" t="s">
        <v>643</v>
      </c>
      <c r="I11" s="207" t="s">
        <v>643</v>
      </c>
      <c r="J11" s="207" t="s">
        <v>643</v>
      </c>
      <c r="K11" s="206"/>
      <c r="L11" s="206" t="s">
        <v>643</v>
      </c>
      <c r="M11" s="208" t="str">
        <f t="shared" si="9"/>
        <v xml:space="preserve"> </v>
      </c>
      <c r="N11" s="206" t="s">
        <v>643</v>
      </c>
      <c r="O11" s="208" t="str">
        <f t="shared" si="9"/>
        <v xml:space="preserve"> </v>
      </c>
      <c r="P11" s="206" t="s">
        <v>643</v>
      </c>
      <c r="Q11" s="208" t="str">
        <f t="shared" ref="Q11:S11" si="27">IFERROR(P11/$G11," ")</f>
        <v xml:space="preserve"> </v>
      </c>
      <c r="R11" s="206" t="s">
        <v>643</v>
      </c>
      <c r="S11" s="208" t="str">
        <f t="shared" si="27"/>
        <v xml:space="preserve"> </v>
      </c>
      <c r="T11" s="206" t="s">
        <v>643</v>
      </c>
      <c r="U11" s="208" t="str">
        <f t="shared" ref="U11:W11" si="28">IFERROR(T11/$G11," ")</f>
        <v xml:space="preserve"> </v>
      </c>
      <c r="V11" s="206" t="s">
        <v>643</v>
      </c>
      <c r="W11" s="208" t="str">
        <f t="shared" si="28"/>
        <v xml:space="preserve"> </v>
      </c>
      <c r="X11" s="206" t="s">
        <v>643</v>
      </c>
      <c r="Y11" s="208" t="str">
        <f t="shared" ref="Y11:AA11" si="29">IFERROR(X11/$G11," ")</f>
        <v xml:space="preserve"> </v>
      </c>
      <c r="Z11" s="206" t="s">
        <v>643</v>
      </c>
      <c r="AA11" s="208" t="str">
        <f t="shared" si="29"/>
        <v xml:space="preserve"> </v>
      </c>
      <c r="AB11" s="206" t="s">
        <v>643</v>
      </c>
      <c r="AC11" s="208" t="str">
        <f t="shared" ref="AC11:AE11" si="30">IFERROR(AB11/$G11," ")</f>
        <v xml:space="preserve"> </v>
      </c>
      <c r="AD11" s="206" t="s">
        <v>643</v>
      </c>
      <c r="AE11" s="208" t="str">
        <f t="shared" si="30"/>
        <v xml:space="preserve"> </v>
      </c>
      <c r="AF11" s="203"/>
      <c r="AG11" s="205" t="str">
        <f t="shared" si="14"/>
        <v xml:space="preserve"> </v>
      </c>
      <c r="AH11" s="205" t="str">
        <f t="shared" si="0"/>
        <v xml:space="preserve"> </v>
      </c>
      <c r="AI11" s="205" t="str">
        <f t="shared" si="1"/>
        <v xml:space="preserve"> </v>
      </c>
      <c r="AJ11" s="205" t="str">
        <f t="shared" si="2"/>
        <v xml:space="preserve"> </v>
      </c>
      <c r="AK11" s="205" t="str">
        <f t="shared" si="3"/>
        <v xml:space="preserve"> </v>
      </c>
      <c r="AL11" s="205" t="str">
        <f t="shared" si="4"/>
        <v xml:space="preserve"> </v>
      </c>
      <c r="AM11" s="205" t="str">
        <f t="shared" si="5"/>
        <v xml:space="preserve"> </v>
      </c>
      <c r="AN11" s="205" t="str">
        <f t="shared" si="6"/>
        <v xml:space="preserve"> </v>
      </c>
      <c r="AO11" s="205" t="str">
        <f t="shared" si="7"/>
        <v xml:space="preserve"> </v>
      </c>
      <c r="AP11" s="205" t="str">
        <f t="shared" si="8"/>
        <v xml:space="preserve"> </v>
      </c>
    </row>
    <row r="12" spans="1:42" x14ac:dyDescent="0.25">
      <c r="A12" s="202">
        <v>10</v>
      </c>
      <c r="B12" s="203" t="s">
        <v>1221</v>
      </c>
      <c r="C12" s="204" t="s">
        <v>36</v>
      </c>
      <c r="D12" s="203" t="s">
        <v>17</v>
      </c>
      <c r="E12" s="205">
        <f>IFERROR(VLOOKUP(A12,Estimate!A:Q,17,FALSE)," ")</f>
        <v>15829.545454545456</v>
      </c>
      <c r="F12" s="206">
        <v>1</v>
      </c>
      <c r="G12" s="206">
        <v>1</v>
      </c>
      <c r="H12" s="207">
        <v>20115.57</v>
      </c>
      <c r="I12" s="207">
        <v>20115.57</v>
      </c>
      <c r="J12" s="207">
        <v>20115.57</v>
      </c>
      <c r="K12" s="206"/>
      <c r="L12" s="206"/>
      <c r="M12" s="208">
        <f t="shared" si="9"/>
        <v>0</v>
      </c>
      <c r="N12" s="206">
        <v>0.6</v>
      </c>
      <c r="O12" s="208">
        <f t="shared" si="9"/>
        <v>0.6</v>
      </c>
      <c r="P12" s="206">
        <v>0.7</v>
      </c>
      <c r="Q12" s="208">
        <f t="shared" ref="Q12:S12" si="31">IFERROR(P12/$G12," ")</f>
        <v>0.7</v>
      </c>
      <c r="R12" s="206">
        <v>0.7</v>
      </c>
      <c r="S12" s="208">
        <f t="shared" si="31"/>
        <v>0.7</v>
      </c>
      <c r="T12" s="206">
        <v>0.85</v>
      </c>
      <c r="U12" s="208">
        <f t="shared" ref="U12:W12" si="32">IFERROR(T12/$G12," ")</f>
        <v>0.85</v>
      </c>
      <c r="V12" s="206">
        <v>0.9</v>
      </c>
      <c r="W12" s="208">
        <f t="shared" si="32"/>
        <v>0.9</v>
      </c>
      <c r="X12" s="206">
        <v>0.95</v>
      </c>
      <c r="Y12" s="208">
        <f t="shared" ref="Y12:AA12" si="33">IFERROR(X12/$G12," ")</f>
        <v>0.95</v>
      </c>
      <c r="Z12" s="206">
        <v>1</v>
      </c>
      <c r="AA12" s="208">
        <f t="shared" si="33"/>
        <v>1</v>
      </c>
      <c r="AB12" s="206">
        <v>1</v>
      </c>
      <c r="AC12" s="208">
        <f t="shared" ref="AC12:AE12" si="34">IFERROR(AB12/$G12," ")</f>
        <v>1</v>
      </c>
      <c r="AD12" s="206">
        <v>1</v>
      </c>
      <c r="AE12" s="208">
        <f t="shared" si="34"/>
        <v>1</v>
      </c>
      <c r="AF12" s="203"/>
      <c r="AG12" s="205">
        <f t="shared" si="14"/>
        <v>0</v>
      </c>
      <c r="AH12" s="205">
        <f t="shared" si="0"/>
        <v>12069.341999999999</v>
      </c>
      <c r="AI12" s="205">
        <f t="shared" si="1"/>
        <v>14080.898999999999</v>
      </c>
      <c r="AJ12" s="205">
        <f t="shared" si="2"/>
        <v>14080.898999999999</v>
      </c>
      <c r="AK12" s="205">
        <f t="shared" si="3"/>
        <v>17098.234499999999</v>
      </c>
      <c r="AL12" s="205">
        <f t="shared" si="4"/>
        <v>18104.012999999999</v>
      </c>
      <c r="AM12" s="205">
        <f t="shared" si="5"/>
        <v>19109.791499999999</v>
      </c>
      <c r="AN12" s="205">
        <f t="shared" si="6"/>
        <v>20115.57</v>
      </c>
      <c r="AO12" s="205">
        <f t="shared" si="7"/>
        <v>20115.57</v>
      </c>
      <c r="AP12" s="205">
        <f t="shared" si="8"/>
        <v>20115.57</v>
      </c>
    </row>
    <row r="13" spans="1:42" ht="30" x14ac:dyDescent="0.25">
      <c r="A13" s="202">
        <v>11</v>
      </c>
      <c r="B13" s="203" t="s">
        <v>1222</v>
      </c>
      <c r="C13" s="204" t="s">
        <v>41</v>
      </c>
      <c r="D13" s="203" t="s">
        <v>17</v>
      </c>
      <c r="E13" s="205">
        <f>IFERROR(VLOOKUP(A13,Estimate!A:Q,17,FALSE)," ")</f>
        <v>6600</v>
      </c>
      <c r="F13" s="206">
        <v>1</v>
      </c>
      <c r="G13" s="206">
        <v>1</v>
      </c>
      <c r="H13" s="207">
        <v>8122.53</v>
      </c>
      <c r="I13" s="207">
        <v>8122.53</v>
      </c>
      <c r="J13" s="207">
        <v>8122.53</v>
      </c>
      <c r="K13" s="206"/>
      <c r="L13" s="206"/>
      <c r="M13" s="208">
        <f t="shared" si="9"/>
        <v>0</v>
      </c>
      <c r="N13" s="206">
        <v>0.6</v>
      </c>
      <c r="O13" s="208">
        <f t="shared" si="9"/>
        <v>0.6</v>
      </c>
      <c r="P13" s="206">
        <v>0.7</v>
      </c>
      <c r="Q13" s="208">
        <f t="shared" ref="Q13:S13" si="35">IFERROR(P13/$G13," ")</f>
        <v>0.7</v>
      </c>
      <c r="R13" s="206">
        <v>0.7</v>
      </c>
      <c r="S13" s="208">
        <f t="shared" si="35"/>
        <v>0.7</v>
      </c>
      <c r="T13" s="206">
        <v>0.85</v>
      </c>
      <c r="U13" s="208">
        <f t="shared" ref="U13:W13" si="36">IFERROR(T13/$G13," ")</f>
        <v>0.85</v>
      </c>
      <c r="V13" s="206">
        <v>0.9</v>
      </c>
      <c r="W13" s="208">
        <f t="shared" si="36"/>
        <v>0.9</v>
      </c>
      <c r="X13" s="206">
        <v>1</v>
      </c>
      <c r="Y13" s="208">
        <f t="shared" ref="Y13:AA13" si="37">IFERROR(X13/$G13," ")</f>
        <v>1</v>
      </c>
      <c r="Z13" s="206">
        <v>1</v>
      </c>
      <c r="AA13" s="208">
        <f t="shared" si="37"/>
        <v>1</v>
      </c>
      <c r="AB13" s="206">
        <v>1</v>
      </c>
      <c r="AC13" s="208">
        <f t="shared" ref="AC13:AE13" si="38">IFERROR(AB13/$G13," ")</f>
        <v>1</v>
      </c>
      <c r="AD13" s="206">
        <v>1</v>
      </c>
      <c r="AE13" s="208">
        <f t="shared" si="38"/>
        <v>1</v>
      </c>
      <c r="AF13" s="203"/>
      <c r="AG13" s="205">
        <f t="shared" si="14"/>
        <v>0</v>
      </c>
      <c r="AH13" s="205">
        <f t="shared" si="0"/>
        <v>4873.518</v>
      </c>
      <c r="AI13" s="205">
        <f t="shared" si="1"/>
        <v>5685.7709999999997</v>
      </c>
      <c r="AJ13" s="205">
        <f t="shared" si="2"/>
        <v>5685.7709999999997</v>
      </c>
      <c r="AK13" s="205">
        <f t="shared" si="3"/>
        <v>6904.1504999999997</v>
      </c>
      <c r="AL13" s="205">
        <f t="shared" si="4"/>
        <v>7310.277</v>
      </c>
      <c r="AM13" s="205">
        <f t="shared" si="5"/>
        <v>8122.53</v>
      </c>
      <c r="AN13" s="205">
        <f t="shared" si="6"/>
        <v>8122.53</v>
      </c>
      <c r="AO13" s="205">
        <f t="shared" si="7"/>
        <v>8122.53</v>
      </c>
      <c r="AP13" s="205">
        <f t="shared" si="8"/>
        <v>8122.53</v>
      </c>
    </row>
    <row r="14" spans="1:42" x14ac:dyDescent="0.25">
      <c r="A14" s="202">
        <v>12</v>
      </c>
      <c r="B14" s="203" t="s">
        <v>1223</v>
      </c>
      <c r="C14" s="204" t="s">
        <v>43</v>
      </c>
      <c r="D14" s="203" t="s">
        <v>17</v>
      </c>
      <c r="E14" s="205">
        <f>IFERROR(VLOOKUP(A14,Estimate!A:Q,17,FALSE)," ")</f>
        <v>5050</v>
      </c>
      <c r="F14" s="206">
        <v>1</v>
      </c>
      <c r="G14" s="206">
        <v>1</v>
      </c>
      <c r="H14" s="207">
        <v>6214.97</v>
      </c>
      <c r="I14" s="207">
        <v>6214.97</v>
      </c>
      <c r="J14" s="207">
        <v>6214.97</v>
      </c>
      <c r="K14" s="206"/>
      <c r="L14" s="206"/>
      <c r="M14" s="208">
        <f t="shared" si="9"/>
        <v>0</v>
      </c>
      <c r="N14" s="206">
        <v>0.6</v>
      </c>
      <c r="O14" s="208">
        <f t="shared" si="9"/>
        <v>0.6</v>
      </c>
      <c r="P14" s="206">
        <v>0.7</v>
      </c>
      <c r="Q14" s="208">
        <f t="shared" ref="Q14:S14" si="39">IFERROR(P14/$G14," ")</f>
        <v>0.7</v>
      </c>
      <c r="R14" s="206">
        <v>0.7</v>
      </c>
      <c r="S14" s="208">
        <f t="shared" si="39"/>
        <v>0.7</v>
      </c>
      <c r="T14" s="206">
        <v>0.85</v>
      </c>
      <c r="U14" s="208">
        <f t="shared" ref="U14:W14" si="40">IFERROR(T14/$G14," ")</f>
        <v>0.85</v>
      </c>
      <c r="V14" s="206">
        <v>0.9</v>
      </c>
      <c r="W14" s="208">
        <f t="shared" si="40"/>
        <v>0.9</v>
      </c>
      <c r="X14" s="206">
        <v>0.9</v>
      </c>
      <c r="Y14" s="208">
        <f t="shared" ref="Y14:AA14" si="41">IFERROR(X14/$G14," ")</f>
        <v>0.9</v>
      </c>
      <c r="Z14" s="206">
        <v>1</v>
      </c>
      <c r="AA14" s="208">
        <f t="shared" si="41"/>
        <v>1</v>
      </c>
      <c r="AB14" s="206">
        <v>1</v>
      </c>
      <c r="AC14" s="208">
        <f t="shared" ref="AC14:AE14" si="42">IFERROR(AB14/$G14," ")</f>
        <v>1</v>
      </c>
      <c r="AD14" s="206">
        <v>1</v>
      </c>
      <c r="AE14" s="208">
        <f t="shared" si="42"/>
        <v>1</v>
      </c>
      <c r="AF14" s="203"/>
      <c r="AG14" s="205">
        <f t="shared" si="14"/>
        <v>0</v>
      </c>
      <c r="AH14" s="205">
        <f t="shared" si="0"/>
        <v>3728.982</v>
      </c>
      <c r="AI14" s="205">
        <f t="shared" si="1"/>
        <v>4350.4790000000003</v>
      </c>
      <c r="AJ14" s="205">
        <f t="shared" si="2"/>
        <v>4350.4790000000003</v>
      </c>
      <c r="AK14" s="205">
        <f t="shared" si="3"/>
        <v>5282.7245000000003</v>
      </c>
      <c r="AL14" s="205">
        <f t="shared" si="4"/>
        <v>5593.473</v>
      </c>
      <c r="AM14" s="205">
        <f t="shared" si="5"/>
        <v>5593.473</v>
      </c>
      <c r="AN14" s="205">
        <f t="shared" si="6"/>
        <v>6214.97</v>
      </c>
      <c r="AO14" s="205">
        <f t="shared" si="7"/>
        <v>6214.97</v>
      </c>
      <c r="AP14" s="205">
        <f t="shared" si="8"/>
        <v>6214.97</v>
      </c>
    </row>
    <row r="15" spans="1:42" x14ac:dyDescent="0.25">
      <c r="A15" s="202">
        <v>13</v>
      </c>
      <c r="B15" s="203" t="s">
        <v>1224</v>
      </c>
      <c r="C15" s="204" t="s">
        <v>49</v>
      </c>
      <c r="D15" s="203" t="s">
        <v>17</v>
      </c>
      <c r="E15" s="205">
        <f>IFERROR(VLOOKUP(A15,Estimate!A:Q,17,FALSE)," ")</f>
        <v>11683.333333333334</v>
      </c>
      <c r="F15" s="206">
        <v>1</v>
      </c>
      <c r="G15" s="206">
        <v>1</v>
      </c>
      <c r="H15" s="207">
        <v>15272.91</v>
      </c>
      <c r="I15" s="207">
        <v>15272.91</v>
      </c>
      <c r="J15" s="207">
        <v>15272.91</v>
      </c>
      <c r="K15" s="206"/>
      <c r="L15" s="206"/>
      <c r="M15" s="208">
        <f t="shared" si="9"/>
        <v>0</v>
      </c>
      <c r="N15" s="206">
        <v>1</v>
      </c>
      <c r="O15" s="208">
        <f t="shared" si="9"/>
        <v>1</v>
      </c>
      <c r="P15" s="206">
        <v>1</v>
      </c>
      <c r="Q15" s="208">
        <f t="shared" ref="Q15:S15" si="43">IFERROR(P15/$G15," ")</f>
        <v>1</v>
      </c>
      <c r="R15" s="206">
        <v>1</v>
      </c>
      <c r="S15" s="208">
        <f t="shared" si="43"/>
        <v>1</v>
      </c>
      <c r="T15" s="206">
        <v>1</v>
      </c>
      <c r="U15" s="208">
        <f t="shared" ref="U15:W15" si="44">IFERROR(T15/$G15," ")</f>
        <v>1</v>
      </c>
      <c r="V15" s="206">
        <v>1</v>
      </c>
      <c r="W15" s="208">
        <f t="shared" si="44"/>
        <v>1</v>
      </c>
      <c r="X15" s="206">
        <v>1</v>
      </c>
      <c r="Y15" s="208">
        <f t="shared" ref="Y15:AA15" si="45">IFERROR(X15/$G15," ")</f>
        <v>1</v>
      </c>
      <c r="Z15" s="206">
        <v>1</v>
      </c>
      <c r="AA15" s="208">
        <f t="shared" si="45"/>
        <v>1</v>
      </c>
      <c r="AB15" s="206">
        <v>1</v>
      </c>
      <c r="AC15" s="208">
        <f t="shared" ref="AC15:AE15" si="46">IFERROR(AB15/$G15," ")</f>
        <v>1</v>
      </c>
      <c r="AD15" s="206">
        <v>1</v>
      </c>
      <c r="AE15" s="208">
        <f t="shared" si="46"/>
        <v>1</v>
      </c>
      <c r="AF15" s="203"/>
      <c r="AG15" s="205">
        <f t="shared" si="14"/>
        <v>0</v>
      </c>
      <c r="AH15" s="205">
        <f t="shared" si="0"/>
        <v>15272.91</v>
      </c>
      <c r="AI15" s="205">
        <f t="shared" si="1"/>
        <v>15272.91</v>
      </c>
      <c r="AJ15" s="205">
        <f t="shared" si="2"/>
        <v>15272.91</v>
      </c>
      <c r="AK15" s="205">
        <f t="shared" si="3"/>
        <v>15272.91</v>
      </c>
      <c r="AL15" s="205">
        <f t="shared" si="4"/>
        <v>15272.91</v>
      </c>
      <c r="AM15" s="205">
        <f t="shared" si="5"/>
        <v>15272.91</v>
      </c>
      <c r="AN15" s="205">
        <f t="shared" si="6"/>
        <v>15272.91</v>
      </c>
      <c r="AO15" s="205">
        <f t="shared" si="7"/>
        <v>15272.91</v>
      </c>
      <c r="AP15" s="205">
        <f t="shared" si="8"/>
        <v>15272.91</v>
      </c>
    </row>
    <row r="16" spans="1:42" x14ac:dyDescent="0.25">
      <c r="A16" s="202">
        <v>14</v>
      </c>
      <c r="B16" s="203" t="s">
        <v>1225</v>
      </c>
      <c r="C16" s="204" t="s">
        <v>56</v>
      </c>
      <c r="D16" s="203" t="s">
        <v>57</v>
      </c>
      <c r="E16" s="205">
        <f>IFERROR(VLOOKUP(A16,Estimate!A:Q,17,FALSE)," ")</f>
        <v>272</v>
      </c>
      <c r="F16" s="206">
        <v>20</v>
      </c>
      <c r="G16" s="206">
        <v>20</v>
      </c>
      <c r="H16" s="207">
        <v>16.739999999999998</v>
      </c>
      <c r="I16" s="207">
        <v>334.8</v>
      </c>
      <c r="J16" s="207">
        <v>334.8</v>
      </c>
      <c r="K16" s="206"/>
      <c r="L16" s="206"/>
      <c r="M16" s="208">
        <f t="shared" si="9"/>
        <v>0</v>
      </c>
      <c r="N16" s="206">
        <v>20</v>
      </c>
      <c r="O16" s="208">
        <f t="shared" si="9"/>
        <v>1</v>
      </c>
      <c r="P16" s="206">
        <v>20</v>
      </c>
      <c r="Q16" s="208">
        <f t="shared" ref="Q16:S16" si="47">IFERROR(P16/$G16," ")</f>
        <v>1</v>
      </c>
      <c r="R16" s="206">
        <v>20</v>
      </c>
      <c r="S16" s="208">
        <f t="shared" si="47"/>
        <v>1</v>
      </c>
      <c r="T16" s="206">
        <v>20</v>
      </c>
      <c r="U16" s="208">
        <f t="shared" ref="U16:W16" si="48">IFERROR(T16/$G16," ")</f>
        <v>1</v>
      </c>
      <c r="V16" s="206">
        <v>20</v>
      </c>
      <c r="W16" s="208">
        <f t="shared" si="48"/>
        <v>1</v>
      </c>
      <c r="X16" s="206">
        <v>20</v>
      </c>
      <c r="Y16" s="208">
        <f t="shared" ref="Y16:AA16" si="49">IFERROR(X16/$G16," ")</f>
        <v>1</v>
      </c>
      <c r="Z16" s="206">
        <v>20</v>
      </c>
      <c r="AA16" s="208">
        <f t="shared" si="49"/>
        <v>1</v>
      </c>
      <c r="AB16" s="206">
        <v>20</v>
      </c>
      <c r="AC16" s="208">
        <f t="shared" ref="AC16:AE16" si="50">IFERROR(AB16/$G16," ")</f>
        <v>1</v>
      </c>
      <c r="AD16" s="206">
        <v>20</v>
      </c>
      <c r="AE16" s="208">
        <f t="shared" si="50"/>
        <v>1</v>
      </c>
      <c r="AF16" s="203"/>
      <c r="AG16" s="205">
        <f t="shared" si="14"/>
        <v>0</v>
      </c>
      <c r="AH16" s="205">
        <f t="shared" si="0"/>
        <v>334.79999999999995</v>
      </c>
      <c r="AI16" s="205">
        <f t="shared" si="1"/>
        <v>334.79999999999995</v>
      </c>
      <c r="AJ16" s="205">
        <f t="shared" si="2"/>
        <v>334.79999999999995</v>
      </c>
      <c r="AK16" s="205">
        <f t="shared" si="3"/>
        <v>334.79999999999995</v>
      </c>
      <c r="AL16" s="205">
        <f t="shared" si="4"/>
        <v>334.79999999999995</v>
      </c>
      <c r="AM16" s="205">
        <f t="shared" si="5"/>
        <v>334.79999999999995</v>
      </c>
      <c r="AN16" s="205">
        <f t="shared" si="6"/>
        <v>334.79999999999995</v>
      </c>
      <c r="AO16" s="205">
        <f t="shared" si="7"/>
        <v>334.79999999999995</v>
      </c>
      <c r="AP16" s="205">
        <f t="shared" si="8"/>
        <v>334.79999999999995</v>
      </c>
    </row>
    <row r="17" spans="1:42" x14ac:dyDescent="0.25">
      <c r="A17" s="202">
        <v>15</v>
      </c>
      <c r="B17" s="203" t="s">
        <v>1226</v>
      </c>
      <c r="C17" s="204" t="s">
        <v>59</v>
      </c>
      <c r="D17" s="203" t="s">
        <v>57</v>
      </c>
      <c r="E17" s="205">
        <f>IFERROR(VLOOKUP(A17,Estimate!A:Q,17,FALSE)," ")</f>
        <v>14496.554892053284</v>
      </c>
      <c r="F17" s="206">
        <v>1045</v>
      </c>
      <c r="G17" s="206">
        <v>1045</v>
      </c>
      <c r="H17" s="207">
        <v>17.07</v>
      </c>
      <c r="I17" s="207">
        <v>17838.150000000001</v>
      </c>
      <c r="J17" s="207">
        <v>17838.150000000001</v>
      </c>
      <c r="K17" s="206"/>
      <c r="L17" s="206"/>
      <c r="M17" s="208">
        <f t="shared" si="9"/>
        <v>0</v>
      </c>
      <c r="N17" s="206">
        <v>426</v>
      </c>
      <c r="O17" s="208">
        <f t="shared" si="9"/>
        <v>0.40765550239234449</v>
      </c>
      <c r="P17" s="206">
        <v>1045</v>
      </c>
      <c r="Q17" s="208">
        <f t="shared" ref="Q17:S17" si="51">IFERROR(P17/$G17," ")</f>
        <v>1</v>
      </c>
      <c r="R17" s="206">
        <v>1045</v>
      </c>
      <c r="S17" s="208">
        <f t="shared" si="51"/>
        <v>1</v>
      </c>
      <c r="T17" s="206">
        <v>1045</v>
      </c>
      <c r="U17" s="208">
        <f t="shared" ref="U17:W17" si="52">IFERROR(T17/$G17," ")</f>
        <v>1</v>
      </c>
      <c r="V17" s="206">
        <v>1045</v>
      </c>
      <c r="W17" s="208">
        <f t="shared" si="52"/>
        <v>1</v>
      </c>
      <c r="X17" s="206">
        <v>1045</v>
      </c>
      <c r="Y17" s="208">
        <f t="shared" ref="Y17:AA17" si="53">IFERROR(X17/$G17," ")</f>
        <v>1</v>
      </c>
      <c r="Z17" s="206">
        <v>1045</v>
      </c>
      <c r="AA17" s="208">
        <f t="shared" si="53"/>
        <v>1</v>
      </c>
      <c r="AB17" s="206">
        <v>1045</v>
      </c>
      <c r="AC17" s="208">
        <f t="shared" ref="AC17:AE17" si="54">IFERROR(AB17/$G17," ")</f>
        <v>1</v>
      </c>
      <c r="AD17" s="206">
        <v>1045</v>
      </c>
      <c r="AE17" s="208">
        <f t="shared" si="54"/>
        <v>1</v>
      </c>
      <c r="AF17" s="203"/>
      <c r="AG17" s="205">
        <f t="shared" si="14"/>
        <v>0</v>
      </c>
      <c r="AH17" s="205">
        <f t="shared" si="0"/>
        <v>7271.82</v>
      </c>
      <c r="AI17" s="205">
        <f t="shared" si="1"/>
        <v>17838.150000000001</v>
      </c>
      <c r="AJ17" s="205">
        <f t="shared" si="2"/>
        <v>17838.150000000001</v>
      </c>
      <c r="AK17" s="205">
        <f t="shared" si="3"/>
        <v>17838.150000000001</v>
      </c>
      <c r="AL17" s="205">
        <f t="shared" si="4"/>
        <v>17838.150000000001</v>
      </c>
      <c r="AM17" s="205">
        <f t="shared" si="5"/>
        <v>17838.150000000001</v>
      </c>
      <c r="AN17" s="205">
        <f t="shared" si="6"/>
        <v>17838.150000000001</v>
      </c>
      <c r="AO17" s="205">
        <f t="shared" si="7"/>
        <v>17838.150000000001</v>
      </c>
      <c r="AP17" s="205">
        <f t="shared" si="8"/>
        <v>17838.150000000001</v>
      </c>
    </row>
    <row r="18" spans="1:42" ht="30" x14ac:dyDescent="0.25">
      <c r="A18" s="202">
        <v>16</v>
      </c>
      <c r="B18" s="203" t="s">
        <v>1227</v>
      </c>
      <c r="C18" s="204" t="s">
        <v>61</v>
      </c>
      <c r="D18" s="203" t="s">
        <v>57</v>
      </c>
      <c r="E18" s="205">
        <f>IFERROR(VLOOKUP(A18,Estimate!A:Q,17,FALSE)," ")</f>
        <v>922.37083708370835</v>
      </c>
      <c r="F18" s="206">
        <v>10</v>
      </c>
      <c r="G18" s="206">
        <v>10</v>
      </c>
      <c r="H18" s="207">
        <v>92.23</v>
      </c>
      <c r="I18" s="207">
        <v>922.3</v>
      </c>
      <c r="J18" s="207">
        <v>922.3</v>
      </c>
      <c r="K18" s="206"/>
      <c r="L18" s="206"/>
      <c r="M18" s="208">
        <f t="shared" si="9"/>
        <v>0</v>
      </c>
      <c r="N18" s="206"/>
      <c r="O18" s="208">
        <f t="shared" si="9"/>
        <v>0</v>
      </c>
      <c r="P18" s="206"/>
      <c r="Q18" s="208">
        <f t="shared" ref="Q18:S18" si="55">IFERROR(P18/$G18," ")</f>
        <v>0</v>
      </c>
      <c r="R18" s="206"/>
      <c r="S18" s="208">
        <f t="shared" si="55"/>
        <v>0</v>
      </c>
      <c r="T18" s="206"/>
      <c r="U18" s="208">
        <f t="shared" ref="U18:W18" si="56">IFERROR(T18/$G18," ")</f>
        <v>0</v>
      </c>
      <c r="V18" s="206"/>
      <c r="W18" s="208">
        <f t="shared" si="56"/>
        <v>0</v>
      </c>
      <c r="X18" s="206"/>
      <c r="Y18" s="208">
        <f t="shared" ref="Y18:AA18" si="57">IFERROR(X18/$G18," ")</f>
        <v>0</v>
      </c>
      <c r="Z18" s="206">
        <v>10</v>
      </c>
      <c r="AA18" s="208">
        <f t="shared" si="57"/>
        <v>1</v>
      </c>
      <c r="AB18" s="206">
        <v>10</v>
      </c>
      <c r="AC18" s="208">
        <f t="shared" ref="AC18:AE18" si="58">IFERROR(AB18/$G18," ")</f>
        <v>1</v>
      </c>
      <c r="AD18" s="206">
        <v>10</v>
      </c>
      <c r="AE18" s="208">
        <f t="shared" si="58"/>
        <v>1</v>
      </c>
      <c r="AF18" s="203"/>
      <c r="AG18" s="205">
        <f t="shared" si="14"/>
        <v>0</v>
      </c>
      <c r="AH18" s="205">
        <f t="shared" si="0"/>
        <v>0</v>
      </c>
      <c r="AI18" s="205">
        <f t="shared" si="1"/>
        <v>0</v>
      </c>
      <c r="AJ18" s="205">
        <f t="shared" si="2"/>
        <v>0</v>
      </c>
      <c r="AK18" s="205">
        <f t="shared" si="3"/>
        <v>0</v>
      </c>
      <c r="AL18" s="205">
        <f t="shared" si="4"/>
        <v>0</v>
      </c>
      <c r="AM18" s="205">
        <f t="shared" si="5"/>
        <v>0</v>
      </c>
      <c r="AN18" s="205">
        <f t="shared" si="6"/>
        <v>922.30000000000007</v>
      </c>
      <c r="AO18" s="205">
        <f t="shared" si="7"/>
        <v>922.30000000000007</v>
      </c>
      <c r="AP18" s="205">
        <f t="shared" si="8"/>
        <v>922.30000000000007</v>
      </c>
    </row>
    <row r="19" spans="1:42" x14ac:dyDescent="0.25">
      <c r="A19" s="202"/>
      <c r="B19" s="203" t="s">
        <v>1218</v>
      </c>
      <c r="C19" s="204" t="s">
        <v>643</v>
      </c>
      <c r="D19" s="203" t="s">
        <v>715</v>
      </c>
      <c r="E19" s="205" t="str">
        <f>IFERROR(VLOOKUP(A19,Estimate!A:Q,17,FALSE)," ")</f>
        <v xml:space="preserve"> </v>
      </c>
      <c r="F19" s="206" t="s">
        <v>643</v>
      </c>
      <c r="G19" s="206" t="s">
        <v>643</v>
      </c>
      <c r="H19" s="207" t="s">
        <v>643</v>
      </c>
      <c r="I19" s="207" t="s">
        <v>643</v>
      </c>
      <c r="J19" s="207" t="s">
        <v>643</v>
      </c>
      <c r="K19" s="206"/>
      <c r="L19" s="206" t="s">
        <v>643</v>
      </c>
      <c r="M19" s="208" t="str">
        <f t="shared" si="9"/>
        <v xml:space="preserve"> </v>
      </c>
      <c r="N19" s="206" t="s">
        <v>643</v>
      </c>
      <c r="O19" s="208" t="str">
        <f t="shared" si="9"/>
        <v xml:space="preserve"> </v>
      </c>
      <c r="P19" s="206" t="s">
        <v>643</v>
      </c>
      <c r="Q19" s="208" t="str">
        <f t="shared" ref="Q19:S19" si="59">IFERROR(P19/$G19," ")</f>
        <v xml:space="preserve"> </v>
      </c>
      <c r="R19" s="206" t="s">
        <v>643</v>
      </c>
      <c r="S19" s="208" t="str">
        <f t="shared" si="59"/>
        <v xml:space="preserve"> </v>
      </c>
      <c r="T19" s="206" t="s">
        <v>643</v>
      </c>
      <c r="U19" s="208" t="str">
        <f t="shared" ref="U19:W19" si="60">IFERROR(T19/$G19," ")</f>
        <v xml:space="preserve"> </v>
      </c>
      <c r="V19" s="206" t="s">
        <v>643</v>
      </c>
      <c r="W19" s="208" t="str">
        <f t="shared" si="60"/>
        <v xml:space="preserve"> </v>
      </c>
      <c r="X19" s="206" t="s">
        <v>643</v>
      </c>
      <c r="Y19" s="208" t="str">
        <f t="shared" ref="Y19:AA19" si="61">IFERROR(X19/$G19," ")</f>
        <v xml:space="preserve"> </v>
      </c>
      <c r="Z19" s="206" t="s">
        <v>643</v>
      </c>
      <c r="AA19" s="208" t="str">
        <f t="shared" si="61"/>
        <v xml:space="preserve"> </v>
      </c>
      <c r="AB19" s="206" t="s">
        <v>643</v>
      </c>
      <c r="AC19" s="208" t="str">
        <f t="shared" ref="AC19:AE19" si="62">IFERROR(AB19/$G19," ")</f>
        <v xml:space="preserve"> </v>
      </c>
      <c r="AD19" s="206" t="s">
        <v>643</v>
      </c>
      <c r="AE19" s="208" t="str">
        <f t="shared" si="62"/>
        <v xml:space="preserve"> </v>
      </c>
      <c r="AF19" s="203"/>
      <c r="AG19" s="205" t="str">
        <f t="shared" si="14"/>
        <v xml:space="preserve"> </v>
      </c>
      <c r="AH19" s="205" t="str">
        <f t="shared" si="0"/>
        <v xml:space="preserve"> </v>
      </c>
      <c r="AI19" s="205" t="str">
        <f t="shared" si="1"/>
        <v xml:space="preserve"> </v>
      </c>
      <c r="AJ19" s="205" t="str">
        <f t="shared" si="2"/>
        <v xml:space="preserve"> </v>
      </c>
      <c r="AK19" s="205" t="str">
        <f t="shared" si="3"/>
        <v xml:space="preserve"> </v>
      </c>
      <c r="AL19" s="205" t="str">
        <f t="shared" si="4"/>
        <v xml:space="preserve"> </v>
      </c>
      <c r="AM19" s="205" t="str">
        <f t="shared" si="5"/>
        <v xml:space="preserve"> </v>
      </c>
      <c r="AN19" s="205" t="str">
        <f t="shared" si="6"/>
        <v xml:space="preserve"> </v>
      </c>
      <c r="AO19" s="205" t="str">
        <f t="shared" si="7"/>
        <v xml:space="preserve"> </v>
      </c>
      <c r="AP19" s="205" t="str">
        <f t="shared" si="8"/>
        <v xml:space="preserve"> </v>
      </c>
    </row>
    <row r="20" spans="1:42" x14ac:dyDescent="0.25">
      <c r="A20" s="202"/>
      <c r="B20" s="203" t="s">
        <v>1218</v>
      </c>
      <c r="C20" s="204" t="s">
        <v>66</v>
      </c>
      <c r="D20" s="203" t="s">
        <v>715</v>
      </c>
      <c r="E20" s="205" t="str">
        <f>IFERROR(VLOOKUP(A20,Estimate!A:Q,17,FALSE)," ")</f>
        <v xml:space="preserve"> </v>
      </c>
      <c r="F20" s="206" t="s">
        <v>643</v>
      </c>
      <c r="G20" s="206" t="s">
        <v>643</v>
      </c>
      <c r="H20" s="207" t="s">
        <v>643</v>
      </c>
      <c r="I20" s="207" t="s">
        <v>643</v>
      </c>
      <c r="J20" s="207" t="s">
        <v>643</v>
      </c>
      <c r="K20" s="206"/>
      <c r="L20" s="206" t="s">
        <v>643</v>
      </c>
      <c r="M20" s="208" t="str">
        <f t="shared" si="9"/>
        <v xml:space="preserve"> </v>
      </c>
      <c r="N20" s="206" t="s">
        <v>643</v>
      </c>
      <c r="O20" s="208" t="str">
        <f t="shared" si="9"/>
        <v xml:space="preserve"> </v>
      </c>
      <c r="P20" s="206" t="s">
        <v>643</v>
      </c>
      <c r="Q20" s="208" t="str">
        <f t="shared" ref="Q20:S20" si="63">IFERROR(P20/$G20," ")</f>
        <v xml:space="preserve"> </v>
      </c>
      <c r="R20" s="206" t="s">
        <v>643</v>
      </c>
      <c r="S20" s="208" t="str">
        <f t="shared" si="63"/>
        <v xml:space="preserve"> </v>
      </c>
      <c r="T20" s="206" t="s">
        <v>643</v>
      </c>
      <c r="U20" s="208" t="str">
        <f t="shared" ref="U20:W20" si="64">IFERROR(T20/$G20," ")</f>
        <v xml:space="preserve"> </v>
      </c>
      <c r="V20" s="206" t="s">
        <v>643</v>
      </c>
      <c r="W20" s="208" t="str">
        <f t="shared" si="64"/>
        <v xml:space="preserve"> </v>
      </c>
      <c r="X20" s="206" t="s">
        <v>643</v>
      </c>
      <c r="Y20" s="208" t="str">
        <f t="shared" ref="Y20:AA20" si="65">IFERROR(X20/$G20," ")</f>
        <v xml:space="preserve"> </v>
      </c>
      <c r="Z20" s="206" t="s">
        <v>643</v>
      </c>
      <c r="AA20" s="208" t="str">
        <f t="shared" si="65"/>
        <v xml:space="preserve"> </v>
      </c>
      <c r="AB20" s="206" t="s">
        <v>643</v>
      </c>
      <c r="AC20" s="208" t="str">
        <f t="shared" ref="AC20:AE20" si="66">IFERROR(AB20/$G20," ")</f>
        <v xml:space="preserve"> </v>
      </c>
      <c r="AD20" s="206" t="s">
        <v>643</v>
      </c>
      <c r="AE20" s="208" t="str">
        <f t="shared" si="66"/>
        <v xml:space="preserve"> </v>
      </c>
      <c r="AF20" s="203"/>
      <c r="AG20" s="205" t="str">
        <f t="shared" si="14"/>
        <v xml:space="preserve"> </v>
      </c>
      <c r="AH20" s="205" t="str">
        <f t="shared" si="0"/>
        <v xml:space="preserve"> </v>
      </c>
      <c r="AI20" s="205" t="str">
        <f t="shared" si="1"/>
        <v xml:space="preserve"> </v>
      </c>
      <c r="AJ20" s="205" t="str">
        <f t="shared" si="2"/>
        <v xml:space="preserve"> </v>
      </c>
      <c r="AK20" s="205" t="str">
        <f t="shared" si="3"/>
        <v xml:space="preserve"> </v>
      </c>
      <c r="AL20" s="205" t="str">
        <f t="shared" si="4"/>
        <v xml:space="preserve"> </v>
      </c>
      <c r="AM20" s="205" t="str">
        <f t="shared" si="5"/>
        <v xml:space="preserve"> </v>
      </c>
      <c r="AN20" s="205" t="str">
        <f t="shared" si="6"/>
        <v xml:space="preserve"> </v>
      </c>
      <c r="AO20" s="205" t="str">
        <f t="shared" si="7"/>
        <v xml:space="preserve"> </v>
      </c>
      <c r="AP20" s="205" t="str">
        <f t="shared" si="8"/>
        <v xml:space="preserve"> </v>
      </c>
    </row>
    <row r="21" spans="1:42" x14ac:dyDescent="0.25">
      <c r="A21" s="202">
        <v>18</v>
      </c>
      <c r="B21" s="203" t="s">
        <v>1218</v>
      </c>
      <c r="C21" s="204" t="s">
        <v>68</v>
      </c>
      <c r="D21" s="203" t="s">
        <v>17</v>
      </c>
      <c r="E21" s="205">
        <f>IFERROR(VLOOKUP(A21,Estimate!A:Q,17,FALSE)," ")</f>
        <v>1036</v>
      </c>
      <c r="F21" s="206">
        <v>1</v>
      </c>
      <c r="G21" s="206">
        <v>1</v>
      </c>
      <c r="H21" s="207">
        <v>1688.5</v>
      </c>
      <c r="I21" s="207">
        <v>1688.5</v>
      </c>
      <c r="J21" s="207">
        <v>1688.5</v>
      </c>
      <c r="K21" s="206"/>
      <c r="L21" s="206"/>
      <c r="M21" s="208">
        <f t="shared" si="9"/>
        <v>0</v>
      </c>
      <c r="N21" s="206">
        <v>1</v>
      </c>
      <c r="O21" s="208">
        <f t="shared" si="9"/>
        <v>1</v>
      </c>
      <c r="P21" s="206">
        <v>1</v>
      </c>
      <c r="Q21" s="208">
        <f t="shared" ref="Q21:S21" si="67">IFERROR(P21/$G21," ")</f>
        <v>1</v>
      </c>
      <c r="R21" s="206">
        <v>1</v>
      </c>
      <c r="S21" s="208">
        <f t="shared" si="67"/>
        <v>1</v>
      </c>
      <c r="T21" s="206">
        <v>1</v>
      </c>
      <c r="U21" s="208">
        <f t="shared" ref="U21:W21" si="68">IFERROR(T21/$G21," ")</f>
        <v>1</v>
      </c>
      <c r="V21" s="206">
        <v>1</v>
      </c>
      <c r="W21" s="208">
        <f t="shared" si="68"/>
        <v>1</v>
      </c>
      <c r="X21" s="206">
        <v>1</v>
      </c>
      <c r="Y21" s="208">
        <f t="shared" ref="Y21:AA21" si="69">IFERROR(X21/$G21," ")</f>
        <v>1</v>
      </c>
      <c r="Z21" s="206">
        <v>1</v>
      </c>
      <c r="AA21" s="208">
        <f t="shared" si="69"/>
        <v>1</v>
      </c>
      <c r="AB21" s="206">
        <v>1</v>
      </c>
      <c r="AC21" s="208">
        <f t="shared" ref="AC21:AE21" si="70">IFERROR(AB21/$G21," ")</f>
        <v>1</v>
      </c>
      <c r="AD21" s="206">
        <v>1</v>
      </c>
      <c r="AE21" s="208">
        <f t="shared" si="70"/>
        <v>1</v>
      </c>
      <c r="AF21" s="203"/>
      <c r="AG21" s="205">
        <f t="shared" si="14"/>
        <v>0</v>
      </c>
      <c r="AH21" s="205">
        <f t="shared" si="0"/>
        <v>1688.5</v>
      </c>
      <c r="AI21" s="205">
        <f t="shared" si="1"/>
        <v>1688.5</v>
      </c>
      <c r="AJ21" s="205">
        <f t="shared" si="2"/>
        <v>1688.5</v>
      </c>
      <c r="AK21" s="205">
        <f t="shared" si="3"/>
        <v>1688.5</v>
      </c>
      <c r="AL21" s="205">
        <f t="shared" si="4"/>
        <v>1688.5</v>
      </c>
      <c r="AM21" s="205">
        <f t="shared" si="5"/>
        <v>1688.5</v>
      </c>
      <c r="AN21" s="205">
        <f t="shared" si="6"/>
        <v>1688.5</v>
      </c>
      <c r="AO21" s="205">
        <f t="shared" si="7"/>
        <v>1688.5</v>
      </c>
      <c r="AP21" s="205">
        <f t="shared" si="8"/>
        <v>1688.5</v>
      </c>
    </row>
    <row r="22" spans="1:42" x14ac:dyDescent="0.25">
      <c r="A22" s="202">
        <v>19</v>
      </c>
      <c r="B22" s="203" t="s">
        <v>1228</v>
      </c>
      <c r="C22" s="204" t="s">
        <v>71</v>
      </c>
      <c r="D22" s="203" t="s">
        <v>45</v>
      </c>
      <c r="E22" s="205">
        <f>IFERROR(VLOOKUP(A22,Estimate!A:Q,17,FALSE)," ")</f>
        <v>14424.145581395351</v>
      </c>
      <c r="F22" s="206">
        <v>308</v>
      </c>
      <c r="G22" s="206">
        <v>308</v>
      </c>
      <c r="H22" s="207">
        <v>57.64</v>
      </c>
      <c r="I22" s="207">
        <v>17753.12</v>
      </c>
      <c r="J22" s="207">
        <v>17753.12</v>
      </c>
      <c r="K22" s="206"/>
      <c r="L22" s="206"/>
      <c r="M22" s="208">
        <f t="shared" si="9"/>
        <v>0</v>
      </c>
      <c r="N22" s="206"/>
      <c r="O22" s="208">
        <f t="shared" si="9"/>
        <v>0</v>
      </c>
      <c r="P22" s="206"/>
      <c r="Q22" s="208">
        <f t="shared" ref="Q22:S22" si="71">IFERROR(P22/$G22," ")</f>
        <v>0</v>
      </c>
      <c r="R22" s="206"/>
      <c r="S22" s="208">
        <f t="shared" si="71"/>
        <v>0</v>
      </c>
      <c r="T22" s="206">
        <v>308</v>
      </c>
      <c r="U22" s="208">
        <f t="shared" ref="U22:W22" si="72">IFERROR(T22/$G22," ")</f>
        <v>1</v>
      </c>
      <c r="V22" s="206">
        <v>308</v>
      </c>
      <c r="W22" s="208">
        <f t="shared" si="72"/>
        <v>1</v>
      </c>
      <c r="X22" s="206">
        <v>308</v>
      </c>
      <c r="Y22" s="208">
        <f t="shared" ref="Y22:AA22" si="73">IFERROR(X22/$G22," ")</f>
        <v>1</v>
      </c>
      <c r="Z22" s="206">
        <v>308</v>
      </c>
      <c r="AA22" s="208">
        <f t="shared" si="73"/>
        <v>1</v>
      </c>
      <c r="AB22" s="206">
        <v>308</v>
      </c>
      <c r="AC22" s="208">
        <f t="shared" ref="AC22:AE22" si="74">IFERROR(AB22/$G22," ")</f>
        <v>1</v>
      </c>
      <c r="AD22" s="206">
        <v>308</v>
      </c>
      <c r="AE22" s="208">
        <f t="shared" si="74"/>
        <v>1</v>
      </c>
      <c r="AF22" s="203"/>
      <c r="AG22" s="205">
        <f t="shared" si="14"/>
        <v>0</v>
      </c>
      <c r="AH22" s="205">
        <f t="shared" ref="AH22:AH85" si="75">IFERROR(N22*$H22," ")</f>
        <v>0</v>
      </c>
      <c r="AI22" s="205">
        <f t="shared" ref="AI22:AI85" si="76">IFERROR(P22*$H22," ")</f>
        <v>0</v>
      </c>
      <c r="AJ22" s="205">
        <f t="shared" ref="AJ22:AJ85" si="77">IFERROR(R22*$H22," ")</f>
        <v>0</v>
      </c>
      <c r="AK22" s="205">
        <f t="shared" ref="AK22:AK85" si="78">IFERROR(T22*$H22," ")</f>
        <v>17753.12</v>
      </c>
      <c r="AL22" s="205">
        <f t="shared" ref="AL22:AL85" si="79">IFERROR(V22*$H22," ")</f>
        <v>17753.12</v>
      </c>
      <c r="AM22" s="205">
        <f t="shared" ref="AM22:AM85" si="80">IFERROR(X22*$H22," ")</f>
        <v>17753.12</v>
      </c>
      <c r="AN22" s="205">
        <f t="shared" ref="AN22:AN85" si="81">IFERROR(Z22*$H22," ")</f>
        <v>17753.12</v>
      </c>
      <c r="AO22" s="205">
        <f t="shared" ref="AO22:AO85" si="82">IFERROR(AB22*$H22," ")</f>
        <v>17753.12</v>
      </c>
      <c r="AP22" s="205">
        <f t="shared" ref="AP22:AP85" si="83">IFERROR(AD22*$H22," ")</f>
        <v>17753.12</v>
      </c>
    </row>
    <row r="23" spans="1:42" x14ac:dyDescent="0.25">
      <c r="A23" s="202">
        <v>20</v>
      </c>
      <c r="B23" s="203" t="s">
        <v>1229</v>
      </c>
      <c r="C23" s="204" t="s">
        <v>80</v>
      </c>
      <c r="D23" s="203" t="s">
        <v>45</v>
      </c>
      <c r="E23" s="205">
        <f>IFERROR(VLOOKUP(A23,Estimate!A:Q,17,FALSE)," ")</f>
        <v>10119.78224077234</v>
      </c>
      <c r="F23" s="206">
        <v>260</v>
      </c>
      <c r="G23" s="206">
        <v>260</v>
      </c>
      <c r="H23" s="207">
        <v>47.9</v>
      </c>
      <c r="I23" s="207">
        <v>12454</v>
      </c>
      <c r="J23" s="207">
        <v>12454</v>
      </c>
      <c r="K23" s="206"/>
      <c r="L23" s="206"/>
      <c r="M23" s="208">
        <f t="shared" si="9"/>
        <v>0</v>
      </c>
      <c r="N23" s="206">
        <v>260</v>
      </c>
      <c r="O23" s="208">
        <f t="shared" si="9"/>
        <v>1</v>
      </c>
      <c r="P23" s="206">
        <v>260</v>
      </c>
      <c r="Q23" s="208">
        <f t="shared" ref="Q23:S23" si="84">IFERROR(P23/$G23," ")</f>
        <v>1</v>
      </c>
      <c r="R23" s="206">
        <v>260</v>
      </c>
      <c r="S23" s="208">
        <f t="shared" si="84"/>
        <v>1</v>
      </c>
      <c r="T23" s="206">
        <v>260</v>
      </c>
      <c r="U23" s="208">
        <f t="shared" ref="U23:W23" si="85">IFERROR(T23/$G23," ")</f>
        <v>1</v>
      </c>
      <c r="V23" s="206">
        <v>260</v>
      </c>
      <c r="W23" s="208">
        <f t="shared" si="85"/>
        <v>1</v>
      </c>
      <c r="X23" s="206">
        <v>260</v>
      </c>
      <c r="Y23" s="208">
        <f t="shared" ref="Y23:AA23" si="86">IFERROR(X23/$G23," ")</f>
        <v>1</v>
      </c>
      <c r="Z23" s="206">
        <v>260</v>
      </c>
      <c r="AA23" s="208">
        <f t="shared" si="86"/>
        <v>1</v>
      </c>
      <c r="AB23" s="206">
        <v>260</v>
      </c>
      <c r="AC23" s="208">
        <f t="shared" ref="AC23:AE23" si="87">IFERROR(AB23/$G23," ")</f>
        <v>1</v>
      </c>
      <c r="AD23" s="206">
        <v>260</v>
      </c>
      <c r="AE23" s="208">
        <f t="shared" si="87"/>
        <v>1</v>
      </c>
      <c r="AF23" s="203"/>
      <c r="AG23" s="205">
        <f t="shared" si="14"/>
        <v>0</v>
      </c>
      <c r="AH23" s="205">
        <f t="shared" si="75"/>
        <v>12454</v>
      </c>
      <c r="AI23" s="205">
        <f t="shared" si="76"/>
        <v>12454</v>
      </c>
      <c r="AJ23" s="205">
        <f t="shared" si="77"/>
        <v>12454</v>
      </c>
      <c r="AK23" s="205">
        <f t="shared" si="78"/>
        <v>12454</v>
      </c>
      <c r="AL23" s="205">
        <f t="shared" si="79"/>
        <v>12454</v>
      </c>
      <c r="AM23" s="205">
        <f t="shared" si="80"/>
        <v>12454</v>
      </c>
      <c r="AN23" s="205">
        <f t="shared" si="81"/>
        <v>12454</v>
      </c>
      <c r="AO23" s="205">
        <f t="shared" si="82"/>
        <v>12454</v>
      </c>
      <c r="AP23" s="205">
        <f t="shared" si="83"/>
        <v>12454</v>
      </c>
    </row>
    <row r="24" spans="1:42" x14ac:dyDescent="0.25">
      <c r="A24" s="202">
        <v>20.2</v>
      </c>
      <c r="B24" s="203" t="s">
        <v>1230</v>
      </c>
      <c r="C24" s="204" t="s">
        <v>85</v>
      </c>
      <c r="D24" s="203" t="s">
        <v>86</v>
      </c>
      <c r="E24" s="205">
        <f>IFERROR(VLOOKUP(A24,Estimate!A:Q,17,FALSE)," ")</f>
        <v>858</v>
      </c>
      <c r="F24" s="206">
        <v>6</v>
      </c>
      <c r="G24" s="206">
        <v>6</v>
      </c>
      <c r="H24" s="207">
        <v>175.99</v>
      </c>
      <c r="I24" s="207">
        <v>1055.94</v>
      </c>
      <c r="J24" s="207">
        <v>1055.94</v>
      </c>
      <c r="K24" s="206"/>
      <c r="L24" s="206"/>
      <c r="M24" s="208">
        <f t="shared" si="9"/>
        <v>0</v>
      </c>
      <c r="N24" s="206">
        <v>6</v>
      </c>
      <c r="O24" s="208">
        <f t="shared" si="9"/>
        <v>1</v>
      </c>
      <c r="P24" s="206">
        <v>6</v>
      </c>
      <c r="Q24" s="208">
        <f t="shared" ref="Q24:S24" si="88">IFERROR(P24/$G24," ")</f>
        <v>1</v>
      </c>
      <c r="R24" s="206">
        <v>6</v>
      </c>
      <c r="S24" s="208">
        <f t="shared" si="88"/>
        <v>1</v>
      </c>
      <c r="T24" s="206">
        <v>6</v>
      </c>
      <c r="U24" s="208">
        <f t="shared" ref="U24:W24" si="89">IFERROR(T24/$G24," ")</f>
        <v>1</v>
      </c>
      <c r="V24" s="206">
        <v>6</v>
      </c>
      <c r="W24" s="208">
        <f t="shared" si="89"/>
        <v>1</v>
      </c>
      <c r="X24" s="206">
        <v>6</v>
      </c>
      <c r="Y24" s="208">
        <f t="shared" ref="Y24:AA24" si="90">IFERROR(X24/$G24," ")</f>
        <v>1</v>
      </c>
      <c r="Z24" s="206">
        <v>6</v>
      </c>
      <c r="AA24" s="208">
        <f t="shared" si="90"/>
        <v>1</v>
      </c>
      <c r="AB24" s="206">
        <v>6</v>
      </c>
      <c r="AC24" s="208">
        <f t="shared" ref="AC24:AE24" si="91">IFERROR(AB24/$G24," ")</f>
        <v>1</v>
      </c>
      <c r="AD24" s="206">
        <v>6</v>
      </c>
      <c r="AE24" s="208">
        <f t="shared" si="91"/>
        <v>1</v>
      </c>
      <c r="AF24" s="203"/>
      <c r="AG24" s="205">
        <f t="shared" si="14"/>
        <v>0</v>
      </c>
      <c r="AH24" s="205">
        <f t="shared" si="75"/>
        <v>1055.94</v>
      </c>
      <c r="AI24" s="205">
        <f t="shared" si="76"/>
        <v>1055.94</v>
      </c>
      <c r="AJ24" s="205">
        <f t="shared" si="77"/>
        <v>1055.94</v>
      </c>
      <c r="AK24" s="205">
        <f t="shared" si="78"/>
        <v>1055.94</v>
      </c>
      <c r="AL24" s="205">
        <f t="shared" si="79"/>
        <v>1055.94</v>
      </c>
      <c r="AM24" s="205">
        <f t="shared" si="80"/>
        <v>1055.94</v>
      </c>
      <c r="AN24" s="205">
        <f t="shared" si="81"/>
        <v>1055.94</v>
      </c>
      <c r="AO24" s="205">
        <f t="shared" si="82"/>
        <v>1055.94</v>
      </c>
      <c r="AP24" s="205">
        <f t="shared" si="83"/>
        <v>1055.94</v>
      </c>
    </row>
    <row r="25" spans="1:42" x14ac:dyDescent="0.25">
      <c r="A25" s="202"/>
      <c r="B25" s="203" t="s">
        <v>1218</v>
      </c>
      <c r="C25" s="204" t="s">
        <v>643</v>
      </c>
      <c r="D25" s="203" t="s">
        <v>715</v>
      </c>
      <c r="E25" s="205" t="str">
        <f>IFERROR(VLOOKUP(A25,Estimate!A:Q,17,FALSE)," ")</f>
        <v xml:space="preserve"> </v>
      </c>
      <c r="F25" s="206" t="s">
        <v>643</v>
      </c>
      <c r="G25" s="206" t="s">
        <v>643</v>
      </c>
      <c r="H25" s="207" t="s">
        <v>643</v>
      </c>
      <c r="I25" s="207" t="s">
        <v>643</v>
      </c>
      <c r="J25" s="207" t="s">
        <v>643</v>
      </c>
      <c r="K25" s="206"/>
      <c r="L25" s="206" t="s">
        <v>643</v>
      </c>
      <c r="M25" s="208" t="str">
        <f t="shared" si="9"/>
        <v xml:space="preserve"> </v>
      </c>
      <c r="N25" s="206" t="s">
        <v>643</v>
      </c>
      <c r="O25" s="208" t="str">
        <f t="shared" si="9"/>
        <v xml:space="preserve"> </v>
      </c>
      <c r="P25" s="206" t="s">
        <v>643</v>
      </c>
      <c r="Q25" s="208" t="str">
        <f t="shared" ref="Q25:S25" si="92">IFERROR(P25/$G25," ")</f>
        <v xml:space="preserve"> </v>
      </c>
      <c r="R25" s="206" t="s">
        <v>643</v>
      </c>
      <c r="S25" s="208" t="str">
        <f t="shared" si="92"/>
        <v xml:space="preserve"> </v>
      </c>
      <c r="T25" s="206" t="s">
        <v>643</v>
      </c>
      <c r="U25" s="208" t="str">
        <f t="shared" ref="U25:W25" si="93">IFERROR(T25/$G25," ")</f>
        <v xml:space="preserve"> </v>
      </c>
      <c r="V25" s="206" t="s">
        <v>643</v>
      </c>
      <c r="W25" s="208" t="str">
        <f t="shared" si="93"/>
        <v xml:space="preserve"> </v>
      </c>
      <c r="X25" s="206" t="s">
        <v>643</v>
      </c>
      <c r="Y25" s="208" t="str">
        <f t="shared" ref="Y25:AA25" si="94">IFERROR(X25/$G25," ")</f>
        <v xml:space="preserve"> </v>
      </c>
      <c r="Z25" s="206" t="s">
        <v>643</v>
      </c>
      <c r="AA25" s="208" t="str">
        <f t="shared" si="94"/>
        <v xml:space="preserve"> </v>
      </c>
      <c r="AB25" s="206" t="s">
        <v>643</v>
      </c>
      <c r="AC25" s="208" t="str">
        <f t="shared" ref="AC25:AE25" si="95">IFERROR(AB25/$G25," ")</f>
        <v xml:space="preserve"> </v>
      </c>
      <c r="AD25" s="206" t="s">
        <v>643</v>
      </c>
      <c r="AE25" s="208" t="str">
        <f t="shared" si="95"/>
        <v xml:space="preserve"> </v>
      </c>
      <c r="AF25" s="203"/>
      <c r="AG25" s="205" t="str">
        <f t="shared" si="14"/>
        <v xml:space="preserve"> </v>
      </c>
      <c r="AH25" s="205" t="str">
        <f t="shared" si="75"/>
        <v xml:space="preserve"> </v>
      </c>
      <c r="AI25" s="205" t="str">
        <f t="shared" si="76"/>
        <v xml:space="preserve"> </v>
      </c>
      <c r="AJ25" s="205" t="str">
        <f t="shared" si="77"/>
        <v xml:space="preserve"> </v>
      </c>
      <c r="AK25" s="205" t="str">
        <f t="shared" si="78"/>
        <v xml:space="preserve"> </v>
      </c>
      <c r="AL25" s="205" t="str">
        <f t="shared" si="79"/>
        <v xml:space="preserve"> </v>
      </c>
      <c r="AM25" s="205" t="str">
        <f t="shared" si="80"/>
        <v xml:space="preserve"> </v>
      </c>
      <c r="AN25" s="205" t="str">
        <f t="shared" si="81"/>
        <v xml:space="preserve"> </v>
      </c>
      <c r="AO25" s="205" t="str">
        <f t="shared" si="82"/>
        <v xml:space="preserve"> </v>
      </c>
      <c r="AP25" s="205" t="str">
        <f t="shared" si="83"/>
        <v xml:space="preserve"> </v>
      </c>
    </row>
    <row r="26" spans="1:42" x14ac:dyDescent="0.25">
      <c r="A26" s="202"/>
      <c r="B26" s="203" t="s">
        <v>1218</v>
      </c>
      <c r="C26" s="204" t="s">
        <v>89</v>
      </c>
      <c r="D26" s="203" t="s">
        <v>715</v>
      </c>
      <c r="E26" s="205" t="str">
        <f>IFERROR(VLOOKUP(A26,Estimate!A:Q,17,FALSE)," ")</f>
        <v xml:space="preserve"> </v>
      </c>
      <c r="F26" s="206" t="s">
        <v>643</v>
      </c>
      <c r="G26" s="206" t="s">
        <v>643</v>
      </c>
      <c r="H26" s="207" t="s">
        <v>643</v>
      </c>
      <c r="I26" s="207" t="s">
        <v>643</v>
      </c>
      <c r="J26" s="207" t="s">
        <v>643</v>
      </c>
      <c r="K26" s="206"/>
      <c r="L26" s="206" t="s">
        <v>643</v>
      </c>
      <c r="M26" s="208" t="str">
        <f t="shared" si="9"/>
        <v xml:space="preserve"> </v>
      </c>
      <c r="N26" s="206" t="s">
        <v>643</v>
      </c>
      <c r="O26" s="208" t="str">
        <f t="shared" si="9"/>
        <v xml:space="preserve"> </v>
      </c>
      <c r="P26" s="206" t="s">
        <v>643</v>
      </c>
      <c r="Q26" s="208" t="str">
        <f t="shared" ref="Q26:S26" si="96">IFERROR(P26/$G26," ")</f>
        <v xml:space="preserve"> </v>
      </c>
      <c r="R26" s="206" t="s">
        <v>643</v>
      </c>
      <c r="S26" s="208" t="str">
        <f t="shared" si="96"/>
        <v xml:space="preserve"> </v>
      </c>
      <c r="T26" s="206" t="s">
        <v>643</v>
      </c>
      <c r="U26" s="208" t="str">
        <f t="shared" ref="U26:W26" si="97">IFERROR(T26/$G26," ")</f>
        <v xml:space="preserve"> </v>
      </c>
      <c r="V26" s="206" t="s">
        <v>643</v>
      </c>
      <c r="W26" s="208" t="str">
        <f t="shared" si="97"/>
        <v xml:space="preserve"> </v>
      </c>
      <c r="X26" s="206" t="s">
        <v>643</v>
      </c>
      <c r="Y26" s="208" t="str">
        <f t="shared" ref="Y26:AA26" si="98">IFERROR(X26/$G26," ")</f>
        <v xml:space="preserve"> </v>
      </c>
      <c r="Z26" s="206" t="s">
        <v>643</v>
      </c>
      <c r="AA26" s="208" t="str">
        <f t="shared" si="98"/>
        <v xml:space="preserve"> </v>
      </c>
      <c r="AB26" s="206" t="s">
        <v>643</v>
      </c>
      <c r="AC26" s="208" t="str">
        <f t="shared" ref="AC26:AE26" si="99">IFERROR(AB26/$G26," ")</f>
        <v xml:space="preserve"> </v>
      </c>
      <c r="AD26" s="206" t="s">
        <v>643</v>
      </c>
      <c r="AE26" s="208" t="str">
        <f t="shared" si="99"/>
        <v xml:space="preserve"> </v>
      </c>
      <c r="AF26" s="203"/>
      <c r="AG26" s="205" t="str">
        <f t="shared" si="14"/>
        <v xml:space="preserve"> </v>
      </c>
      <c r="AH26" s="205" t="str">
        <f t="shared" si="75"/>
        <v xml:space="preserve"> </v>
      </c>
      <c r="AI26" s="205" t="str">
        <f t="shared" si="76"/>
        <v xml:space="preserve"> </v>
      </c>
      <c r="AJ26" s="205" t="str">
        <f t="shared" si="77"/>
        <v xml:space="preserve"> </v>
      </c>
      <c r="AK26" s="205" t="str">
        <f t="shared" si="78"/>
        <v xml:space="preserve"> </v>
      </c>
      <c r="AL26" s="205" t="str">
        <f t="shared" si="79"/>
        <v xml:space="preserve"> </v>
      </c>
      <c r="AM26" s="205" t="str">
        <f t="shared" si="80"/>
        <v xml:space="preserve"> </v>
      </c>
      <c r="AN26" s="205" t="str">
        <f t="shared" si="81"/>
        <v xml:space="preserve"> </v>
      </c>
      <c r="AO26" s="205" t="str">
        <f t="shared" si="82"/>
        <v xml:space="preserve"> </v>
      </c>
      <c r="AP26" s="205" t="str">
        <f t="shared" si="83"/>
        <v xml:space="preserve"> </v>
      </c>
    </row>
    <row r="27" spans="1:42" x14ac:dyDescent="0.25">
      <c r="A27" s="202">
        <v>21</v>
      </c>
      <c r="B27" s="203" t="s">
        <v>1231</v>
      </c>
      <c r="C27" s="204" t="s">
        <v>91</v>
      </c>
      <c r="D27" s="203" t="s">
        <v>54</v>
      </c>
      <c r="E27" s="205">
        <f>IFERROR(VLOOKUP(A27,Estimate!A:Q,17,FALSE)," ")</f>
        <v>12138</v>
      </c>
      <c r="F27" s="206">
        <v>34</v>
      </c>
      <c r="G27" s="206">
        <v>34</v>
      </c>
      <c r="H27" s="207">
        <v>439.35</v>
      </c>
      <c r="I27" s="207">
        <v>14937.9</v>
      </c>
      <c r="J27" s="207">
        <v>14937.9</v>
      </c>
      <c r="K27" s="206"/>
      <c r="L27" s="206"/>
      <c r="M27" s="208">
        <f t="shared" si="9"/>
        <v>0</v>
      </c>
      <c r="N27" s="206">
        <v>3.6</v>
      </c>
      <c r="O27" s="208">
        <f t="shared" si="9"/>
        <v>0.10588235294117647</v>
      </c>
      <c r="P27" s="206">
        <v>34</v>
      </c>
      <c r="Q27" s="208">
        <f t="shared" ref="Q27:S27" si="100">IFERROR(P27/$G27," ")</f>
        <v>1</v>
      </c>
      <c r="R27" s="206">
        <v>34</v>
      </c>
      <c r="S27" s="208">
        <f t="shared" si="100"/>
        <v>1</v>
      </c>
      <c r="T27" s="206">
        <v>34</v>
      </c>
      <c r="U27" s="208">
        <f t="shared" ref="U27:W27" si="101">IFERROR(T27/$G27," ")</f>
        <v>1</v>
      </c>
      <c r="V27" s="206">
        <v>34</v>
      </c>
      <c r="W27" s="208">
        <f t="shared" si="101"/>
        <v>1</v>
      </c>
      <c r="X27" s="206">
        <v>34</v>
      </c>
      <c r="Y27" s="208">
        <f t="shared" ref="Y27:AA27" si="102">IFERROR(X27/$G27," ")</f>
        <v>1</v>
      </c>
      <c r="Z27" s="206">
        <v>34</v>
      </c>
      <c r="AA27" s="208">
        <f t="shared" si="102"/>
        <v>1</v>
      </c>
      <c r="AB27" s="206">
        <v>34</v>
      </c>
      <c r="AC27" s="208">
        <f t="shared" ref="AC27:AE27" si="103">IFERROR(AB27/$G27," ")</f>
        <v>1</v>
      </c>
      <c r="AD27" s="206">
        <v>34</v>
      </c>
      <c r="AE27" s="208">
        <f t="shared" si="103"/>
        <v>1</v>
      </c>
      <c r="AF27" s="203"/>
      <c r="AG27" s="205">
        <f t="shared" si="14"/>
        <v>0</v>
      </c>
      <c r="AH27" s="205">
        <f t="shared" si="75"/>
        <v>1581.66</v>
      </c>
      <c r="AI27" s="205">
        <f t="shared" si="76"/>
        <v>14937.900000000001</v>
      </c>
      <c r="AJ27" s="205">
        <f t="shared" si="77"/>
        <v>14937.900000000001</v>
      </c>
      <c r="AK27" s="205">
        <f t="shared" si="78"/>
        <v>14937.900000000001</v>
      </c>
      <c r="AL27" s="205">
        <f t="shared" si="79"/>
        <v>14937.900000000001</v>
      </c>
      <c r="AM27" s="205">
        <f t="shared" si="80"/>
        <v>14937.900000000001</v>
      </c>
      <c r="AN27" s="205">
        <f t="shared" si="81"/>
        <v>14937.900000000001</v>
      </c>
      <c r="AO27" s="205">
        <f t="shared" si="82"/>
        <v>14937.900000000001</v>
      </c>
      <c r="AP27" s="205">
        <f t="shared" si="83"/>
        <v>14937.900000000001</v>
      </c>
    </row>
    <row r="28" spans="1:42" x14ac:dyDescent="0.25">
      <c r="A28" s="202">
        <v>22</v>
      </c>
      <c r="B28" s="203" t="s">
        <v>1232</v>
      </c>
      <c r="C28" s="204" t="s">
        <v>93</v>
      </c>
      <c r="D28" s="203" t="s">
        <v>94</v>
      </c>
      <c r="E28" s="205">
        <f>IFERROR(VLOOKUP(A28,Estimate!A:Q,17,FALSE)," ")</f>
        <v>12392.662066896655</v>
      </c>
      <c r="F28" s="206">
        <v>1893</v>
      </c>
      <c r="G28" s="206">
        <v>1893</v>
      </c>
      <c r="H28" s="207">
        <v>7.66</v>
      </c>
      <c r="I28" s="207">
        <v>14500.38</v>
      </c>
      <c r="J28" s="207">
        <v>14500.38</v>
      </c>
      <c r="K28" s="206"/>
      <c r="L28" s="206"/>
      <c r="M28" s="208">
        <f t="shared" si="9"/>
        <v>0</v>
      </c>
      <c r="N28" s="206">
        <v>200</v>
      </c>
      <c r="O28" s="208">
        <f t="shared" si="9"/>
        <v>0.10565240359218173</v>
      </c>
      <c r="P28" s="206">
        <v>1893</v>
      </c>
      <c r="Q28" s="208">
        <f t="shared" ref="Q28:S28" si="104">IFERROR(P28/$G28," ")</f>
        <v>1</v>
      </c>
      <c r="R28" s="206">
        <v>1893</v>
      </c>
      <c r="S28" s="208">
        <f t="shared" si="104"/>
        <v>1</v>
      </c>
      <c r="T28" s="206">
        <v>1893</v>
      </c>
      <c r="U28" s="208">
        <f t="shared" ref="U28:W28" si="105">IFERROR(T28/$G28," ")</f>
        <v>1</v>
      </c>
      <c r="V28" s="206">
        <v>1893</v>
      </c>
      <c r="W28" s="208">
        <f t="shared" si="105"/>
        <v>1</v>
      </c>
      <c r="X28" s="206">
        <v>1893</v>
      </c>
      <c r="Y28" s="208">
        <f t="shared" ref="Y28:AA28" si="106">IFERROR(X28/$G28," ")</f>
        <v>1</v>
      </c>
      <c r="Z28" s="206">
        <v>1893</v>
      </c>
      <c r="AA28" s="208">
        <f t="shared" si="106"/>
        <v>1</v>
      </c>
      <c r="AB28" s="206">
        <v>1893</v>
      </c>
      <c r="AC28" s="208">
        <f t="shared" ref="AC28:AE28" si="107">IFERROR(AB28/$G28," ")</f>
        <v>1</v>
      </c>
      <c r="AD28" s="206">
        <v>1893</v>
      </c>
      <c r="AE28" s="208">
        <f t="shared" si="107"/>
        <v>1</v>
      </c>
      <c r="AF28" s="203"/>
      <c r="AG28" s="205">
        <f t="shared" si="14"/>
        <v>0</v>
      </c>
      <c r="AH28" s="205">
        <f t="shared" si="75"/>
        <v>1532</v>
      </c>
      <c r="AI28" s="205">
        <f t="shared" si="76"/>
        <v>14500.380000000001</v>
      </c>
      <c r="AJ28" s="205">
        <f t="shared" si="77"/>
        <v>14500.380000000001</v>
      </c>
      <c r="AK28" s="205">
        <f t="shared" si="78"/>
        <v>14500.380000000001</v>
      </c>
      <c r="AL28" s="205">
        <f t="shared" si="79"/>
        <v>14500.380000000001</v>
      </c>
      <c r="AM28" s="205">
        <f t="shared" si="80"/>
        <v>14500.380000000001</v>
      </c>
      <c r="AN28" s="205">
        <f t="shared" si="81"/>
        <v>14500.380000000001</v>
      </c>
      <c r="AO28" s="205">
        <f t="shared" si="82"/>
        <v>14500.380000000001</v>
      </c>
      <c r="AP28" s="205">
        <f t="shared" si="83"/>
        <v>14500.380000000001</v>
      </c>
    </row>
    <row r="29" spans="1:42" x14ac:dyDescent="0.25">
      <c r="A29" s="202">
        <v>23</v>
      </c>
      <c r="B29" s="203" t="s">
        <v>1233</v>
      </c>
      <c r="C29" s="204" t="s">
        <v>97</v>
      </c>
      <c r="D29" s="203" t="s">
        <v>57</v>
      </c>
      <c r="E29" s="205">
        <f>IFERROR(VLOOKUP(A29,Estimate!A:Q,17,FALSE)," ")</f>
        <v>34836.615661566168</v>
      </c>
      <c r="F29" s="206">
        <v>758</v>
      </c>
      <c r="G29" s="206">
        <v>758</v>
      </c>
      <c r="H29" s="207">
        <v>56.55</v>
      </c>
      <c r="I29" s="207">
        <v>42864.9</v>
      </c>
      <c r="J29" s="207">
        <v>42864.9</v>
      </c>
      <c r="K29" s="206"/>
      <c r="L29" s="206"/>
      <c r="M29" s="208">
        <f t="shared" si="9"/>
        <v>0</v>
      </c>
      <c r="N29" s="206">
        <v>219</v>
      </c>
      <c r="O29" s="208">
        <f t="shared" si="9"/>
        <v>0.28891820580474936</v>
      </c>
      <c r="P29" s="206">
        <v>219</v>
      </c>
      <c r="Q29" s="208">
        <f t="shared" ref="Q29:S29" si="108">IFERROR(P29/$G29," ")</f>
        <v>0.28891820580474936</v>
      </c>
      <c r="R29" s="206">
        <v>219</v>
      </c>
      <c r="S29" s="208">
        <f t="shared" si="108"/>
        <v>0.28891820580474936</v>
      </c>
      <c r="T29" s="206">
        <v>758</v>
      </c>
      <c r="U29" s="208">
        <f t="shared" ref="U29:W29" si="109">IFERROR(T29/$G29," ")</f>
        <v>1</v>
      </c>
      <c r="V29" s="206">
        <v>758</v>
      </c>
      <c r="W29" s="208">
        <f t="shared" si="109"/>
        <v>1</v>
      </c>
      <c r="X29" s="206">
        <v>758</v>
      </c>
      <c r="Y29" s="208">
        <f t="shared" ref="Y29:AA29" si="110">IFERROR(X29/$G29," ")</f>
        <v>1</v>
      </c>
      <c r="Z29" s="206">
        <v>758</v>
      </c>
      <c r="AA29" s="208">
        <f t="shared" si="110"/>
        <v>1</v>
      </c>
      <c r="AB29" s="206">
        <v>758</v>
      </c>
      <c r="AC29" s="208">
        <f t="shared" ref="AC29:AE29" si="111">IFERROR(AB29/$G29," ")</f>
        <v>1</v>
      </c>
      <c r="AD29" s="206">
        <v>758</v>
      </c>
      <c r="AE29" s="208">
        <f t="shared" si="111"/>
        <v>1</v>
      </c>
      <c r="AF29" s="203"/>
      <c r="AG29" s="205">
        <f t="shared" si="14"/>
        <v>0</v>
      </c>
      <c r="AH29" s="205">
        <f t="shared" si="75"/>
        <v>12384.449999999999</v>
      </c>
      <c r="AI29" s="205">
        <f t="shared" si="76"/>
        <v>12384.449999999999</v>
      </c>
      <c r="AJ29" s="205">
        <f t="shared" si="77"/>
        <v>12384.449999999999</v>
      </c>
      <c r="AK29" s="205">
        <f t="shared" si="78"/>
        <v>42864.9</v>
      </c>
      <c r="AL29" s="205">
        <f t="shared" si="79"/>
        <v>42864.9</v>
      </c>
      <c r="AM29" s="205">
        <f t="shared" si="80"/>
        <v>42864.9</v>
      </c>
      <c r="AN29" s="205">
        <f t="shared" si="81"/>
        <v>42864.9</v>
      </c>
      <c r="AO29" s="205">
        <f t="shared" si="82"/>
        <v>42864.9</v>
      </c>
      <c r="AP29" s="205">
        <f t="shared" si="83"/>
        <v>42864.9</v>
      </c>
    </row>
    <row r="30" spans="1:42" x14ac:dyDescent="0.25">
      <c r="A30" s="202">
        <v>24</v>
      </c>
      <c r="B30" s="203" t="s">
        <v>1233</v>
      </c>
      <c r="C30" s="204" t="s">
        <v>99</v>
      </c>
      <c r="D30" s="203" t="s">
        <v>57</v>
      </c>
      <c r="E30" s="205">
        <f>IFERROR(VLOOKUP(A30,Estimate!A:Q,17,FALSE)," ")</f>
        <v>14940.590699069908</v>
      </c>
      <c r="F30" s="206">
        <v>282</v>
      </c>
      <c r="G30" s="206">
        <v>282</v>
      </c>
      <c r="H30" s="207">
        <v>65.2</v>
      </c>
      <c r="I30" s="207">
        <v>18386.400000000001</v>
      </c>
      <c r="J30" s="207">
        <v>18386.400000000001</v>
      </c>
      <c r="K30" s="206"/>
      <c r="L30" s="206"/>
      <c r="M30" s="208">
        <f t="shared" si="9"/>
        <v>0</v>
      </c>
      <c r="N30" s="206"/>
      <c r="O30" s="208">
        <f t="shared" si="9"/>
        <v>0</v>
      </c>
      <c r="P30" s="206"/>
      <c r="Q30" s="208">
        <f t="shared" ref="Q30:S30" si="112">IFERROR(P30/$G30," ")</f>
        <v>0</v>
      </c>
      <c r="R30" s="206"/>
      <c r="S30" s="208">
        <f t="shared" si="112"/>
        <v>0</v>
      </c>
      <c r="T30" s="206">
        <v>94</v>
      </c>
      <c r="U30" s="208">
        <f t="shared" ref="U30:W30" si="113">IFERROR(T30/$G30," ")</f>
        <v>0.33333333333333331</v>
      </c>
      <c r="V30" s="206">
        <v>282</v>
      </c>
      <c r="W30" s="208">
        <f t="shared" si="113"/>
        <v>1</v>
      </c>
      <c r="X30" s="206">
        <v>282</v>
      </c>
      <c r="Y30" s="208">
        <f t="shared" ref="Y30:AA30" si="114">IFERROR(X30/$G30," ")</f>
        <v>1</v>
      </c>
      <c r="Z30" s="206">
        <v>282</v>
      </c>
      <c r="AA30" s="208">
        <f t="shared" si="114"/>
        <v>1</v>
      </c>
      <c r="AB30" s="206">
        <v>282</v>
      </c>
      <c r="AC30" s="208">
        <f t="shared" ref="AC30:AE30" si="115">IFERROR(AB30/$G30," ")</f>
        <v>1</v>
      </c>
      <c r="AD30" s="206">
        <v>282</v>
      </c>
      <c r="AE30" s="208">
        <f t="shared" si="115"/>
        <v>1</v>
      </c>
      <c r="AF30" s="203"/>
      <c r="AG30" s="205">
        <f t="shared" si="14"/>
        <v>0</v>
      </c>
      <c r="AH30" s="205">
        <f t="shared" si="75"/>
        <v>0</v>
      </c>
      <c r="AI30" s="205">
        <f t="shared" si="76"/>
        <v>0</v>
      </c>
      <c r="AJ30" s="205">
        <f t="shared" si="77"/>
        <v>0</v>
      </c>
      <c r="AK30" s="205">
        <f t="shared" si="78"/>
        <v>6128.8</v>
      </c>
      <c r="AL30" s="205">
        <f t="shared" si="79"/>
        <v>18386.400000000001</v>
      </c>
      <c r="AM30" s="205">
        <f t="shared" si="80"/>
        <v>18386.400000000001</v>
      </c>
      <c r="AN30" s="205">
        <f t="shared" si="81"/>
        <v>18386.400000000001</v>
      </c>
      <c r="AO30" s="205">
        <f t="shared" si="82"/>
        <v>18386.400000000001</v>
      </c>
      <c r="AP30" s="205">
        <f t="shared" si="83"/>
        <v>18386.400000000001</v>
      </c>
    </row>
    <row r="31" spans="1:42" ht="30" x14ac:dyDescent="0.25">
      <c r="A31" s="202">
        <v>25</v>
      </c>
      <c r="B31" s="203" t="s">
        <v>1233</v>
      </c>
      <c r="C31" s="204" t="s">
        <v>102</v>
      </c>
      <c r="D31" s="203" t="s">
        <v>103</v>
      </c>
      <c r="E31" s="205">
        <f>IFERROR(VLOOKUP(A31,Estimate!A:Q,17,FALSE)," ")</f>
        <v>34310.939763093054</v>
      </c>
      <c r="F31" s="206">
        <v>483</v>
      </c>
      <c r="G31" s="206">
        <v>483</v>
      </c>
      <c r="H31" s="207">
        <v>58.78</v>
      </c>
      <c r="I31" s="207">
        <v>28390.74</v>
      </c>
      <c r="J31" s="207">
        <v>28390.74</v>
      </c>
      <c r="K31" s="206"/>
      <c r="L31" s="206"/>
      <c r="M31" s="208">
        <f t="shared" si="9"/>
        <v>0</v>
      </c>
      <c r="N31" s="206">
        <v>483</v>
      </c>
      <c r="O31" s="208">
        <f t="shared" si="9"/>
        <v>1</v>
      </c>
      <c r="P31" s="206">
        <v>483</v>
      </c>
      <c r="Q31" s="208">
        <f t="shared" ref="Q31:S31" si="116">IFERROR(P31/$G31," ")</f>
        <v>1</v>
      </c>
      <c r="R31" s="206">
        <v>483</v>
      </c>
      <c r="S31" s="208">
        <f t="shared" si="116"/>
        <v>1</v>
      </c>
      <c r="T31" s="206">
        <v>483</v>
      </c>
      <c r="U31" s="208">
        <f t="shared" ref="U31:W31" si="117">IFERROR(T31/$G31," ")</f>
        <v>1</v>
      </c>
      <c r="V31" s="206">
        <v>483</v>
      </c>
      <c r="W31" s="208">
        <f t="shared" si="117"/>
        <v>1</v>
      </c>
      <c r="X31" s="206">
        <v>483</v>
      </c>
      <c r="Y31" s="208">
        <f t="shared" ref="Y31:AA31" si="118">IFERROR(X31/$G31," ")</f>
        <v>1</v>
      </c>
      <c r="Z31" s="206">
        <v>483</v>
      </c>
      <c r="AA31" s="208">
        <f t="shared" si="118"/>
        <v>1</v>
      </c>
      <c r="AB31" s="206">
        <v>483</v>
      </c>
      <c r="AC31" s="208">
        <f t="shared" ref="AC31:AE31" si="119">IFERROR(AB31/$G31," ")</f>
        <v>1</v>
      </c>
      <c r="AD31" s="206">
        <v>483</v>
      </c>
      <c r="AE31" s="208">
        <f t="shared" si="119"/>
        <v>1</v>
      </c>
      <c r="AF31" s="203"/>
      <c r="AG31" s="205">
        <f t="shared" si="14"/>
        <v>0</v>
      </c>
      <c r="AH31" s="205">
        <f t="shared" si="75"/>
        <v>28390.74</v>
      </c>
      <c r="AI31" s="205">
        <f t="shared" si="76"/>
        <v>28390.74</v>
      </c>
      <c r="AJ31" s="205">
        <f t="shared" si="77"/>
        <v>28390.74</v>
      </c>
      <c r="AK31" s="205">
        <f t="shared" si="78"/>
        <v>28390.74</v>
      </c>
      <c r="AL31" s="205">
        <f t="shared" si="79"/>
        <v>28390.74</v>
      </c>
      <c r="AM31" s="205">
        <f t="shared" si="80"/>
        <v>28390.74</v>
      </c>
      <c r="AN31" s="205">
        <f t="shared" si="81"/>
        <v>28390.74</v>
      </c>
      <c r="AO31" s="205">
        <f t="shared" si="82"/>
        <v>28390.74</v>
      </c>
      <c r="AP31" s="205">
        <f t="shared" si="83"/>
        <v>28390.74</v>
      </c>
    </row>
    <row r="32" spans="1:42" x14ac:dyDescent="0.25">
      <c r="A32" s="202">
        <v>26</v>
      </c>
      <c r="B32" s="203" t="s">
        <v>1234</v>
      </c>
      <c r="C32" s="204" t="s">
        <v>108</v>
      </c>
      <c r="D32" s="203" t="s">
        <v>94</v>
      </c>
      <c r="E32" s="205">
        <f>IFERROR(VLOOKUP(A32,Estimate!A:Q,17,FALSE)," ")</f>
        <v>16638.237000000001</v>
      </c>
      <c r="F32" s="206">
        <v>1661</v>
      </c>
      <c r="G32" s="206">
        <v>1661</v>
      </c>
      <c r="H32" s="207">
        <v>12.33</v>
      </c>
      <c r="I32" s="207">
        <v>20480.13</v>
      </c>
      <c r="J32" s="207">
        <v>20480.13</v>
      </c>
      <c r="K32" s="206"/>
      <c r="L32" s="206"/>
      <c r="M32" s="208">
        <f t="shared" si="9"/>
        <v>0</v>
      </c>
      <c r="N32" s="206"/>
      <c r="O32" s="208">
        <f t="shared" si="9"/>
        <v>0</v>
      </c>
      <c r="P32" s="206"/>
      <c r="Q32" s="208">
        <f t="shared" ref="Q32:S32" si="120">IFERROR(P32/$G32," ")</f>
        <v>0</v>
      </c>
      <c r="R32" s="206"/>
      <c r="S32" s="208">
        <f t="shared" si="120"/>
        <v>0</v>
      </c>
      <c r="T32" s="206"/>
      <c r="U32" s="208">
        <f t="shared" ref="U32:W32" si="121">IFERROR(T32/$G32," ")</f>
        <v>0</v>
      </c>
      <c r="V32" s="206"/>
      <c r="W32" s="208">
        <f t="shared" si="121"/>
        <v>0</v>
      </c>
      <c r="X32" s="206">
        <v>1661</v>
      </c>
      <c r="Y32" s="208">
        <f t="shared" ref="Y32:AA32" si="122">IFERROR(X32/$G32," ")</f>
        <v>1</v>
      </c>
      <c r="Z32" s="206">
        <v>1661</v>
      </c>
      <c r="AA32" s="208">
        <f t="shared" si="122"/>
        <v>1</v>
      </c>
      <c r="AB32" s="206">
        <v>1661</v>
      </c>
      <c r="AC32" s="208">
        <f t="shared" ref="AC32:AE32" si="123">IFERROR(AB32/$G32," ")</f>
        <v>1</v>
      </c>
      <c r="AD32" s="206">
        <v>1661</v>
      </c>
      <c r="AE32" s="208">
        <f t="shared" si="123"/>
        <v>1</v>
      </c>
      <c r="AF32" s="203"/>
      <c r="AG32" s="205">
        <f t="shared" si="14"/>
        <v>0</v>
      </c>
      <c r="AH32" s="205">
        <f t="shared" si="75"/>
        <v>0</v>
      </c>
      <c r="AI32" s="205">
        <f t="shared" si="76"/>
        <v>0</v>
      </c>
      <c r="AJ32" s="205">
        <f t="shared" si="77"/>
        <v>0</v>
      </c>
      <c r="AK32" s="205">
        <f t="shared" si="78"/>
        <v>0</v>
      </c>
      <c r="AL32" s="205">
        <f t="shared" si="79"/>
        <v>0</v>
      </c>
      <c r="AM32" s="205">
        <f t="shared" si="80"/>
        <v>20480.13</v>
      </c>
      <c r="AN32" s="205">
        <f t="shared" si="81"/>
        <v>20480.13</v>
      </c>
      <c r="AO32" s="205">
        <f t="shared" si="82"/>
        <v>20480.13</v>
      </c>
      <c r="AP32" s="205">
        <f t="shared" si="83"/>
        <v>20480.13</v>
      </c>
    </row>
    <row r="33" spans="1:42" x14ac:dyDescent="0.25">
      <c r="A33" s="202">
        <v>27</v>
      </c>
      <c r="B33" s="203" t="s">
        <v>1235</v>
      </c>
      <c r="C33" s="204" t="s">
        <v>112</v>
      </c>
      <c r="D33" s="203" t="s">
        <v>54</v>
      </c>
      <c r="E33" s="205">
        <f>IFERROR(VLOOKUP(A33,Estimate!A:Q,17,FALSE)," ")</f>
        <v>58305</v>
      </c>
      <c r="F33" s="206">
        <v>195</v>
      </c>
      <c r="G33" s="206">
        <v>195</v>
      </c>
      <c r="H33" s="207">
        <v>367.97</v>
      </c>
      <c r="I33" s="207">
        <v>71754.149999999994</v>
      </c>
      <c r="J33" s="207">
        <v>71754.149999999994</v>
      </c>
      <c r="K33" s="206"/>
      <c r="L33" s="206"/>
      <c r="M33" s="208">
        <f t="shared" si="9"/>
        <v>0</v>
      </c>
      <c r="N33" s="206"/>
      <c r="O33" s="208">
        <f t="shared" si="9"/>
        <v>0</v>
      </c>
      <c r="P33" s="206"/>
      <c r="Q33" s="208">
        <f t="shared" ref="Q33:S33" si="124">IFERROR(P33/$G33," ")</f>
        <v>0</v>
      </c>
      <c r="R33" s="206"/>
      <c r="S33" s="208">
        <f t="shared" si="124"/>
        <v>0</v>
      </c>
      <c r="T33" s="206"/>
      <c r="U33" s="208">
        <f t="shared" ref="U33:W33" si="125">IFERROR(T33/$G33," ")</f>
        <v>0</v>
      </c>
      <c r="V33" s="206"/>
      <c r="W33" s="208">
        <f t="shared" si="125"/>
        <v>0</v>
      </c>
      <c r="X33" s="206"/>
      <c r="Y33" s="208">
        <f t="shared" ref="Y33:AA33" si="126">IFERROR(X33/$G33," ")</f>
        <v>0</v>
      </c>
      <c r="Z33" s="206">
        <v>195</v>
      </c>
      <c r="AA33" s="208">
        <f t="shared" si="126"/>
        <v>1</v>
      </c>
      <c r="AB33" s="206">
        <v>195</v>
      </c>
      <c r="AC33" s="208">
        <f t="shared" ref="AC33:AE33" si="127">IFERROR(AB33/$G33," ")</f>
        <v>1</v>
      </c>
      <c r="AD33" s="206">
        <v>195</v>
      </c>
      <c r="AE33" s="208">
        <f t="shared" si="127"/>
        <v>1</v>
      </c>
      <c r="AF33" s="203"/>
      <c r="AG33" s="205">
        <f t="shared" si="14"/>
        <v>0</v>
      </c>
      <c r="AH33" s="205">
        <f t="shared" si="75"/>
        <v>0</v>
      </c>
      <c r="AI33" s="205">
        <f t="shared" si="76"/>
        <v>0</v>
      </c>
      <c r="AJ33" s="205">
        <f t="shared" si="77"/>
        <v>0</v>
      </c>
      <c r="AK33" s="205">
        <f t="shared" si="78"/>
        <v>0</v>
      </c>
      <c r="AL33" s="205">
        <f t="shared" si="79"/>
        <v>0</v>
      </c>
      <c r="AM33" s="205">
        <f t="shared" si="80"/>
        <v>0</v>
      </c>
      <c r="AN33" s="205">
        <f t="shared" si="81"/>
        <v>71754.150000000009</v>
      </c>
      <c r="AO33" s="205">
        <f t="shared" si="82"/>
        <v>71754.150000000009</v>
      </c>
      <c r="AP33" s="205">
        <f t="shared" si="83"/>
        <v>71754.150000000009</v>
      </c>
    </row>
    <row r="34" spans="1:42" x14ac:dyDescent="0.25">
      <c r="A34" s="202"/>
      <c r="B34" s="203" t="s">
        <v>1218</v>
      </c>
      <c r="C34" s="204" t="s">
        <v>643</v>
      </c>
      <c r="D34" s="203" t="s">
        <v>715</v>
      </c>
      <c r="E34" s="205" t="str">
        <f>IFERROR(VLOOKUP(A34,Estimate!A:Q,17,FALSE)," ")</f>
        <v xml:space="preserve"> </v>
      </c>
      <c r="F34" s="206" t="s">
        <v>643</v>
      </c>
      <c r="G34" s="206" t="s">
        <v>643</v>
      </c>
      <c r="H34" s="207" t="s">
        <v>643</v>
      </c>
      <c r="I34" s="207" t="s">
        <v>643</v>
      </c>
      <c r="J34" s="207" t="s">
        <v>643</v>
      </c>
      <c r="K34" s="206"/>
      <c r="L34" s="206" t="s">
        <v>643</v>
      </c>
      <c r="M34" s="208" t="str">
        <f t="shared" si="9"/>
        <v xml:space="preserve"> </v>
      </c>
      <c r="N34" s="206" t="s">
        <v>643</v>
      </c>
      <c r="O34" s="208" t="str">
        <f t="shared" si="9"/>
        <v xml:space="preserve"> </v>
      </c>
      <c r="P34" s="206" t="s">
        <v>643</v>
      </c>
      <c r="Q34" s="208" t="str">
        <f t="shared" ref="Q34:S34" si="128">IFERROR(P34/$G34," ")</f>
        <v xml:space="preserve"> </v>
      </c>
      <c r="R34" s="206" t="s">
        <v>643</v>
      </c>
      <c r="S34" s="208" t="str">
        <f t="shared" si="128"/>
        <v xml:space="preserve"> </v>
      </c>
      <c r="T34" s="206" t="s">
        <v>643</v>
      </c>
      <c r="U34" s="208" t="str">
        <f t="shared" ref="U34:W34" si="129">IFERROR(T34/$G34," ")</f>
        <v xml:space="preserve"> </v>
      </c>
      <c r="V34" s="206" t="s">
        <v>643</v>
      </c>
      <c r="W34" s="208" t="str">
        <f t="shared" si="129"/>
        <v xml:space="preserve"> </v>
      </c>
      <c r="X34" s="206" t="s">
        <v>643</v>
      </c>
      <c r="Y34" s="208" t="str">
        <f t="shared" ref="Y34:AA34" si="130">IFERROR(X34/$G34," ")</f>
        <v xml:space="preserve"> </v>
      </c>
      <c r="Z34" s="206" t="s">
        <v>643</v>
      </c>
      <c r="AA34" s="208" t="str">
        <f t="shared" si="130"/>
        <v xml:space="preserve"> </v>
      </c>
      <c r="AB34" s="206" t="s">
        <v>643</v>
      </c>
      <c r="AC34" s="208" t="str">
        <f t="shared" ref="AC34:AE34" si="131">IFERROR(AB34/$G34," ")</f>
        <v xml:space="preserve"> </v>
      </c>
      <c r="AD34" s="206" t="s">
        <v>643</v>
      </c>
      <c r="AE34" s="208" t="str">
        <f t="shared" si="131"/>
        <v xml:space="preserve"> </v>
      </c>
      <c r="AF34" s="203"/>
      <c r="AG34" s="205" t="str">
        <f t="shared" si="14"/>
        <v xml:space="preserve"> </v>
      </c>
      <c r="AH34" s="205" t="str">
        <f t="shared" si="75"/>
        <v xml:space="preserve"> </v>
      </c>
      <c r="AI34" s="205" t="str">
        <f t="shared" si="76"/>
        <v xml:space="preserve"> </v>
      </c>
      <c r="AJ34" s="205" t="str">
        <f t="shared" si="77"/>
        <v xml:space="preserve"> </v>
      </c>
      <c r="AK34" s="205" t="str">
        <f t="shared" si="78"/>
        <v xml:space="preserve"> </v>
      </c>
      <c r="AL34" s="205" t="str">
        <f t="shared" si="79"/>
        <v xml:space="preserve"> </v>
      </c>
      <c r="AM34" s="205" t="str">
        <f t="shared" si="80"/>
        <v xml:space="preserve"> </v>
      </c>
      <c r="AN34" s="205" t="str">
        <f t="shared" si="81"/>
        <v xml:space="preserve"> </v>
      </c>
      <c r="AO34" s="205" t="str">
        <f t="shared" si="82"/>
        <v xml:space="preserve"> </v>
      </c>
      <c r="AP34" s="205" t="str">
        <f t="shared" si="83"/>
        <v xml:space="preserve"> </v>
      </c>
    </row>
    <row r="35" spans="1:42" x14ac:dyDescent="0.25">
      <c r="A35" s="202"/>
      <c r="B35" s="203" t="s">
        <v>1218</v>
      </c>
      <c r="C35" s="204" t="s">
        <v>115</v>
      </c>
      <c r="D35" s="203" t="s">
        <v>715</v>
      </c>
      <c r="E35" s="205" t="str">
        <f>IFERROR(VLOOKUP(A35,Estimate!A:Q,17,FALSE)," ")</f>
        <v xml:space="preserve"> </v>
      </c>
      <c r="F35" s="206" t="s">
        <v>643</v>
      </c>
      <c r="G35" s="206" t="s">
        <v>643</v>
      </c>
      <c r="H35" s="207" t="s">
        <v>643</v>
      </c>
      <c r="I35" s="207" t="s">
        <v>643</v>
      </c>
      <c r="J35" s="207" t="s">
        <v>643</v>
      </c>
      <c r="K35" s="206"/>
      <c r="L35" s="206" t="s">
        <v>643</v>
      </c>
      <c r="M35" s="208" t="str">
        <f t="shared" si="9"/>
        <v xml:space="preserve"> </v>
      </c>
      <c r="N35" s="206" t="s">
        <v>643</v>
      </c>
      <c r="O35" s="208" t="str">
        <f t="shared" si="9"/>
        <v xml:space="preserve"> </v>
      </c>
      <c r="P35" s="206" t="s">
        <v>643</v>
      </c>
      <c r="Q35" s="208" t="str">
        <f t="shared" ref="Q35:S35" si="132">IFERROR(P35/$G35," ")</f>
        <v xml:space="preserve"> </v>
      </c>
      <c r="R35" s="206" t="s">
        <v>643</v>
      </c>
      <c r="S35" s="208" t="str">
        <f t="shared" si="132"/>
        <v xml:space="preserve"> </v>
      </c>
      <c r="T35" s="206" t="s">
        <v>643</v>
      </c>
      <c r="U35" s="208" t="str">
        <f t="shared" ref="U35:W35" si="133">IFERROR(T35/$G35," ")</f>
        <v xml:space="preserve"> </v>
      </c>
      <c r="V35" s="206" t="s">
        <v>643</v>
      </c>
      <c r="W35" s="208" t="str">
        <f t="shared" si="133"/>
        <v xml:space="preserve"> </v>
      </c>
      <c r="X35" s="206" t="s">
        <v>643</v>
      </c>
      <c r="Y35" s="208" t="str">
        <f t="shared" ref="Y35:AA35" si="134">IFERROR(X35/$G35," ")</f>
        <v xml:space="preserve"> </v>
      </c>
      <c r="Z35" s="206" t="s">
        <v>643</v>
      </c>
      <c r="AA35" s="208" t="str">
        <f t="shared" si="134"/>
        <v xml:space="preserve"> </v>
      </c>
      <c r="AB35" s="206" t="s">
        <v>643</v>
      </c>
      <c r="AC35" s="208" t="str">
        <f t="shared" ref="AC35:AE35" si="135">IFERROR(AB35/$G35," ")</f>
        <v xml:space="preserve"> </v>
      </c>
      <c r="AD35" s="206" t="s">
        <v>643</v>
      </c>
      <c r="AE35" s="208" t="str">
        <f t="shared" si="135"/>
        <v xml:space="preserve"> </v>
      </c>
      <c r="AF35" s="203"/>
      <c r="AG35" s="205" t="str">
        <f t="shared" si="14"/>
        <v xml:space="preserve"> </v>
      </c>
      <c r="AH35" s="205" t="str">
        <f t="shared" si="75"/>
        <v xml:space="preserve"> </v>
      </c>
      <c r="AI35" s="205" t="str">
        <f t="shared" si="76"/>
        <v xml:space="preserve"> </v>
      </c>
      <c r="AJ35" s="205" t="str">
        <f t="shared" si="77"/>
        <v xml:space="preserve"> </v>
      </c>
      <c r="AK35" s="205" t="str">
        <f t="shared" si="78"/>
        <v xml:space="preserve"> </v>
      </c>
      <c r="AL35" s="205" t="str">
        <f t="shared" si="79"/>
        <v xml:space="preserve"> </v>
      </c>
      <c r="AM35" s="205" t="str">
        <f t="shared" si="80"/>
        <v xml:space="preserve"> </v>
      </c>
      <c r="AN35" s="205" t="str">
        <f t="shared" si="81"/>
        <v xml:space="preserve"> </v>
      </c>
      <c r="AO35" s="205" t="str">
        <f t="shared" si="82"/>
        <v xml:space="preserve"> </v>
      </c>
      <c r="AP35" s="205" t="str">
        <f t="shared" si="83"/>
        <v xml:space="preserve"> </v>
      </c>
    </row>
    <row r="36" spans="1:42" x14ac:dyDescent="0.25">
      <c r="A36" s="202">
        <v>28</v>
      </c>
      <c r="B36" s="203" t="s">
        <v>1236</v>
      </c>
      <c r="C36" s="204" t="s">
        <v>117</v>
      </c>
      <c r="D36" s="203" t="s">
        <v>86</v>
      </c>
      <c r="E36" s="205">
        <f>IFERROR(VLOOKUP(A36,Estimate!A:Q,17,FALSE)," ")</f>
        <v>40993.687701250004</v>
      </c>
      <c r="F36" s="206">
        <v>15</v>
      </c>
      <c r="G36" s="206">
        <v>15</v>
      </c>
      <c r="H36" s="207">
        <v>3363.36</v>
      </c>
      <c r="I36" s="207">
        <v>50450.400000000001</v>
      </c>
      <c r="J36" s="207">
        <v>50450.400000000001</v>
      </c>
      <c r="K36" s="206"/>
      <c r="L36" s="206"/>
      <c r="M36" s="208">
        <f t="shared" si="9"/>
        <v>0</v>
      </c>
      <c r="N36" s="206"/>
      <c r="O36" s="208">
        <f t="shared" si="9"/>
        <v>0</v>
      </c>
      <c r="P36" s="206">
        <v>5</v>
      </c>
      <c r="Q36" s="208">
        <f t="shared" ref="Q36:S36" si="136">IFERROR(P36/$G36," ")</f>
        <v>0.33333333333333331</v>
      </c>
      <c r="R36" s="206">
        <v>5</v>
      </c>
      <c r="S36" s="208">
        <f t="shared" si="136"/>
        <v>0.33333333333333331</v>
      </c>
      <c r="T36" s="206">
        <v>7</v>
      </c>
      <c r="U36" s="208">
        <f t="shared" ref="U36:W36" si="137">IFERROR(T36/$G36," ")</f>
        <v>0.46666666666666667</v>
      </c>
      <c r="V36" s="206">
        <v>15</v>
      </c>
      <c r="W36" s="208">
        <f t="shared" si="137"/>
        <v>1</v>
      </c>
      <c r="X36" s="206">
        <v>15</v>
      </c>
      <c r="Y36" s="208">
        <f t="shared" ref="Y36:AA36" si="138">IFERROR(X36/$G36," ")</f>
        <v>1</v>
      </c>
      <c r="Z36" s="206">
        <v>15</v>
      </c>
      <c r="AA36" s="208">
        <f t="shared" si="138"/>
        <v>1</v>
      </c>
      <c r="AB36" s="206">
        <v>15</v>
      </c>
      <c r="AC36" s="208">
        <f t="shared" ref="AC36:AE36" si="139">IFERROR(AB36/$G36," ")</f>
        <v>1</v>
      </c>
      <c r="AD36" s="206">
        <v>15</v>
      </c>
      <c r="AE36" s="208">
        <f t="shared" si="139"/>
        <v>1</v>
      </c>
      <c r="AF36" s="203"/>
      <c r="AG36" s="205">
        <f t="shared" si="14"/>
        <v>0</v>
      </c>
      <c r="AH36" s="205">
        <f t="shared" si="75"/>
        <v>0</v>
      </c>
      <c r="AI36" s="205">
        <f t="shared" si="76"/>
        <v>16816.8</v>
      </c>
      <c r="AJ36" s="205">
        <f t="shared" si="77"/>
        <v>16816.8</v>
      </c>
      <c r="AK36" s="205">
        <f t="shared" si="78"/>
        <v>23543.52</v>
      </c>
      <c r="AL36" s="205">
        <f t="shared" si="79"/>
        <v>50450.400000000001</v>
      </c>
      <c r="AM36" s="205">
        <f t="shared" si="80"/>
        <v>50450.400000000001</v>
      </c>
      <c r="AN36" s="205">
        <f t="shared" si="81"/>
        <v>50450.400000000001</v>
      </c>
      <c r="AO36" s="205">
        <f t="shared" si="82"/>
        <v>50450.400000000001</v>
      </c>
      <c r="AP36" s="205">
        <f t="shared" si="83"/>
        <v>50450.400000000001</v>
      </c>
    </row>
    <row r="37" spans="1:42" x14ac:dyDescent="0.25">
      <c r="A37" s="202">
        <v>29</v>
      </c>
      <c r="B37" s="203" t="s">
        <v>1237</v>
      </c>
      <c r="C37" s="204" t="s">
        <v>127</v>
      </c>
      <c r="D37" s="203" t="s">
        <v>94</v>
      </c>
      <c r="E37" s="205">
        <f>IFERROR(VLOOKUP(A37,Estimate!A:Q,17,FALSE)," ")</f>
        <v>2695</v>
      </c>
      <c r="F37" s="206">
        <v>1000</v>
      </c>
      <c r="G37" s="206">
        <v>1000</v>
      </c>
      <c r="H37" s="207">
        <v>3.32</v>
      </c>
      <c r="I37" s="207">
        <v>3320</v>
      </c>
      <c r="J37" s="207">
        <v>3320</v>
      </c>
      <c r="K37" s="206"/>
      <c r="L37" s="206"/>
      <c r="M37" s="208">
        <f t="shared" si="9"/>
        <v>0</v>
      </c>
      <c r="N37" s="206"/>
      <c r="O37" s="208">
        <f t="shared" si="9"/>
        <v>0</v>
      </c>
      <c r="P37" s="206"/>
      <c r="Q37" s="208">
        <f t="shared" ref="Q37:S37" si="140">IFERROR(P37/$G37," ")</f>
        <v>0</v>
      </c>
      <c r="R37" s="206"/>
      <c r="S37" s="208">
        <f t="shared" si="140"/>
        <v>0</v>
      </c>
      <c r="T37" s="206"/>
      <c r="U37" s="208">
        <f t="shared" ref="U37:W37" si="141">IFERROR(T37/$G37," ")</f>
        <v>0</v>
      </c>
      <c r="V37" s="206"/>
      <c r="W37" s="208">
        <f t="shared" si="141"/>
        <v>0</v>
      </c>
      <c r="X37" s="206"/>
      <c r="Y37" s="208">
        <f t="shared" ref="Y37:AA37" si="142">IFERROR(X37/$G37," ")</f>
        <v>0</v>
      </c>
      <c r="Z37" s="206">
        <v>1000</v>
      </c>
      <c r="AA37" s="208">
        <f t="shared" si="142"/>
        <v>1</v>
      </c>
      <c r="AB37" s="206">
        <v>1000</v>
      </c>
      <c r="AC37" s="208">
        <f t="shared" ref="AC37:AE37" si="143">IFERROR(AB37/$G37," ")</f>
        <v>1</v>
      </c>
      <c r="AD37" s="206">
        <v>1000</v>
      </c>
      <c r="AE37" s="208">
        <f t="shared" si="143"/>
        <v>1</v>
      </c>
      <c r="AF37" s="203"/>
      <c r="AG37" s="205">
        <f t="shared" si="14"/>
        <v>0</v>
      </c>
      <c r="AH37" s="205">
        <f t="shared" si="75"/>
        <v>0</v>
      </c>
      <c r="AI37" s="205">
        <f t="shared" si="76"/>
        <v>0</v>
      </c>
      <c r="AJ37" s="205">
        <f t="shared" si="77"/>
        <v>0</v>
      </c>
      <c r="AK37" s="205">
        <f t="shared" si="78"/>
        <v>0</v>
      </c>
      <c r="AL37" s="205">
        <f t="shared" si="79"/>
        <v>0</v>
      </c>
      <c r="AM37" s="205">
        <f t="shared" si="80"/>
        <v>0</v>
      </c>
      <c r="AN37" s="205">
        <f t="shared" si="81"/>
        <v>3320</v>
      </c>
      <c r="AO37" s="205">
        <f t="shared" si="82"/>
        <v>3320</v>
      </c>
      <c r="AP37" s="205">
        <f t="shared" si="83"/>
        <v>3320</v>
      </c>
    </row>
    <row r="38" spans="1:42" x14ac:dyDescent="0.25">
      <c r="A38" s="202">
        <v>30</v>
      </c>
      <c r="B38" s="203" t="s">
        <v>1238</v>
      </c>
      <c r="C38" s="204" t="s">
        <v>129</v>
      </c>
      <c r="D38" s="203" t="s">
        <v>715</v>
      </c>
      <c r="E38" s="205">
        <f>IFERROR(VLOOKUP(A38,Estimate!A:Q,17,FALSE)," ")</f>
        <v>900</v>
      </c>
      <c r="F38" s="206">
        <v>30</v>
      </c>
      <c r="G38" s="206">
        <v>30</v>
      </c>
      <c r="H38" s="207">
        <v>36.92</v>
      </c>
      <c r="I38" s="207">
        <v>1107.5999999999999</v>
      </c>
      <c r="J38" s="207">
        <v>1107.5999999999999</v>
      </c>
      <c r="K38" s="206"/>
      <c r="L38" s="206"/>
      <c r="M38" s="208">
        <f t="shared" si="9"/>
        <v>0</v>
      </c>
      <c r="N38" s="206">
        <v>30</v>
      </c>
      <c r="O38" s="208">
        <f t="shared" si="9"/>
        <v>1</v>
      </c>
      <c r="P38" s="206">
        <v>30</v>
      </c>
      <c r="Q38" s="208">
        <f t="shared" ref="Q38:S38" si="144">IFERROR(P38/$G38," ")</f>
        <v>1</v>
      </c>
      <c r="R38" s="206">
        <v>30</v>
      </c>
      <c r="S38" s="208">
        <f t="shared" si="144"/>
        <v>1</v>
      </c>
      <c r="T38" s="206">
        <v>30</v>
      </c>
      <c r="U38" s="208">
        <f t="shared" ref="U38:W38" si="145">IFERROR(T38/$G38," ")</f>
        <v>1</v>
      </c>
      <c r="V38" s="206">
        <v>30</v>
      </c>
      <c r="W38" s="208">
        <f t="shared" si="145"/>
        <v>1</v>
      </c>
      <c r="X38" s="206">
        <v>30</v>
      </c>
      <c r="Y38" s="208">
        <f t="shared" ref="Y38:AA38" si="146">IFERROR(X38/$G38," ")</f>
        <v>1</v>
      </c>
      <c r="Z38" s="206">
        <v>30</v>
      </c>
      <c r="AA38" s="208">
        <f t="shared" si="146"/>
        <v>1</v>
      </c>
      <c r="AB38" s="206">
        <v>30</v>
      </c>
      <c r="AC38" s="208">
        <f t="shared" ref="AC38:AE38" si="147">IFERROR(AB38/$G38," ")</f>
        <v>1</v>
      </c>
      <c r="AD38" s="206">
        <v>30</v>
      </c>
      <c r="AE38" s="208">
        <f t="shared" si="147"/>
        <v>1</v>
      </c>
      <c r="AF38" s="203"/>
      <c r="AG38" s="205">
        <f t="shared" si="14"/>
        <v>0</v>
      </c>
      <c r="AH38" s="205">
        <f t="shared" si="75"/>
        <v>1107.6000000000001</v>
      </c>
      <c r="AI38" s="205">
        <f t="shared" si="76"/>
        <v>1107.6000000000001</v>
      </c>
      <c r="AJ38" s="205">
        <f t="shared" si="77"/>
        <v>1107.6000000000001</v>
      </c>
      <c r="AK38" s="205">
        <f t="shared" si="78"/>
        <v>1107.6000000000001</v>
      </c>
      <c r="AL38" s="205">
        <f t="shared" si="79"/>
        <v>1107.6000000000001</v>
      </c>
      <c r="AM38" s="205">
        <f t="shared" si="80"/>
        <v>1107.6000000000001</v>
      </c>
      <c r="AN38" s="205">
        <f t="shared" si="81"/>
        <v>1107.6000000000001</v>
      </c>
      <c r="AO38" s="205">
        <f t="shared" si="82"/>
        <v>1107.6000000000001</v>
      </c>
      <c r="AP38" s="205">
        <f t="shared" si="83"/>
        <v>1107.6000000000001</v>
      </c>
    </row>
    <row r="39" spans="1:42" x14ac:dyDescent="0.25">
      <c r="A39" s="202">
        <v>31</v>
      </c>
      <c r="B39" s="203" t="s">
        <v>1239</v>
      </c>
      <c r="C39" s="204" t="s">
        <v>131</v>
      </c>
      <c r="D39" s="203" t="s">
        <v>132</v>
      </c>
      <c r="E39" s="205">
        <f>IFERROR(VLOOKUP(A39,Estimate!A:Q,17,FALSE)," ")</f>
        <v>3708.45</v>
      </c>
      <c r="F39" s="206">
        <v>1661</v>
      </c>
      <c r="G39" s="206">
        <v>1661</v>
      </c>
      <c r="H39" s="207">
        <v>2.76</v>
      </c>
      <c r="I39" s="207">
        <v>4584.3599999999997</v>
      </c>
      <c r="J39" s="207">
        <v>4584.3599999999997</v>
      </c>
      <c r="K39" s="206"/>
      <c r="L39" s="206"/>
      <c r="M39" s="208">
        <f t="shared" si="9"/>
        <v>0</v>
      </c>
      <c r="N39" s="206">
        <v>1661</v>
      </c>
      <c r="O39" s="208">
        <f t="shared" si="9"/>
        <v>1</v>
      </c>
      <c r="P39" s="206">
        <v>1661</v>
      </c>
      <c r="Q39" s="208">
        <f t="shared" ref="Q39:S39" si="148">IFERROR(P39/$G39," ")</f>
        <v>1</v>
      </c>
      <c r="R39" s="206">
        <v>1661</v>
      </c>
      <c r="S39" s="208">
        <f t="shared" si="148"/>
        <v>1</v>
      </c>
      <c r="T39" s="206">
        <v>1661</v>
      </c>
      <c r="U39" s="208">
        <f t="shared" ref="U39:W39" si="149">IFERROR(T39/$G39," ")</f>
        <v>1</v>
      </c>
      <c r="V39" s="206">
        <v>1661</v>
      </c>
      <c r="W39" s="208">
        <f t="shared" si="149"/>
        <v>1</v>
      </c>
      <c r="X39" s="206">
        <v>1661</v>
      </c>
      <c r="Y39" s="208">
        <f t="shared" ref="Y39:AA39" si="150">IFERROR(X39/$G39," ")</f>
        <v>1</v>
      </c>
      <c r="Z39" s="206">
        <v>1661</v>
      </c>
      <c r="AA39" s="208">
        <f t="shared" si="150"/>
        <v>1</v>
      </c>
      <c r="AB39" s="206">
        <v>1661</v>
      </c>
      <c r="AC39" s="208">
        <f t="shared" ref="AC39:AE39" si="151">IFERROR(AB39/$G39," ")</f>
        <v>1</v>
      </c>
      <c r="AD39" s="206">
        <v>1661</v>
      </c>
      <c r="AE39" s="208">
        <f t="shared" si="151"/>
        <v>1</v>
      </c>
      <c r="AF39" s="203"/>
      <c r="AG39" s="205">
        <f t="shared" si="14"/>
        <v>0</v>
      </c>
      <c r="AH39" s="205">
        <f t="shared" si="75"/>
        <v>4584.3599999999997</v>
      </c>
      <c r="AI39" s="205">
        <f t="shared" si="76"/>
        <v>4584.3599999999997</v>
      </c>
      <c r="AJ39" s="205">
        <f t="shared" si="77"/>
        <v>4584.3599999999997</v>
      </c>
      <c r="AK39" s="205">
        <f t="shared" si="78"/>
        <v>4584.3599999999997</v>
      </c>
      <c r="AL39" s="205">
        <f t="shared" si="79"/>
        <v>4584.3599999999997</v>
      </c>
      <c r="AM39" s="205">
        <f t="shared" si="80"/>
        <v>4584.3599999999997</v>
      </c>
      <c r="AN39" s="205">
        <f t="shared" si="81"/>
        <v>4584.3599999999997</v>
      </c>
      <c r="AO39" s="205">
        <f t="shared" si="82"/>
        <v>4584.3599999999997</v>
      </c>
      <c r="AP39" s="205">
        <f t="shared" si="83"/>
        <v>4584.3599999999997</v>
      </c>
    </row>
    <row r="40" spans="1:42" x14ac:dyDescent="0.25">
      <c r="A40" s="202">
        <v>32</v>
      </c>
      <c r="B40" s="203" t="s">
        <v>1218</v>
      </c>
      <c r="C40" s="204" t="s">
        <v>134</v>
      </c>
      <c r="D40" s="203" t="s">
        <v>17</v>
      </c>
      <c r="E40" s="205">
        <f>IFERROR(VLOOKUP(A40,Estimate!A:Q,17,FALSE)," ")</f>
        <v>2025</v>
      </c>
      <c r="F40" s="206">
        <v>1</v>
      </c>
      <c r="G40" s="206">
        <v>1</v>
      </c>
      <c r="H40" s="207">
        <v>2492.14</v>
      </c>
      <c r="I40" s="207">
        <v>2492.14</v>
      </c>
      <c r="J40" s="207">
        <v>2492.14</v>
      </c>
      <c r="K40" s="206"/>
      <c r="L40" s="206"/>
      <c r="M40" s="208">
        <f t="shared" si="9"/>
        <v>0</v>
      </c>
      <c r="N40" s="206">
        <v>1</v>
      </c>
      <c r="O40" s="208">
        <f t="shared" si="9"/>
        <v>1</v>
      </c>
      <c r="P40" s="206">
        <v>1</v>
      </c>
      <c r="Q40" s="208">
        <f t="shared" ref="Q40:S40" si="152">IFERROR(P40/$G40," ")</f>
        <v>1</v>
      </c>
      <c r="R40" s="206">
        <v>1</v>
      </c>
      <c r="S40" s="208">
        <f t="shared" si="152"/>
        <v>1</v>
      </c>
      <c r="T40" s="206">
        <v>1</v>
      </c>
      <c r="U40" s="208">
        <f t="shared" ref="U40:W40" si="153">IFERROR(T40/$G40," ")</f>
        <v>1</v>
      </c>
      <c r="V40" s="206">
        <v>1</v>
      </c>
      <c r="W40" s="208">
        <f t="shared" si="153"/>
        <v>1</v>
      </c>
      <c r="X40" s="206">
        <v>1</v>
      </c>
      <c r="Y40" s="208">
        <f t="shared" ref="Y40:AA40" si="154">IFERROR(X40/$G40," ")</f>
        <v>1</v>
      </c>
      <c r="Z40" s="206">
        <v>1</v>
      </c>
      <c r="AA40" s="208">
        <f t="shared" si="154"/>
        <v>1</v>
      </c>
      <c r="AB40" s="206">
        <v>1</v>
      </c>
      <c r="AC40" s="208">
        <f t="shared" ref="AC40:AE40" si="155">IFERROR(AB40/$G40," ")</f>
        <v>1</v>
      </c>
      <c r="AD40" s="206">
        <v>1</v>
      </c>
      <c r="AE40" s="208">
        <f t="shared" si="155"/>
        <v>1</v>
      </c>
      <c r="AF40" s="203"/>
      <c r="AG40" s="205">
        <f t="shared" si="14"/>
        <v>0</v>
      </c>
      <c r="AH40" s="205">
        <f t="shared" si="75"/>
        <v>2492.14</v>
      </c>
      <c r="AI40" s="205">
        <f t="shared" si="76"/>
        <v>2492.14</v>
      </c>
      <c r="AJ40" s="205">
        <f t="shared" si="77"/>
        <v>2492.14</v>
      </c>
      <c r="AK40" s="205">
        <f t="shared" si="78"/>
        <v>2492.14</v>
      </c>
      <c r="AL40" s="205">
        <f t="shared" si="79"/>
        <v>2492.14</v>
      </c>
      <c r="AM40" s="205">
        <f t="shared" si="80"/>
        <v>2492.14</v>
      </c>
      <c r="AN40" s="205">
        <f t="shared" si="81"/>
        <v>2492.14</v>
      </c>
      <c r="AO40" s="205">
        <f t="shared" si="82"/>
        <v>2492.14</v>
      </c>
      <c r="AP40" s="205">
        <f t="shared" si="83"/>
        <v>2492.14</v>
      </c>
    </row>
    <row r="41" spans="1:42" x14ac:dyDescent="0.25">
      <c r="A41" s="202">
        <v>33</v>
      </c>
      <c r="B41" s="203" t="s">
        <v>1218</v>
      </c>
      <c r="C41" s="204" t="s">
        <v>137</v>
      </c>
      <c r="D41" s="203" t="s">
        <v>17</v>
      </c>
      <c r="E41" s="205">
        <f>IFERROR(VLOOKUP(A41,Estimate!A:Q,17,FALSE)," ")</f>
        <v>4995</v>
      </c>
      <c r="F41" s="206">
        <v>1</v>
      </c>
      <c r="G41" s="206">
        <v>1</v>
      </c>
      <c r="H41" s="207">
        <v>6147.28</v>
      </c>
      <c r="I41" s="207">
        <v>6147.28</v>
      </c>
      <c r="J41" s="207">
        <v>6147.28</v>
      </c>
      <c r="K41" s="206"/>
      <c r="L41" s="206"/>
      <c r="M41" s="208">
        <f t="shared" si="9"/>
        <v>0</v>
      </c>
      <c r="N41" s="206"/>
      <c r="O41" s="208">
        <f t="shared" si="9"/>
        <v>0</v>
      </c>
      <c r="P41" s="206"/>
      <c r="Q41" s="208">
        <f t="shared" ref="Q41:S41" si="156">IFERROR(P41/$G41," ")</f>
        <v>0</v>
      </c>
      <c r="R41" s="206"/>
      <c r="S41" s="208">
        <f t="shared" si="156"/>
        <v>0</v>
      </c>
      <c r="T41" s="206"/>
      <c r="U41" s="208">
        <f t="shared" ref="U41:W41" si="157">IFERROR(T41/$G41," ")</f>
        <v>0</v>
      </c>
      <c r="V41" s="206"/>
      <c r="W41" s="208">
        <f t="shared" si="157"/>
        <v>0</v>
      </c>
      <c r="X41" s="206"/>
      <c r="Y41" s="208">
        <f t="shared" ref="Y41:AA41" si="158">IFERROR(X41/$G41," ")</f>
        <v>0</v>
      </c>
      <c r="Z41" s="206">
        <v>1</v>
      </c>
      <c r="AA41" s="208">
        <f t="shared" si="158"/>
        <v>1</v>
      </c>
      <c r="AB41" s="206">
        <v>1</v>
      </c>
      <c r="AC41" s="208">
        <f t="shared" ref="AC41:AE41" si="159">IFERROR(AB41/$G41," ")</f>
        <v>1</v>
      </c>
      <c r="AD41" s="206">
        <v>1</v>
      </c>
      <c r="AE41" s="208">
        <f t="shared" si="159"/>
        <v>1</v>
      </c>
      <c r="AF41" s="203"/>
      <c r="AG41" s="205">
        <f t="shared" si="14"/>
        <v>0</v>
      </c>
      <c r="AH41" s="205">
        <f t="shared" si="75"/>
        <v>0</v>
      </c>
      <c r="AI41" s="205">
        <f t="shared" si="76"/>
        <v>0</v>
      </c>
      <c r="AJ41" s="205">
        <f t="shared" si="77"/>
        <v>0</v>
      </c>
      <c r="AK41" s="205">
        <f t="shared" si="78"/>
        <v>0</v>
      </c>
      <c r="AL41" s="205">
        <f t="shared" si="79"/>
        <v>0</v>
      </c>
      <c r="AM41" s="205">
        <f t="shared" si="80"/>
        <v>0</v>
      </c>
      <c r="AN41" s="205">
        <f t="shared" si="81"/>
        <v>6147.28</v>
      </c>
      <c r="AO41" s="205">
        <f t="shared" si="82"/>
        <v>6147.28</v>
      </c>
      <c r="AP41" s="205">
        <f t="shared" si="83"/>
        <v>6147.28</v>
      </c>
    </row>
    <row r="42" spans="1:42" x14ac:dyDescent="0.25">
      <c r="A42" s="202"/>
      <c r="B42" s="203" t="s">
        <v>1218</v>
      </c>
      <c r="C42" s="204" t="s">
        <v>643</v>
      </c>
      <c r="D42" s="203" t="s">
        <v>715</v>
      </c>
      <c r="E42" s="205" t="str">
        <f>IFERROR(VLOOKUP(A42,Estimate!A:Q,17,FALSE)," ")</f>
        <v xml:space="preserve"> </v>
      </c>
      <c r="F42" s="206" t="s">
        <v>643</v>
      </c>
      <c r="G42" s="206" t="s">
        <v>643</v>
      </c>
      <c r="H42" s="207" t="s">
        <v>643</v>
      </c>
      <c r="I42" s="207" t="s">
        <v>643</v>
      </c>
      <c r="J42" s="207" t="s">
        <v>643</v>
      </c>
      <c r="K42" s="206"/>
      <c r="L42" s="206" t="s">
        <v>643</v>
      </c>
      <c r="M42" s="208" t="str">
        <f t="shared" si="9"/>
        <v xml:space="preserve"> </v>
      </c>
      <c r="N42" s="206" t="s">
        <v>643</v>
      </c>
      <c r="O42" s="208" t="str">
        <f t="shared" si="9"/>
        <v xml:space="preserve"> </v>
      </c>
      <c r="P42" s="206" t="s">
        <v>643</v>
      </c>
      <c r="Q42" s="208" t="str">
        <f t="shared" ref="Q42:S42" si="160">IFERROR(P42/$G42," ")</f>
        <v xml:space="preserve"> </v>
      </c>
      <c r="R42" s="206" t="s">
        <v>643</v>
      </c>
      <c r="S42" s="208" t="str">
        <f t="shared" si="160"/>
        <v xml:space="preserve"> </v>
      </c>
      <c r="T42" s="206" t="s">
        <v>643</v>
      </c>
      <c r="U42" s="208" t="str">
        <f t="shared" ref="U42:W42" si="161">IFERROR(T42/$G42," ")</f>
        <v xml:space="preserve"> </v>
      </c>
      <c r="V42" s="206" t="s">
        <v>643</v>
      </c>
      <c r="W42" s="208" t="str">
        <f t="shared" si="161"/>
        <v xml:space="preserve"> </v>
      </c>
      <c r="X42" s="206" t="s">
        <v>643</v>
      </c>
      <c r="Y42" s="208" t="str">
        <f t="shared" ref="Y42:AA42" si="162">IFERROR(X42/$G42," ")</f>
        <v xml:space="preserve"> </v>
      </c>
      <c r="Z42" s="206" t="s">
        <v>643</v>
      </c>
      <c r="AA42" s="208" t="str">
        <f t="shared" si="162"/>
        <v xml:space="preserve"> </v>
      </c>
      <c r="AB42" s="206" t="s">
        <v>643</v>
      </c>
      <c r="AC42" s="208" t="str">
        <f t="shared" ref="AC42:AE42" si="163">IFERROR(AB42/$G42," ")</f>
        <v xml:space="preserve"> </v>
      </c>
      <c r="AD42" s="206" t="s">
        <v>643</v>
      </c>
      <c r="AE42" s="208" t="str">
        <f t="shared" si="163"/>
        <v xml:space="preserve"> </v>
      </c>
      <c r="AF42" s="203"/>
      <c r="AG42" s="205" t="str">
        <f t="shared" si="14"/>
        <v xml:space="preserve"> </v>
      </c>
      <c r="AH42" s="205" t="str">
        <f t="shared" si="75"/>
        <v xml:space="preserve"> </v>
      </c>
      <c r="AI42" s="205" t="str">
        <f t="shared" si="76"/>
        <v xml:space="preserve"> </v>
      </c>
      <c r="AJ42" s="205" t="str">
        <f t="shared" si="77"/>
        <v xml:space="preserve"> </v>
      </c>
      <c r="AK42" s="205" t="str">
        <f t="shared" si="78"/>
        <v xml:space="preserve"> </v>
      </c>
      <c r="AL42" s="205" t="str">
        <f t="shared" si="79"/>
        <v xml:space="preserve"> </v>
      </c>
      <c r="AM42" s="205" t="str">
        <f t="shared" si="80"/>
        <v xml:space="preserve"> </v>
      </c>
      <c r="AN42" s="205" t="str">
        <f t="shared" si="81"/>
        <v xml:space="preserve"> </v>
      </c>
      <c r="AO42" s="205" t="str">
        <f t="shared" si="82"/>
        <v xml:space="preserve"> </v>
      </c>
      <c r="AP42" s="205" t="str">
        <f t="shared" si="83"/>
        <v xml:space="preserve"> </v>
      </c>
    </row>
    <row r="43" spans="1:42" x14ac:dyDescent="0.25">
      <c r="A43" s="202"/>
      <c r="B43" s="209" t="s">
        <v>1218</v>
      </c>
      <c r="C43" s="210" t="s">
        <v>1240</v>
      </c>
      <c r="D43" s="209" t="s">
        <v>715</v>
      </c>
      <c r="E43" s="205" t="str">
        <f>IFERROR(VLOOKUP(A43,Estimate!A:Q,17,FALSE)," ")</f>
        <v xml:space="preserve"> </v>
      </c>
      <c r="F43" s="211" t="s">
        <v>643</v>
      </c>
      <c r="G43" s="211" t="s">
        <v>643</v>
      </c>
      <c r="H43" s="212" t="s">
        <v>643</v>
      </c>
      <c r="I43" s="212">
        <v>420755.73</v>
      </c>
      <c r="J43" s="212" t="s">
        <v>643</v>
      </c>
      <c r="K43" s="211"/>
      <c r="L43" s="211" t="s">
        <v>643</v>
      </c>
      <c r="M43" s="208" t="str">
        <f t="shared" si="9"/>
        <v xml:space="preserve"> </v>
      </c>
      <c r="N43" s="211" t="s">
        <v>643</v>
      </c>
      <c r="O43" s="208" t="str">
        <f t="shared" si="9"/>
        <v xml:space="preserve"> </v>
      </c>
      <c r="P43" s="211" t="s">
        <v>643</v>
      </c>
      <c r="Q43" s="208" t="str">
        <f t="shared" ref="Q43:S43" si="164">IFERROR(P43/$G43," ")</f>
        <v xml:space="preserve"> </v>
      </c>
      <c r="R43" s="211" t="s">
        <v>643</v>
      </c>
      <c r="S43" s="208" t="str">
        <f t="shared" si="164"/>
        <v xml:space="preserve"> </v>
      </c>
      <c r="T43" s="211" t="s">
        <v>643</v>
      </c>
      <c r="U43" s="208" t="str">
        <f t="shared" ref="U43:W43" si="165">IFERROR(T43/$G43," ")</f>
        <v xml:space="preserve"> </v>
      </c>
      <c r="V43" s="211" t="s">
        <v>643</v>
      </c>
      <c r="W43" s="208" t="str">
        <f t="shared" si="165"/>
        <v xml:space="preserve"> </v>
      </c>
      <c r="X43" s="211" t="s">
        <v>643</v>
      </c>
      <c r="Y43" s="208" t="str">
        <f t="shared" ref="Y43:AA43" si="166">IFERROR(X43/$G43," ")</f>
        <v xml:space="preserve"> </v>
      </c>
      <c r="Z43" s="211" t="s">
        <v>643</v>
      </c>
      <c r="AA43" s="208" t="str">
        <f t="shared" si="166"/>
        <v xml:space="preserve"> </v>
      </c>
      <c r="AB43" s="211" t="s">
        <v>643</v>
      </c>
      <c r="AC43" s="208" t="str">
        <f t="shared" ref="AC43:AE43" si="167">IFERROR(AB43/$G43," ")</f>
        <v xml:space="preserve"> </v>
      </c>
      <c r="AD43" s="211" t="s">
        <v>643</v>
      </c>
      <c r="AE43" s="208" t="str">
        <f t="shared" si="167"/>
        <v xml:space="preserve"> </v>
      </c>
      <c r="AF43" s="203"/>
      <c r="AG43" s="205" t="str">
        <f t="shared" si="14"/>
        <v xml:space="preserve"> </v>
      </c>
      <c r="AH43" s="205" t="str">
        <f t="shared" si="75"/>
        <v xml:space="preserve"> </v>
      </c>
      <c r="AI43" s="205" t="str">
        <f t="shared" si="76"/>
        <v xml:space="preserve"> </v>
      </c>
      <c r="AJ43" s="205" t="str">
        <f t="shared" si="77"/>
        <v xml:space="preserve"> </v>
      </c>
      <c r="AK43" s="205" t="str">
        <f t="shared" si="78"/>
        <v xml:space="preserve"> </v>
      </c>
      <c r="AL43" s="205" t="str">
        <f t="shared" si="79"/>
        <v xml:space="preserve"> </v>
      </c>
      <c r="AM43" s="205" t="str">
        <f t="shared" si="80"/>
        <v xml:space="preserve"> </v>
      </c>
      <c r="AN43" s="205" t="str">
        <f t="shared" si="81"/>
        <v xml:space="preserve"> </v>
      </c>
      <c r="AO43" s="205" t="str">
        <f t="shared" si="82"/>
        <v xml:space="preserve"> </v>
      </c>
      <c r="AP43" s="205" t="str">
        <f t="shared" si="83"/>
        <v xml:space="preserve"> </v>
      </c>
    </row>
    <row r="44" spans="1:42" x14ac:dyDescent="0.25">
      <c r="A44" s="202"/>
      <c r="B44" s="203" t="s">
        <v>1218</v>
      </c>
      <c r="C44" s="204" t="s">
        <v>643</v>
      </c>
      <c r="D44" s="203" t="s">
        <v>715</v>
      </c>
      <c r="E44" s="205" t="str">
        <f>IFERROR(VLOOKUP(A44,Estimate!A:Q,17,FALSE)," ")</f>
        <v xml:space="preserve"> </v>
      </c>
      <c r="F44" s="206" t="s">
        <v>643</v>
      </c>
      <c r="G44" s="206" t="s">
        <v>643</v>
      </c>
      <c r="H44" s="207" t="s">
        <v>643</v>
      </c>
      <c r="I44" s="207" t="s">
        <v>643</v>
      </c>
      <c r="J44" s="207" t="s">
        <v>643</v>
      </c>
      <c r="K44" s="206"/>
      <c r="L44" s="206" t="s">
        <v>643</v>
      </c>
      <c r="M44" s="208" t="str">
        <f t="shared" si="9"/>
        <v xml:space="preserve"> </v>
      </c>
      <c r="N44" s="206" t="s">
        <v>643</v>
      </c>
      <c r="O44" s="208" t="str">
        <f t="shared" si="9"/>
        <v xml:space="preserve"> </v>
      </c>
      <c r="P44" s="206" t="s">
        <v>643</v>
      </c>
      <c r="Q44" s="208" t="str">
        <f t="shared" ref="Q44:S44" si="168">IFERROR(P44/$G44," ")</f>
        <v xml:space="preserve"> </v>
      </c>
      <c r="R44" s="206" t="s">
        <v>643</v>
      </c>
      <c r="S44" s="208" t="str">
        <f t="shared" si="168"/>
        <v xml:space="preserve"> </v>
      </c>
      <c r="T44" s="206" t="s">
        <v>643</v>
      </c>
      <c r="U44" s="208" t="str">
        <f t="shared" ref="U44:W44" si="169">IFERROR(T44/$G44," ")</f>
        <v xml:space="preserve"> </v>
      </c>
      <c r="V44" s="206" t="s">
        <v>643</v>
      </c>
      <c r="W44" s="208" t="str">
        <f t="shared" si="169"/>
        <v xml:space="preserve"> </v>
      </c>
      <c r="X44" s="206" t="s">
        <v>643</v>
      </c>
      <c r="Y44" s="208" t="str">
        <f t="shared" ref="Y44:AA44" si="170">IFERROR(X44/$G44," ")</f>
        <v xml:space="preserve"> </v>
      </c>
      <c r="Z44" s="206" t="s">
        <v>643</v>
      </c>
      <c r="AA44" s="208" t="str">
        <f t="shared" si="170"/>
        <v xml:space="preserve"> </v>
      </c>
      <c r="AB44" s="206" t="s">
        <v>643</v>
      </c>
      <c r="AC44" s="208" t="str">
        <f t="shared" ref="AC44:AE44" si="171">IFERROR(AB44/$G44," ")</f>
        <v xml:space="preserve"> </v>
      </c>
      <c r="AD44" s="206" t="s">
        <v>643</v>
      </c>
      <c r="AE44" s="208" t="str">
        <f t="shared" si="171"/>
        <v xml:space="preserve"> </v>
      </c>
      <c r="AF44" s="203"/>
      <c r="AG44" s="205" t="str">
        <f t="shared" si="14"/>
        <v xml:space="preserve"> </v>
      </c>
      <c r="AH44" s="205" t="str">
        <f t="shared" si="75"/>
        <v xml:space="preserve"> </v>
      </c>
      <c r="AI44" s="205" t="str">
        <f t="shared" si="76"/>
        <v xml:space="preserve"> </v>
      </c>
      <c r="AJ44" s="205" t="str">
        <f t="shared" si="77"/>
        <v xml:space="preserve"> </v>
      </c>
      <c r="AK44" s="205" t="str">
        <f t="shared" si="78"/>
        <v xml:space="preserve"> </v>
      </c>
      <c r="AL44" s="205" t="str">
        <f t="shared" si="79"/>
        <v xml:space="preserve"> </v>
      </c>
      <c r="AM44" s="205" t="str">
        <f t="shared" si="80"/>
        <v xml:space="preserve"> </v>
      </c>
      <c r="AN44" s="205" t="str">
        <f t="shared" si="81"/>
        <v xml:space="preserve"> </v>
      </c>
      <c r="AO44" s="205" t="str">
        <f t="shared" si="82"/>
        <v xml:space="preserve"> </v>
      </c>
      <c r="AP44" s="205" t="str">
        <f t="shared" si="83"/>
        <v xml:space="preserve"> </v>
      </c>
    </row>
    <row r="45" spans="1:42" x14ac:dyDescent="0.25">
      <c r="A45" s="202">
        <v>34</v>
      </c>
      <c r="B45" s="203" t="s">
        <v>1218</v>
      </c>
      <c r="C45" s="204" t="s">
        <v>139</v>
      </c>
      <c r="D45" s="203" t="s">
        <v>715</v>
      </c>
      <c r="E45" s="205"/>
      <c r="F45" s="206" t="s">
        <v>643</v>
      </c>
      <c r="G45" s="206" t="s">
        <v>643</v>
      </c>
      <c r="H45" s="207" t="s">
        <v>643</v>
      </c>
      <c r="I45" s="207" t="s">
        <v>643</v>
      </c>
      <c r="J45" s="207" t="s">
        <v>643</v>
      </c>
      <c r="K45" s="206"/>
      <c r="L45" s="206" t="s">
        <v>643</v>
      </c>
      <c r="M45" s="208" t="str">
        <f t="shared" si="9"/>
        <v xml:space="preserve"> </v>
      </c>
      <c r="N45" s="206" t="s">
        <v>643</v>
      </c>
      <c r="O45" s="208" t="str">
        <f t="shared" si="9"/>
        <v xml:space="preserve"> </v>
      </c>
      <c r="P45" s="206" t="s">
        <v>643</v>
      </c>
      <c r="Q45" s="208" t="str">
        <f t="shared" ref="Q45:S45" si="172">IFERROR(P45/$G45," ")</f>
        <v xml:space="preserve"> </v>
      </c>
      <c r="R45" s="206" t="s">
        <v>643</v>
      </c>
      <c r="S45" s="208" t="str">
        <f t="shared" si="172"/>
        <v xml:space="preserve"> </v>
      </c>
      <c r="T45" s="206" t="s">
        <v>643</v>
      </c>
      <c r="U45" s="208" t="str">
        <f t="shared" ref="U45:W45" si="173">IFERROR(T45/$G45," ")</f>
        <v xml:space="preserve"> </v>
      </c>
      <c r="V45" s="206" t="s">
        <v>643</v>
      </c>
      <c r="W45" s="208" t="str">
        <f t="shared" si="173"/>
        <v xml:space="preserve"> </v>
      </c>
      <c r="X45" s="206" t="s">
        <v>643</v>
      </c>
      <c r="Y45" s="208" t="str">
        <f t="shared" ref="Y45:AA45" si="174">IFERROR(X45/$G45," ")</f>
        <v xml:space="preserve"> </v>
      </c>
      <c r="Z45" s="206" t="s">
        <v>643</v>
      </c>
      <c r="AA45" s="208" t="str">
        <f t="shared" si="174"/>
        <v xml:space="preserve"> </v>
      </c>
      <c r="AB45" s="206" t="s">
        <v>643</v>
      </c>
      <c r="AC45" s="208" t="str">
        <f t="shared" ref="AC45:AE45" si="175">IFERROR(AB45/$G45," ")</f>
        <v xml:space="preserve"> </v>
      </c>
      <c r="AD45" s="206" t="s">
        <v>643</v>
      </c>
      <c r="AE45" s="208" t="str">
        <f t="shared" si="175"/>
        <v xml:space="preserve"> </v>
      </c>
      <c r="AF45" s="203"/>
      <c r="AG45" s="205" t="str">
        <f t="shared" si="14"/>
        <v xml:space="preserve"> </v>
      </c>
      <c r="AH45" s="205" t="str">
        <f t="shared" si="75"/>
        <v xml:space="preserve"> </v>
      </c>
      <c r="AI45" s="205" t="str">
        <f t="shared" si="76"/>
        <v xml:space="preserve"> </v>
      </c>
      <c r="AJ45" s="205" t="str">
        <f t="shared" si="77"/>
        <v xml:space="preserve"> </v>
      </c>
      <c r="AK45" s="205" t="str">
        <f t="shared" si="78"/>
        <v xml:space="preserve"> </v>
      </c>
      <c r="AL45" s="205" t="str">
        <f t="shared" si="79"/>
        <v xml:space="preserve"> </v>
      </c>
      <c r="AM45" s="205" t="str">
        <f t="shared" si="80"/>
        <v xml:space="preserve"> </v>
      </c>
      <c r="AN45" s="205" t="str">
        <f t="shared" si="81"/>
        <v xml:space="preserve"> </v>
      </c>
      <c r="AO45" s="205" t="str">
        <f t="shared" si="82"/>
        <v xml:space="preserve"> </v>
      </c>
      <c r="AP45" s="205" t="str">
        <f t="shared" si="83"/>
        <v xml:space="preserve"> </v>
      </c>
    </row>
    <row r="46" spans="1:42" x14ac:dyDescent="0.25">
      <c r="A46" s="202"/>
      <c r="B46" s="203" t="s">
        <v>1218</v>
      </c>
      <c r="C46" s="204" t="s">
        <v>643</v>
      </c>
      <c r="D46" s="203" t="s">
        <v>715</v>
      </c>
      <c r="E46" s="205" t="str">
        <f>IFERROR(VLOOKUP(A46,Estimate!A:Q,17,FALSE)," ")</f>
        <v xml:space="preserve"> </v>
      </c>
      <c r="F46" s="206" t="s">
        <v>643</v>
      </c>
      <c r="G46" s="206" t="s">
        <v>643</v>
      </c>
      <c r="H46" s="207" t="s">
        <v>643</v>
      </c>
      <c r="I46" s="207" t="s">
        <v>643</v>
      </c>
      <c r="J46" s="207" t="s">
        <v>643</v>
      </c>
      <c r="K46" s="206"/>
      <c r="L46" s="206" t="s">
        <v>643</v>
      </c>
      <c r="M46" s="208" t="str">
        <f t="shared" si="9"/>
        <v xml:space="preserve"> </v>
      </c>
      <c r="N46" s="206" t="s">
        <v>643</v>
      </c>
      <c r="O46" s="208" t="str">
        <f t="shared" si="9"/>
        <v xml:space="preserve"> </v>
      </c>
      <c r="P46" s="206" t="s">
        <v>643</v>
      </c>
      <c r="Q46" s="208" t="str">
        <f t="shared" ref="Q46:S46" si="176">IFERROR(P46/$G46," ")</f>
        <v xml:space="preserve"> </v>
      </c>
      <c r="R46" s="206" t="s">
        <v>643</v>
      </c>
      <c r="S46" s="208" t="str">
        <f t="shared" si="176"/>
        <v xml:space="preserve"> </v>
      </c>
      <c r="T46" s="206" t="s">
        <v>643</v>
      </c>
      <c r="U46" s="208" t="str">
        <f t="shared" ref="U46:W46" si="177">IFERROR(T46/$G46," ")</f>
        <v xml:space="preserve"> </v>
      </c>
      <c r="V46" s="206" t="s">
        <v>643</v>
      </c>
      <c r="W46" s="208" t="str">
        <f t="shared" si="177"/>
        <v xml:space="preserve"> </v>
      </c>
      <c r="X46" s="206" t="s">
        <v>643</v>
      </c>
      <c r="Y46" s="208" t="str">
        <f t="shared" ref="Y46:AA46" si="178">IFERROR(X46/$G46," ")</f>
        <v xml:space="preserve"> </v>
      </c>
      <c r="Z46" s="206" t="s">
        <v>643</v>
      </c>
      <c r="AA46" s="208" t="str">
        <f t="shared" si="178"/>
        <v xml:space="preserve"> </v>
      </c>
      <c r="AB46" s="206" t="s">
        <v>643</v>
      </c>
      <c r="AC46" s="208" t="str">
        <f t="shared" ref="AC46:AE46" si="179">IFERROR(AB46/$G46," ")</f>
        <v xml:space="preserve"> </v>
      </c>
      <c r="AD46" s="206" t="s">
        <v>643</v>
      </c>
      <c r="AE46" s="208" t="str">
        <f t="shared" si="179"/>
        <v xml:space="preserve"> </v>
      </c>
      <c r="AF46" s="203"/>
      <c r="AG46" s="205" t="str">
        <f t="shared" si="14"/>
        <v xml:space="preserve"> </v>
      </c>
      <c r="AH46" s="205" t="str">
        <f t="shared" si="75"/>
        <v xml:space="preserve"> </v>
      </c>
      <c r="AI46" s="205" t="str">
        <f t="shared" si="76"/>
        <v xml:space="preserve"> </v>
      </c>
      <c r="AJ46" s="205" t="str">
        <f t="shared" si="77"/>
        <v xml:space="preserve"> </v>
      </c>
      <c r="AK46" s="205" t="str">
        <f t="shared" si="78"/>
        <v xml:space="preserve"> </v>
      </c>
      <c r="AL46" s="205" t="str">
        <f t="shared" si="79"/>
        <v xml:space="preserve"> </v>
      </c>
      <c r="AM46" s="205" t="str">
        <f t="shared" si="80"/>
        <v xml:space="preserve"> </v>
      </c>
      <c r="AN46" s="205" t="str">
        <f t="shared" si="81"/>
        <v xml:space="preserve"> </v>
      </c>
      <c r="AO46" s="205" t="str">
        <f t="shared" si="82"/>
        <v xml:space="preserve"> </v>
      </c>
      <c r="AP46" s="205" t="str">
        <f t="shared" si="83"/>
        <v xml:space="preserve"> </v>
      </c>
    </row>
    <row r="47" spans="1:42" x14ac:dyDescent="0.25">
      <c r="A47" s="202">
        <v>35</v>
      </c>
      <c r="B47" s="203" t="s">
        <v>1241</v>
      </c>
      <c r="C47" s="204" t="s">
        <v>16</v>
      </c>
      <c r="D47" s="203" t="s">
        <v>17</v>
      </c>
      <c r="E47" s="205">
        <f>IFERROR(VLOOKUP(A47,Estimate!A:Q,17,FALSE)," ")</f>
        <v>6500</v>
      </c>
      <c r="F47" s="206">
        <v>1</v>
      </c>
      <c r="G47" s="206">
        <v>1</v>
      </c>
      <c r="H47" s="207">
        <v>7999.46</v>
      </c>
      <c r="I47" s="207">
        <v>7999.46</v>
      </c>
      <c r="J47" s="207">
        <v>7999.46</v>
      </c>
      <c r="K47" s="206"/>
      <c r="L47" s="206">
        <v>1</v>
      </c>
      <c r="M47" s="208">
        <f t="shared" si="9"/>
        <v>1</v>
      </c>
      <c r="N47" s="206">
        <v>1</v>
      </c>
      <c r="O47" s="208">
        <f t="shared" si="9"/>
        <v>1</v>
      </c>
      <c r="P47" s="206">
        <v>1</v>
      </c>
      <c r="Q47" s="208">
        <f t="shared" ref="Q47:S47" si="180">IFERROR(P47/$G47," ")</f>
        <v>1</v>
      </c>
      <c r="R47" s="206">
        <v>1</v>
      </c>
      <c r="S47" s="208">
        <f t="shared" si="180"/>
        <v>1</v>
      </c>
      <c r="T47" s="206">
        <v>1</v>
      </c>
      <c r="U47" s="208">
        <f t="shared" ref="U47:W47" si="181">IFERROR(T47/$G47," ")</f>
        <v>1</v>
      </c>
      <c r="V47" s="206">
        <v>1</v>
      </c>
      <c r="W47" s="208">
        <f t="shared" si="181"/>
        <v>1</v>
      </c>
      <c r="X47" s="206">
        <v>1</v>
      </c>
      <c r="Y47" s="208">
        <f t="shared" ref="Y47:AA47" si="182">IFERROR(X47/$G47," ")</f>
        <v>1</v>
      </c>
      <c r="Z47" s="206">
        <v>1</v>
      </c>
      <c r="AA47" s="208">
        <f t="shared" si="182"/>
        <v>1</v>
      </c>
      <c r="AB47" s="206">
        <v>1</v>
      </c>
      <c r="AC47" s="208">
        <f t="shared" ref="AC47:AE47" si="183">IFERROR(AB47/$G47," ")</f>
        <v>1</v>
      </c>
      <c r="AD47" s="206">
        <v>1</v>
      </c>
      <c r="AE47" s="208">
        <f t="shared" si="183"/>
        <v>1</v>
      </c>
      <c r="AF47" s="203"/>
      <c r="AG47" s="205">
        <f t="shared" si="14"/>
        <v>7999.46</v>
      </c>
      <c r="AH47" s="205">
        <f t="shared" si="75"/>
        <v>7999.46</v>
      </c>
      <c r="AI47" s="205">
        <f t="shared" si="76"/>
        <v>7999.46</v>
      </c>
      <c r="AJ47" s="205">
        <f t="shared" si="77"/>
        <v>7999.46</v>
      </c>
      <c r="AK47" s="205">
        <f t="shared" si="78"/>
        <v>7999.46</v>
      </c>
      <c r="AL47" s="205">
        <f t="shared" si="79"/>
        <v>7999.46</v>
      </c>
      <c r="AM47" s="205">
        <f t="shared" si="80"/>
        <v>7999.46</v>
      </c>
      <c r="AN47" s="205">
        <f t="shared" si="81"/>
        <v>7999.46</v>
      </c>
      <c r="AO47" s="205">
        <f t="shared" si="82"/>
        <v>7999.46</v>
      </c>
      <c r="AP47" s="205">
        <f t="shared" si="83"/>
        <v>7999.46</v>
      </c>
    </row>
    <row r="48" spans="1:42" x14ac:dyDescent="0.25">
      <c r="A48" s="202">
        <v>36</v>
      </c>
      <c r="B48" s="203" t="s">
        <v>1219</v>
      </c>
      <c r="C48" s="204" t="s">
        <v>21</v>
      </c>
      <c r="D48" s="203" t="s">
        <v>17</v>
      </c>
      <c r="E48" s="205">
        <f>IFERROR(VLOOKUP(A48,Estimate!A:Q,17,FALSE)," ")</f>
        <v>15080</v>
      </c>
      <c r="F48" s="206">
        <v>1</v>
      </c>
      <c r="G48" s="206">
        <v>1</v>
      </c>
      <c r="H48" s="207">
        <v>18558.75</v>
      </c>
      <c r="I48" s="207">
        <v>18558.75</v>
      </c>
      <c r="J48" s="207">
        <v>18558.75</v>
      </c>
      <c r="K48" s="206"/>
      <c r="L48" s="206">
        <v>0.5</v>
      </c>
      <c r="M48" s="208">
        <f t="shared" si="9"/>
        <v>0.5</v>
      </c>
      <c r="N48" s="206">
        <v>1</v>
      </c>
      <c r="O48" s="208">
        <f t="shared" si="9"/>
        <v>1</v>
      </c>
      <c r="P48" s="206">
        <v>1</v>
      </c>
      <c r="Q48" s="208">
        <f t="shared" ref="Q48:S48" si="184">IFERROR(P48/$G48," ")</f>
        <v>1</v>
      </c>
      <c r="R48" s="206">
        <v>1</v>
      </c>
      <c r="S48" s="208">
        <f t="shared" si="184"/>
        <v>1</v>
      </c>
      <c r="T48" s="206">
        <v>1</v>
      </c>
      <c r="U48" s="208">
        <f t="shared" ref="U48:W48" si="185">IFERROR(T48/$G48," ")</f>
        <v>1</v>
      </c>
      <c r="V48" s="206">
        <v>1</v>
      </c>
      <c r="W48" s="208">
        <f t="shared" si="185"/>
        <v>1</v>
      </c>
      <c r="X48" s="206">
        <v>1</v>
      </c>
      <c r="Y48" s="208">
        <f t="shared" ref="Y48:AA48" si="186">IFERROR(X48/$G48," ")</f>
        <v>1</v>
      </c>
      <c r="Z48" s="206">
        <v>1</v>
      </c>
      <c r="AA48" s="208">
        <f t="shared" si="186"/>
        <v>1</v>
      </c>
      <c r="AB48" s="206">
        <v>1</v>
      </c>
      <c r="AC48" s="208">
        <f t="shared" ref="AC48:AE48" si="187">IFERROR(AB48/$G48," ")</f>
        <v>1</v>
      </c>
      <c r="AD48" s="206">
        <v>1</v>
      </c>
      <c r="AE48" s="208">
        <f t="shared" si="187"/>
        <v>1</v>
      </c>
      <c r="AF48" s="203"/>
      <c r="AG48" s="205">
        <f t="shared" si="14"/>
        <v>9279.375</v>
      </c>
      <c r="AH48" s="205">
        <f t="shared" si="75"/>
        <v>18558.75</v>
      </c>
      <c r="AI48" s="205">
        <f t="shared" si="76"/>
        <v>18558.75</v>
      </c>
      <c r="AJ48" s="205">
        <f t="shared" si="77"/>
        <v>18558.75</v>
      </c>
      <c r="AK48" s="205">
        <f t="shared" si="78"/>
        <v>18558.75</v>
      </c>
      <c r="AL48" s="205">
        <f t="shared" si="79"/>
        <v>18558.75</v>
      </c>
      <c r="AM48" s="205">
        <f t="shared" si="80"/>
        <v>18558.75</v>
      </c>
      <c r="AN48" s="205">
        <f t="shared" si="81"/>
        <v>18558.75</v>
      </c>
      <c r="AO48" s="205">
        <f t="shared" si="82"/>
        <v>18558.75</v>
      </c>
      <c r="AP48" s="205">
        <f t="shared" si="83"/>
        <v>18558.75</v>
      </c>
    </row>
    <row r="49" spans="1:42" x14ac:dyDescent="0.25">
      <c r="A49" s="202">
        <v>37</v>
      </c>
      <c r="B49" s="203" t="s">
        <v>1220</v>
      </c>
      <c r="C49" s="204" t="s">
        <v>29</v>
      </c>
      <c r="D49" s="203" t="s">
        <v>17</v>
      </c>
      <c r="E49" s="205">
        <f>IFERROR(VLOOKUP(A49,Estimate!A:Q,17,FALSE)," ")</f>
        <v>13100</v>
      </c>
      <c r="F49" s="206">
        <v>1</v>
      </c>
      <c r="G49" s="206">
        <v>1</v>
      </c>
      <c r="H49" s="207">
        <v>16121.99</v>
      </c>
      <c r="I49" s="207">
        <v>16121.99</v>
      </c>
      <c r="J49" s="207">
        <v>16121.99</v>
      </c>
      <c r="K49" s="206"/>
      <c r="L49" s="206">
        <v>0.8</v>
      </c>
      <c r="M49" s="208">
        <f t="shared" si="9"/>
        <v>0.8</v>
      </c>
      <c r="N49" s="206">
        <v>0.8</v>
      </c>
      <c r="O49" s="208">
        <f t="shared" si="9"/>
        <v>0.8</v>
      </c>
      <c r="P49" s="206">
        <v>0.9</v>
      </c>
      <c r="Q49" s="208">
        <f t="shared" ref="Q49:S49" si="188">IFERROR(P49/$G49," ")</f>
        <v>0.9</v>
      </c>
      <c r="R49" s="206">
        <v>0.9</v>
      </c>
      <c r="S49" s="208">
        <f t="shared" si="188"/>
        <v>0.9</v>
      </c>
      <c r="T49" s="206">
        <v>0.9</v>
      </c>
      <c r="U49" s="208">
        <f t="shared" ref="U49:W49" si="189">IFERROR(T49/$G49," ")</f>
        <v>0.9</v>
      </c>
      <c r="V49" s="206">
        <v>1</v>
      </c>
      <c r="W49" s="208">
        <f t="shared" si="189"/>
        <v>1</v>
      </c>
      <c r="X49" s="206">
        <v>1</v>
      </c>
      <c r="Y49" s="208">
        <f t="shared" ref="Y49:AA49" si="190">IFERROR(X49/$G49," ")</f>
        <v>1</v>
      </c>
      <c r="Z49" s="206">
        <v>1</v>
      </c>
      <c r="AA49" s="208">
        <f t="shared" si="190"/>
        <v>1</v>
      </c>
      <c r="AB49" s="206">
        <v>1</v>
      </c>
      <c r="AC49" s="208">
        <f t="shared" ref="AC49:AE49" si="191">IFERROR(AB49/$G49," ")</f>
        <v>1</v>
      </c>
      <c r="AD49" s="206">
        <v>1</v>
      </c>
      <c r="AE49" s="208">
        <f t="shared" si="191"/>
        <v>1</v>
      </c>
      <c r="AF49" s="203"/>
      <c r="AG49" s="205">
        <f t="shared" si="14"/>
        <v>12897.592000000001</v>
      </c>
      <c r="AH49" s="205">
        <f t="shared" si="75"/>
        <v>12897.592000000001</v>
      </c>
      <c r="AI49" s="205">
        <f t="shared" si="76"/>
        <v>14509.790999999999</v>
      </c>
      <c r="AJ49" s="205">
        <f t="shared" si="77"/>
        <v>14509.790999999999</v>
      </c>
      <c r="AK49" s="205">
        <f t="shared" si="78"/>
        <v>14509.790999999999</v>
      </c>
      <c r="AL49" s="205">
        <f t="shared" si="79"/>
        <v>16121.99</v>
      </c>
      <c r="AM49" s="205">
        <f t="shared" si="80"/>
        <v>16121.99</v>
      </c>
      <c r="AN49" s="205">
        <f t="shared" si="81"/>
        <v>16121.99</v>
      </c>
      <c r="AO49" s="205">
        <f t="shared" si="82"/>
        <v>16121.99</v>
      </c>
      <c r="AP49" s="205">
        <f t="shared" si="83"/>
        <v>16121.99</v>
      </c>
    </row>
    <row r="50" spans="1:42" x14ac:dyDescent="0.25">
      <c r="A50" s="202">
        <v>38</v>
      </c>
      <c r="B50" s="203" t="s">
        <v>1218</v>
      </c>
      <c r="C50" s="204" t="s">
        <v>32</v>
      </c>
      <c r="D50" s="203" t="s">
        <v>17</v>
      </c>
      <c r="E50" s="205">
        <f>IFERROR(VLOOKUP(A50,Estimate!A:Q,17,FALSE)," ")</f>
        <v>3250</v>
      </c>
      <c r="F50" s="206">
        <v>1</v>
      </c>
      <c r="G50" s="206">
        <v>1</v>
      </c>
      <c r="H50" s="207">
        <v>3999.73</v>
      </c>
      <c r="I50" s="207">
        <v>3999.73</v>
      </c>
      <c r="J50" s="207">
        <v>3999.73</v>
      </c>
      <c r="K50" s="206"/>
      <c r="L50" s="206">
        <v>1</v>
      </c>
      <c r="M50" s="208">
        <f t="shared" si="9"/>
        <v>1</v>
      </c>
      <c r="N50" s="206">
        <v>1</v>
      </c>
      <c r="O50" s="208">
        <f t="shared" si="9"/>
        <v>1</v>
      </c>
      <c r="P50" s="206">
        <v>1</v>
      </c>
      <c r="Q50" s="208">
        <f t="shared" ref="Q50:S50" si="192">IFERROR(P50/$G50," ")</f>
        <v>1</v>
      </c>
      <c r="R50" s="206">
        <v>1</v>
      </c>
      <c r="S50" s="208">
        <f t="shared" si="192"/>
        <v>1</v>
      </c>
      <c r="T50" s="206">
        <v>1</v>
      </c>
      <c r="U50" s="208">
        <f t="shared" ref="U50:W50" si="193">IFERROR(T50/$G50," ")</f>
        <v>1</v>
      </c>
      <c r="V50" s="206">
        <v>1</v>
      </c>
      <c r="W50" s="208">
        <f t="shared" si="193"/>
        <v>1</v>
      </c>
      <c r="X50" s="206">
        <v>1</v>
      </c>
      <c r="Y50" s="208">
        <f t="shared" ref="Y50:AA50" si="194">IFERROR(X50/$G50," ")</f>
        <v>1</v>
      </c>
      <c r="Z50" s="206">
        <v>1</v>
      </c>
      <c r="AA50" s="208">
        <f t="shared" si="194"/>
        <v>1</v>
      </c>
      <c r="AB50" s="206">
        <v>1</v>
      </c>
      <c r="AC50" s="208">
        <f t="shared" ref="AC50:AE50" si="195">IFERROR(AB50/$G50," ")</f>
        <v>1</v>
      </c>
      <c r="AD50" s="206">
        <v>1</v>
      </c>
      <c r="AE50" s="208">
        <f t="shared" si="195"/>
        <v>1</v>
      </c>
      <c r="AF50" s="203"/>
      <c r="AG50" s="205">
        <f t="shared" si="14"/>
        <v>3999.73</v>
      </c>
      <c r="AH50" s="205">
        <f t="shared" si="75"/>
        <v>3999.73</v>
      </c>
      <c r="AI50" s="205">
        <f t="shared" si="76"/>
        <v>3999.73</v>
      </c>
      <c r="AJ50" s="205">
        <f t="shared" si="77"/>
        <v>3999.73</v>
      </c>
      <c r="AK50" s="205">
        <f t="shared" si="78"/>
        <v>3999.73</v>
      </c>
      <c r="AL50" s="205">
        <f t="shared" si="79"/>
        <v>3999.73</v>
      </c>
      <c r="AM50" s="205">
        <f t="shared" si="80"/>
        <v>3999.73</v>
      </c>
      <c r="AN50" s="205">
        <f t="shared" si="81"/>
        <v>3999.73</v>
      </c>
      <c r="AO50" s="205">
        <f t="shared" si="82"/>
        <v>3999.73</v>
      </c>
      <c r="AP50" s="205">
        <f t="shared" si="83"/>
        <v>3999.73</v>
      </c>
    </row>
    <row r="51" spans="1:42" x14ac:dyDescent="0.25">
      <c r="A51" s="202"/>
      <c r="B51" s="203" t="s">
        <v>1218</v>
      </c>
      <c r="C51" s="204" t="s">
        <v>643</v>
      </c>
      <c r="D51" s="203" t="s">
        <v>715</v>
      </c>
      <c r="E51" s="205" t="str">
        <f>IFERROR(VLOOKUP(A51,Estimate!A:Q,17,FALSE)," ")</f>
        <v xml:space="preserve"> </v>
      </c>
      <c r="F51" s="206" t="s">
        <v>643</v>
      </c>
      <c r="G51" s="206" t="s">
        <v>643</v>
      </c>
      <c r="H51" s="207" t="s">
        <v>643</v>
      </c>
      <c r="I51" s="207" t="s">
        <v>643</v>
      </c>
      <c r="J51" s="207" t="s">
        <v>643</v>
      </c>
      <c r="K51" s="206"/>
      <c r="L51" s="206" t="s">
        <v>643</v>
      </c>
      <c r="M51" s="208" t="str">
        <f t="shared" si="9"/>
        <v xml:space="preserve"> </v>
      </c>
      <c r="N51" s="206" t="s">
        <v>643</v>
      </c>
      <c r="O51" s="208" t="str">
        <f t="shared" si="9"/>
        <v xml:space="preserve"> </v>
      </c>
      <c r="P51" s="206" t="s">
        <v>643</v>
      </c>
      <c r="Q51" s="208" t="str">
        <f t="shared" ref="Q51:S51" si="196">IFERROR(P51/$G51," ")</f>
        <v xml:space="preserve"> </v>
      </c>
      <c r="R51" s="206" t="s">
        <v>643</v>
      </c>
      <c r="S51" s="208" t="str">
        <f t="shared" si="196"/>
        <v xml:space="preserve"> </v>
      </c>
      <c r="T51" s="206" t="s">
        <v>643</v>
      </c>
      <c r="U51" s="208" t="str">
        <f t="shared" ref="U51:W51" si="197">IFERROR(T51/$G51," ")</f>
        <v xml:space="preserve"> </v>
      </c>
      <c r="V51" s="206" t="s">
        <v>643</v>
      </c>
      <c r="W51" s="208" t="str">
        <f t="shared" si="197"/>
        <v xml:space="preserve"> </v>
      </c>
      <c r="X51" s="206" t="s">
        <v>643</v>
      </c>
      <c r="Y51" s="208" t="str">
        <f t="shared" ref="Y51:AA51" si="198">IFERROR(X51/$G51," ")</f>
        <v xml:space="preserve"> </v>
      </c>
      <c r="Z51" s="206" t="s">
        <v>643</v>
      </c>
      <c r="AA51" s="208" t="str">
        <f t="shared" si="198"/>
        <v xml:space="preserve"> </v>
      </c>
      <c r="AB51" s="206" t="s">
        <v>643</v>
      </c>
      <c r="AC51" s="208" t="str">
        <f t="shared" ref="AC51:AE51" si="199">IFERROR(AB51/$G51," ")</f>
        <v xml:space="preserve"> </v>
      </c>
      <c r="AD51" s="206" t="s">
        <v>643</v>
      </c>
      <c r="AE51" s="208" t="str">
        <f t="shared" si="199"/>
        <v xml:space="preserve"> </v>
      </c>
      <c r="AF51" s="203"/>
      <c r="AG51" s="205" t="str">
        <f t="shared" si="14"/>
        <v xml:space="preserve"> </v>
      </c>
      <c r="AH51" s="205" t="str">
        <f t="shared" si="75"/>
        <v xml:space="preserve"> </v>
      </c>
      <c r="AI51" s="205" t="str">
        <f t="shared" si="76"/>
        <v xml:space="preserve"> </v>
      </c>
      <c r="AJ51" s="205" t="str">
        <f t="shared" si="77"/>
        <v xml:space="preserve"> </v>
      </c>
      <c r="AK51" s="205" t="str">
        <f t="shared" si="78"/>
        <v xml:space="preserve"> </v>
      </c>
      <c r="AL51" s="205" t="str">
        <f t="shared" si="79"/>
        <v xml:space="preserve"> </v>
      </c>
      <c r="AM51" s="205" t="str">
        <f t="shared" si="80"/>
        <v xml:space="preserve"> </v>
      </c>
      <c r="AN51" s="205" t="str">
        <f t="shared" si="81"/>
        <v xml:space="preserve"> </v>
      </c>
      <c r="AO51" s="205" t="str">
        <f t="shared" si="82"/>
        <v xml:space="preserve"> </v>
      </c>
      <c r="AP51" s="205" t="str">
        <f t="shared" si="83"/>
        <v xml:space="preserve"> </v>
      </c>
    </row>
    <row r="52" spans="1:42" x14ac:dyDescent="0.25">
      <c r="A52" s="202"/>
      <c r="B52" s="203" t="s">
        <v>1218</v>
      </c>
      <c r="C52" s="204" t="s">
        <v>34</v>
      </c>
      <c r="D52" s="203" t="s">
        <v>715</v>
      </c>
      <c r="E52" s="205" t="str">
        <f>IFERROR(VLOOKUP(A52,Estimate!A:Q,17,FALSE)," ")</f>
        <v xml:space="preserve"> </v>
      </c>
      <c r="F52" s="206" t="s">
        <v>643</v>
      </c>
      <c r="G52" s="206" t="s">
        <v>643</v>
      </c>
      <c r="H52" s="207" t="s">
        <v>643</v>
      </c>
      <c r="I52" s="207" t="s">
        <v>643</v>
      </c>
      <c r="J52" s="207" t="s">
        <v>643</v>
      </c>
      <c r="K52" s="206"/>
      <c r="L52" s="206" t="s">
        <v>643</v>
      </c>
      <c r="M52" s="208" t="str">
        <f t="shared" si="9"/>
        <v xml:space="preserve"> </v>
      </c>
      <c r="N52" s="206" t="s">
        <v>643</v>
      </c>
      <c r="O52" s="208" t="str">
        <f t="shared" si="9"/>
        <v xml:space="preserve"> </v>
      </c>
      <c r="P52" s="206" t="s">
        <v>643</v>
      </c>
      <c r="Q52" s="208" t="str">
        <f t="shared" ref="Q52:S52" si="200">IFERROR(P52/$G52," ")</f>
        <v xml:space="preserve"> </v>
      </c>
      <c r="R52" s="206" t="s">
        <v>643</v>
      </c>
      <c r="S52" s="208" t="str">
        <f t="shared" si="200"/>
        <v xml:space="preserve"> </v>
      </c>
      <c r="T52" s="206" t="s">
        <v>643</v>
      </c>
      <c r="U52" s="208" t="str">
        <f t="shared" ref="U52:W52" si="201">IFERROR(T52/$G52," ")</f>
        <v xml:space="preserve"> </v>
      </c>
      <c r="V52" s="206" t="s">
        <v>643</v>
      </c>
      <c r="W52" s="208" t="str">
        <f t="shared" si="201"/>
        <v xml:space="preserve"> </v>
      </c>
      <c r="X52" s="206" t="s">
        <v>643</v>
      </c>
      <c r="Y52" s="208" t="str">
        <f t="shared" ref="Y52:AA52" si="202">IFERROR(X52/$G52," ")</f>
        <v xml:space="preserve"> </v>
      </c>
      <c r="Z52" s="206" t="s">
        <v>643</v>
      </c>
      <c r="AA52" s="208" t="str">
        <f t="shared" si="202"/>
        <v xml:space="preserve"> </v>
      </c>
      <c r="AB52" s="206" t="s">
        <v>643</v>
      </c>
      <c r="AC52" s="208" t="str">
        <f t="shared" ref="AC52:AE52" si="203">IFERROR(AB52/$G52," ")</f>
        <v xml:space="preserve"> </v>
      </c>
      <c r="AD52" s="206" t="s">
        <v>643</v>
      </c>
      <c r="AE52" s="208" t="str">
        <f t="shared" si="203"/>
        <v xml:space="preserve"> </v>
      </c>
      <c r="AF52" s="203"/>
      <c r="AG52" s="205" t="str">
        <f t="shared" si="14"/>
        <v xml:space="preserve"> </v>
      </c>
      <c r="AH52" s="205" t="str">
        <f t="shared" si="75"/>
        <v xml:space="preserve"> </v>
      </c>
      <c r="AI52" s="205" t="str">
        <f t="shared" si="76"/>
        <v xml:space="preserve"> </v>
      </c>
      <c r="AJ52" s="205" t="str">
        <f t="shared" si="77"/>
        <v xml:space="preserve"> </v>
      </c>
      <c r="AK52" s="205" t="str">
        <f t="shared" si="78"/>
        <v xml:space="preserve"> </v>
      </c>
      <c r="AL52" s="205" t="str">
        <f t="shared" si="79"/>
        <v xml:space="preserve"> </v>
      </c>
      <c r="AM52" s="205" t="str">
        <f t="shared" si="80"/>
        <v xml:space="preserve"> </v>
      </c>
      <c r="AN52" s="205" t="str">
        <f t="shared" si="81"/>
        <v xml:space="preserve"> </v>
      </c>
      <c r="AO52" s="205" t="str">
        <f t="shared" si="82"/>
        <v xml:space="preserve"> </v>
      </c>
      <c r="AP52" s="205" t="str">
        <f t="shared" si="83"/>
        <v xml:space="preserve"> </v>
      </c>
    </row>
    <row r="53" spans="1:42" x14ac:dyDescent="0.25">
      <c r="A53" s="202">
        <v>39</v>
      </c>
      <c r="B53" s="203" t="s">
        <v>1221</v>
      </c>
      <c r="C53" s="204" t="s">
        <v>36</v>
      </c>
      <c r="D53" s="203" t="s">
        <v>17</v>
      </c>
      <c r="E53" s="205">
        <f>IFERROR(VLOOKUP(A53,Estimate!A:Q,17,FALSE)," ")</f>
        <v>10024</v>
      </c>
      <c r="F53" s="206">
        <v>1</v>
      </c>
      <c r="G53" s="206">
        <v>1</v>
      </c>
      <c r="H53" s="207">
        <v>42109.16</v>
      </c>
      <c r="I53" s="207">
        <v>42109.16</v>
      </c>
      <c r="J53" s="207">
        <v>42109.16</v>
      </c>
      <c r="K53" s="206"/>
      <c r="L53" s="206">
        <v>0.5</v>
      </c>
      <c r="M53" s="208">
        <f t="shared" si="9"/>
        <v>0.5</v>
      </c>
      <c r="N53" s="206">
        <v>1</v>
      </c>
      <c r="O53" s="208">
        <f t="shared" si="9"/>
        <v>1</v>
      </c>
      <c r="P53" s="206">
        <v>1</v>
      </c>
      <c r="Q53" s="208">
        <f t="shared" ref="Q53:S53" si="204">IFERROR(P53/$G53," ")</f>
        <v>1</v>
      </c>
      <c r="R53" s="206">
        <v>1</v>
      </c>
      <c r="S53" s="208">
        <f t="shared" si="204"/>
        <v>1</v>
      </c>
      <c r="T53" s="206">
        <v>1</v>
      </c>
      <c r="U53" s="208">
        <f t="shared" ref="U53:W53" si="205">IFERROR(T53/$G53," ")</f>
        <v>1</v>
      </c>
      <c r="V53" s="206">
        <v>1</v>
      </c>
      <c r="W53" s="208">
        <f t="shared" si="205"/>
        <v>1</v>
      </c>
      <c r="X53" s="206">
        <v>1</v>
      </c>
      <c r="Y53" s="208">
        <f t="shared" ref="Y53:AA53" si="206">IFERROR(X53/$G53," ")</f>
        <v>1</v>
      </c>
      <c r="Z53" s="206">
        <v>1</v>
      </c>
      <c r="AA53" s="208">
        <f t="shared" si="206"/>
        <v>1</v>
      </c>
      <c r="AB53" s="206">
        <v>1</v>
      </c>
      <c r="AC53" s="208">
        <f t="shared" ref="AC53:AE53" si="207">IFERROR(AB53/$G53," ")</f>
        <v>1</v>
      </c>
      <c r="AD53" s="206">
        <v>1</v>
      </c>
      <c r="AE53" s="208">
        <f t="shared" si="207"/>
        <v>1</v>
      </c>
      <c r="AF53" s="203"/>
      <c r="AG53" s="205">
        <f t="shared" si="14"/>
        <v>21054.58</v>
      </c>
      <c r="AH53" s="205">
        <f t="shared" si="75"/>
        <v>42109.16</v>
      </c>
      <c r="AI53" s="205">
        <f t="shared" si="76"/>
        <v>42109.16</v>
      </c>
      <c r="AJ53" s="205">
        <f t="shared" si="77"/>
        <v>42109.16</v>
      </c>
      <c r="AK53" s="205">
        <f t="shared" si="78"/>
        <v>42109.16</v>
      </c>
      <c r="AL53" s="205">
        <f t="shared" si="79"/>
        <v>42109.16</v>
      </c>
      <c r="AM53" s="205">
        <f t="shared" si="80"/>
        <v>42109.16</v>
      </c>
      <c r="AN53" s="205">
        <f t="shared" si="81"/>
        <v>42109.16</v>
      </c>
      <c r="AO53" s="205">
        <f t="shared" si="82"/>
        <v>42109.16</v>
      </c>
      <c r="AP53" s="205">
        <f t="shared" si="83"/>
        <v>42109.16</v>
      </c>
    </row>
    <row r="54" spans="1:42" ht="30" x14ac:dyDescent="0.25">
      <c r="A54" s="202">
        <v>40</v>
      </c>
      <c r="B54" s="203" t="s">
        <v>1222</v>
      </c>
      <c r="C54" s="204" t="s">
        <v>41</v>
      </c>
      <c r="D54" s="203" t="s">
        <v>17</v>
      </c>
      <c r="E54" s="205">
        <f>IFERROR(VLOOKUP(A54,Estimate!A:Q,17,FALSE)," ")</f>
        <v>2100</v>
      </c>
      <c r="F54" s="206">
        <v>1</v>
      </c>
      <c r="G54" s="206">
        <v>1</v>
      </c>
      <c r="H54" s="207">
        <v>2584.44</v>
      </c>
      <c r="I54" s="207">
        <v>2584.44</v>
      </c>
      <c r="J54" s="207">
        <v>2584.44</v>
      </c>
      <c r="K54" s="206"/>
      <c r="L54" s="206">
        <v>0.5</v>
      </c>
      <c r="M54" s="208">
        <f t="shared" si="9"/>
        <v>0.5</v>
      </c>
      <c r="N54" s="206">
        <v>1</v>
      </c>
      <c r="O54" s="208">
        <f t="shared" si="9"/>
        <v>1</v>
      </c>
      <c r="P54" s="206">
        <v>1</v>
      </c>
      <c r="Q54" s="208">
        <f t="shared" ref="Q54:S54" si="208">IFERROR(P54/$G54," ")</f>
        <v>1</v>
      </c>
      <c r="R54" s="206">
        <v>1</v>
      </c>
      <c r="S54" s="208">
        <f t="shared" si="208"/>
        <v>1</v>
      </c>
      <c r="T54" s="206">
        <v>1</v>
      </c>
      <c r="U54" s="208">
        <f t="shared" ref="U54:W54" si="209">IFERROR(T54/$G54," ")</f>
        <v>1</v>
      </c>
      <c r="V54" s="206">
        <v>1</v>
      </c>
      <c r="W54" s="208">
        <f t="shared" si="209"/>
        <v>1</v>
      </c>
      <c r="X54" s="206">
        <v>1</v>
      </c>
      <c r="Y54" s="208">
        <f t="shared" ref="Y54:AA54" si="210">IFERROR(X54/$G54," ")</f>
        <v>1</v>
      </c>
      <c r="Z54" s="206">
        <v>1</v>
      </c>
      <c r="AA54" s="208">
        <f t="shared" si="210"/>
        <v>1</v>
      </c>
      <c r="AB54" s="206">
        <v>1</v>
      </c>
      <c r="AC54" s="208">
        <f t="shared" ref="AC54:AE54" si="211">IFERROR(AB54/$G54," ")</f>
        <v>1</v>
      </c>
      <c r="AD54" s="206">
        <v>1</v>
      </c>
      <c r="AE54" s="208">
        <f t="shared" si="211"/>
        <v>1</v>
      </c>
      <c r="AF54" s="203"/>
      <c r="AG54" s="205">
        <f t="shared" si="14"/>
        <v>1292.22</v>
      </c>
      <c r="AH54" s="205">
        <f t="shared" si="75"/>
        <v>2584.44</v>
      </c>
      <c r="AI54" s="205">
        <f t="shared" si="76"/>
        <v>2584.44</v>
      </c>
      <c r="AJ54" s="205">
        <f t="shared" si="77"/>
        <v>2584.44</v>
      </c>
      <c r="AK54" s="205">
        <f t="shared" si="78"/>
        <v>2584.44</v>
      </c>
      <c r="AL54" s="205">
        <f t="shared" si="79"/>
        <v>2584.44</v>
      </c>
      <c r="AM54" s="205">
        <f t="shared" si="80"/>
        <v>2584.44</v>
      </c>
      <c r="AN54" s="205">
        <f t="shared" si="81"/>
        <v>2584.44</v>
      </c>
      <c r="AO54" s="205">
        <f t="shared" si="82"/>
        <v>2584.44</v>
      </c>
      <c r="AP54" s="205">
        <f t="shared" si="83"/>
        <v>2584.44</v>
      </c>
    </row>
    <row r="55" spans="1:42" x14ac:dyDescent="0.25">
      <c r="A55" s="202">
        <v>41</v>
      </c>
      <c r="B55" s="203" t="s">
        <v>1223</v>
      </c>
      <c r="C55" s="204" t="s">
        <v>43</v>
      </c>
      <c r="D55" s="203" t="s">
        <v>17</v>
      </c>
      <c r="E55" s="205">
        <f>IFERROR(VLOOKUP(A55,Estimate!A:Q,17,FALSE)," ")</f>
        <v>10950</v>
      </c>
      <c r="F55" s="206">
        <v>1</v>
      </c>
      <c r="G55" s="206">
        <v>1</v>
      </c>
      <c r="H55" s="207">
        <v>13476.02</v>
      </c>
      <c r="I55" s="207">
        <v>13476.02</v>
      </c>
      <c r="J55" s="207">
        <v>13476.02</v>
      </c>
      <c r="K55" s="206"/>
      <c r="L55" s="206">
        <v>0.7</v>
      </c>
      <c r="M55" s="208">
        <f t="shared" si="9"/>
        <v>0.7</v>
      </c>
      <c r="N55" s="206">
        <v>1</v>
      </c>
      <c r="O55" s="208">
        <f t="shared" si="9"/>
        <v>1</v>
      </c>
      <c r="P55" s="206">
        <v>1</v>
      </c>
      <c r="Q55" s="208">
        <f t="shared" ref="Q55:S55" si="212">IFERROR(P55/$G55," ")</f>
        <v>1</v>
      </c>
      <c r="R55" s="206">
        <v>1</v>
      </c>
      <c r="S55" s="208">
        <f t="shared" si="212"/>
        <v>1</v>
      </c>
      <c r="T55" s="206">
        <v>1</v>
      </c>
      <c r="U55" s="208">
        <f t="shared" ref="U55:W55" si="213">IFERROR(T55/$G55," ")</f>
        <v>1</v>
      </c>
      <c r="V55" s="206">
        <v>1</v>
      </c>
      <c r="W55" s="208">
        <f t="shared" si="213"/>
        <v>1</v>
      </c>
      <c r="X55" s="206">
        <v>1</v>
      </c>
      <c r="Y55" s="208">
        <f t="shared" ref="Y55:AA55" si="214">IFERROR(X55/$G55," ")</f>
        <v>1</v>
      </c>
      <c r="Z55" s="206">
        <v>1</v>
      </c>
      <c r="AA55" s="208">
        <f t="shared" si="214"/>
        <v>1</v>
      </c>
      <c r="AB55" s="206">
        <v>1</v>
      </c>
      <c r="AC55" s="208">
        <f t="shared" ref="AC55:AE55" si="215">IFERROR(AB55/$G55," ")</f>
        <v>1</v>
      </c>
      <c r="AD55" s="206">
        <v>1</v>
      </c>
      <c r="AE55" s="208">
        <f t="shared" si="215"/>
        <v>1</v>
      </c>
      <c r="AF55" s="203"/>
      <c r="AG55" s="205">
        <f t="shared" si="14"/>
        <v>9433.2139999999999</v>
      </c>
      <c r="AH55" s="205">
        <f t="shared" si="75"/>
        <v>13476.02</v>
      </c>
      <c r="AI55" s="205">
        <f t="shared" si="76"/>
        <v>13476.02</v>
      </c>
      <c r="AJ55" s="205">
        <f t="shared" si="77"/>
        <v>13476.02</v>
      </c>
      <c r="AK55" s="205">
        <f t="shared" si="78"/>
        <v>13476.02</v>
      </c>
      <c r="AL55" s="205">
        <f t="shared" si="79"/>
        <v>13476.02</v>
      </c>
      <c r="AM55" s="205">
        <f t="shared" si="80"/>
        <v>13476.02</v>
      </c>
      <c r="AN55" s="205">
        <f t="shared" si="81"/>
        <v>13476.02</v>
      </c>
      <c r="AO55" s="205">
        <f t="shared" si="82"/>
        <v>13476.02</v>
      </c>
      <c r="AP55" s="205">
        <f t="shared" si="83"/>
        <v>13476.02</v>
      </c>
    </row>
    <row r="56" spans="1:42" x14ac:dyDescent="0.25">
      <c r="A56" s="202">
        <v>42</v>
      </c>
      <c r="B56" s="203" t="s">
        <v>1224</v>
      </c>
      <c r="C56" s="204" t="s">
        <v>49</v>
      </c>
      <c r="D56" s="203" t="s">
        <v>17</v>
      </c>
      <c r="E56" s="205">
        <f>IFERROR(VLOOKUP(A56,Estimate!A:Q,17,FALSE)," ")</f>
        <v>9066.6666666666679</v>
      </c>
      <c r="F56" s="206">
        <v>1</v>
      </c>
      <c r="G56" s="206">
        <v>1</v>
      </c>
      <c r="H56" s="207">
        <v>12041.25</v>
      </c>
      <c r="I56" s="207">
        <v>12041.25</v>
      </c>
      <c r="J56" s="207">
        <v>12041.25</v>
      </c>
      <c r="K56" s="206"/>
      <c r="L56" s="206">
        <v>1</v>
      </c>
      <c r="M56" s="208">
        <f t="shared" si="9"/>
        <v>1</v>
      </c>
      <c r="N56" s="206">
        <v>1</v>
      </c>
      <c r="O56" s="208">
        <f t="shared" si="9"/>
        <v>1</v>
      </c>
      <c r="P56" s="206">
        <v>1</v>
      </c>
      <c r="Q56" s="208">
        <f t="shared" ref="Q56:S56" si="216">IFERROR(P56/$G56," ")</f>
        <v>1</v>
      </c>
      <c r="R56" s="206">
        <v>1</v>
      </c>
      <c r="S56" s="208">
        <f t="shared" si="216"/>
        <v>1</v>
      </c>
      <c r="T56" s="206">
        <v>1</v>
      </c>
      <c r="U56" s="208">
        <f t="shared" ref="U56:W56" si="217">IFERROR(T56/$G56," ")</f>
        <v>1</v>
      </c>
      <c r="V56" s="206">
        <v>1</v>
      </c>
      <c r="W56" s="208">
        <f t="shared" si="217"/>
        <v>1</v>
      </c>
      <c r="X56" s="206">
        <v>1</v>
      </c>
      <c r="Y56" s="208">
        <f t="shared" ref="Y56:AA56" si="218">IFERROR(X56/$G56," ")</f>
        <v>1</v>
      </c>
      <c r="Z56" s="206">
        <v>1</v>
      </c>
      <c r="AA56" s="208">
        <f t="shared" si="218"/>
        <v>1</v>
      </c>
      <c r="AB56" s="206">
        <v>1</v>
      </c>
      <c r="AC56" s="208">
        <f t="shared" ref="AC56:AE56" si="219">IFERROR(AB56/$G56," ")</f>
        <v>1</v>
      </c>
      <c r="AD56" s="206">
        <v>1</v>
      </c>
      <c r="AE56" s="208">
        <f t="shared" si="219"/>
        <v>1</v>
      </c>
      <c r="AF56" s="203"/>
      <c r="AG56" s="205">
        <f t="shared" si="14"/>
        <v>12041.25</v>
      </c>
      <c r="AH56" s="205">
        <f t="shared" si="75"/>
        <v>12041.25</v>
      </c>
      <c r="AI56" s="205">
        <f t="shared" si="76"/>
        <v>12041.25</v>
      </c>
      <c r="AJ56" s="205">
        <f t="shared" si="77"/>
        <v>12041.25</v>
      </c>
      <c r="AK56" s="205">
        <f t="shared" si="78"/>
        <v>12041.25</v>
      </c>
      <c r="AL56" s="205">
        <f t="shared" si="79"/>
        <v>12041.25</v>
      </c>
      <c r="AM56" s="205">
        <f t="shared" si="80"/>
        <v>12041.25</v>
      </c>
      <c r="AN56" s="205">
        <f t="shared" si="81"/>
        <v>12041.25</v>
      </c>
      <c r="AO56" s="205">
        <f t="shared" si="82"/>
        <v>12041.25</v>
      </c>
      <c r="AP56" s="205">
        <f t="shared" si="83"/>
        <v>12041.25</v>
      </c>
    </row>
    <row r="57" spans="1:42" ht="30" x14ac:dyDescent="0.25">
      <c r="A57" s="202">
        <v>43</v>
      </c>
      <c r="B57" s="203" t="s">
        <v>1242</v>
      </c>
      <c r="C57" s="204" t="s">
        <v>151</v>
      </c>
      <c r="D57" s="203" t="s">
        <v>17</v>
      </c>
      <c r="E57" s="205">
        <f>IFERROR(VLOOKUP(A57,Estimate!A:Q,17,FALSE)," ")</f>
        <v>13800</v>
      </c>
      <c r="F57" s="206">
        <v>1</v>
      </c>
      <c r="G57" s="206">
        <v>1</v>
      </c>
      <c r="H57" s="207">
        <v>18342.150000000001</v>
      </c>
      <c r="I57" s="207">
        <v>18342.150000000001</v>
      </c>
      <c r="J57" s="207">
        <v>18342.150000000001</v>
      </c>
      <c r="K57" s="206"/>
      <c r="L57" s="206">
        <v>1</v>
      </c>
      <c r="M57" s="208">
        <f t="shared" si="9"/>
        <v>1</v>
      </c>
      <c r="N57" s="206">
        <v>1</v>
      </c>
      <c r="O57" s="208">
        <f t="shared" si="9"/>
        <v>1</v>
      </c>
      <c r="P57" s="206">
        <v>1</v>
      </c>
      <c r="Q57" s="208">
        <f t="shared" ref="Q57:S57" si="220">IFERROR(P57/$G57," ")</f>
        <v>1</v>
      </c>
      <c r="R57" s="206">
        <v>1</v>
      </c>
      <c r="S57" s="208">
        <f t="shared" si="220"/>
        <v>1</v>
      </c>
      <c r="T57" s="206">
        <v>1</v>
      </c>
      <c r="U57" s="208">
        <f t="shared" ref="U57:W57" si="221">IFERROR(T57/$G57," ")</f>
        <v>1</v>
      </c>
      <c r="V57" s="206">
        <v>1</v>
      </c>
      <c r="W57" s="208">
        <f t="shared" si="221"/>
        <v>1</v>
      </c>
      <c r="X57" s="206">
        <v>1</v>
      </c>
      <c r="Y57" s="208">
        <f t="shared" ref="Y57:AA57" si="222">IFERROR(X57/$G57," ")</f>
        <v>1</v>
      </c>
      <c r="Z57" s="206">
        <v>1</v>
      </c>
      <c r="AA57" s="208">
        <f t="shared" si="222"/>
        <v>1</v>
      </c>
      <c r="AB57" s="206">
        <v>1</v>
      </c>
      <c r="AC57" s="208">
        <f t="shared" ref="AC57:AE57" si="223">IFERROR(AB57/$G57," ")</f>
        <v>1</v>
      </c>
      <c r="AD57" s="206">
        <v>1</v>
      </c>
      <c r="AE57" s="208">
        <f t="shared" si="223"/>
        <v>1</v>
      </c>
      <c r="AF57" s="203"/>
      <c r="AG57" s="205">
        <f t="shared" si="14"/>
        <v>18342.150000000001</v>
      </c>
      <c r="AH57" s="205">
        <f t="shared" si="75"/>
        <v>18342.150000000001</v>
      </c>
      <c r="AI57" s="205">
        <f t="shared" si="76"/>
        <v>18342.150000000001</v>
      </c>
      <c r="AJ57" s="205">
        <f t="shared" si="77"/>
        <v>18342.150000000001</v>
      </c>
      <c r="AK57" s="205">
        <f t="shared" si="78"/>
        <v>18342.150000000001</v>
      </c>
      <c r="AL57" s="205">
        <f t="shared" si="79"/>
        <v>18342.150000000001</v>
      </c>
      <c r="AM57" s="205">
        <f t="shared" si="80"/>
        <v>18342.150000000001</v>
      </c>
      <c r="AN57" s="205">
        <f t="shared" si="81"/>
        <v>18342.150000000001</v>
      </c>
      <c r="AO57" s="205">
        <f t="shared" si="82"/>
        <v>18342.150000000001</v>
      </c>
      <c r="AP57" s="205">
        <f t="shared" si="83"/>
        <v>18342.150000000001</v>
      </c>
    </row>
    <row r="58" spans="1:42" x14ac:dyDescent="0.25">
      <c r="A58" s="202">
        <v>44</v>
      </c>
      <c r="B58" s="203" t="s">
        <v>1225</v>
      </c>
      <c r="C58" s="204" t="s">
        <v>56</v>
      </c>
      <c r="D58" s="203" t="s">
        <v>57</v>
      </c>
      <c r="E58" s="205">
        <f>IFERROR(VLOOKUP(A58,Estimate!A:Q,17,FALSE)," ")</f>
        <v>7707.770777077707</v>
      </c>
      <c r="F58" s="206">
        <v>700</v>
      </c>
      <c r="G58" s="206">
        <v>700</v>
      </c>
      <c r="H58" s="207">
        <v>13.55</v>
      </c>
      <c r="I58" s="207">
        <v>9485</v>
      </c>
      <c r="J58" s="207">
        <v>9485</v>
      </c>
      <c r="K58" s="206"/>
      <c r="L58" s="206">
        <v>700</v>
      </c>
      <c r="M58" s="208">
        <f t="shared" si="9"/>
        <v>1</v>
      </c>
      <c r="N58" s="206">
        <v>700</v>
      </c>
      <c r="O58" s="208">
        <f t="shared" si="9"/>
        <v>1</v>
      </c>
      <c r="P58" s="206">
        <v>700</v>
      </c>
      <c r="Q58" s="208">
        <f t="shared" ref="Q58:S58" si="224">IFERROR(P58/$G58," ")</f>
        <v>1</v>
      </c>
      <c r="R58" s="206">
        <v>700</v>
      </c>
      <c r="S58" s="208">
        <f t="shared" si="224"/>
        <v>1</v>
      </c>
      <c r="T58" s="206">
        <v>700</v>
      </c>
      <c r="U58" s="208">
        <f t="shared" ref="U58:W58" si="225">IFERROR(T58/$G58," ")</f>
        <v>1</v>
      </c>
      <c r="V58" s="206">
        <v>700</v>
      </c>
      <c r="W58" s="208">
        <f t="shared" si="225"/>
        <v>1</v>
      </c>
      <c r="X58" s="206">
        <v>700</v>
      </c>
      <c r="Y58" s="208">
        <f t="shared" ref="Y58:AA58" si="226">IFERROR(X58/$G58," ")</f>
        <v>1</v>
      </c>
      <c r="Z58" s="206">
        <v>700</v>
      </c>
      <c r="AA58" s="208">
        <f t="shared" si="226"/>
        <v>1</v>
      </c>
      <c r="AB58" s="206">
        <v>700</v>
      </c>
      <c r="AC58" s="208">
        <f t="shared" ref="AC58:AE58" si="227">IFERROR(AB58/$G58," ")</f>
        <v>1</v>
      </c>
      <c r="AD58" s="206">
        <v>700</v>
      </c>
      <c r="AE58" s="208">
        <f t="shared" si="227"/>
        <v>1</v>
      </c>
      <c r="AF58" s="203"/>
      <c r="AG58" s="205">
        <f t="shared" si="14"/>
        <v>9485</v>
      </c>
      <c r="AH58" s="205">
        <f t="shared" si="75"/>
        <v>9485</v>
      </c>
      <c r="AI58" s="205">
        <f t="shared" si="76"/>
        <v>9485</v>
      </c>
      <c r="AJ58" s="205">
        <f t="shared" si="77"/>
        <v>9485</v>
      </c>
      <c r="AK58" s="205">
        <f t="shared" si="78"/>
        <v>9485</v>
      </c>
      <c r="AL58" s="205">
        <f t="shared" si="79"/>
        <v>9485</v>
      </c>
      <c r="AM58" s="205">
        <f t="shared" si="80"/>
        <v>9485</v>
      </c>
      <c r="AN58" s="205">
        <f t="shared" si="81"/>
        <v>9485</v>
      </c>
      <c r="AO58" s="205">
        <f t="shared" si="82"/>
        <v>9485</v>
      </c>
      <c r="AP58" s="205">
        <f t="shared" si="83"/>
        <v>9485</v>
      </c>
    </row>
    <row r="59" spans="1:42" x14ac:dyDescent="0.25">
      <c r="A59" s="202">
        <v>44.2</v>
      </c>
      <c r="B59" s="203" t="s">
        <v>1226</v>
      </c>
      <c r="C59" s="204" t="s">
        <v>59</v>
      </c>
      <c r="D59" s="203" t="s">
        <v>57</v>
      </c>
      <c r="E59" s="205">
        <f>IFERROR(VLOOKUP(A59,Estimate!A:Q,17,FALSE)," ")</f>
        <v>10075.157515751576</v>
      </c>
      <c r="F59" s="206">
        <v>1220</v>
      </c>
      <c r="G59" s="206">
        <v>1220</v>
      </c>
      <c r="H59" s="207">
        <v>10.16</v>
      </c>
      <c r="I59" s="207">
        <v>12395.2</v>
      </c>
      <c r="J59" s="207">
        <v>12395.2</v>
      </c>
      <c r="K59" s="206"/>
      <c r="L59" s="206">
        <v>1220</v>
      </c>
      <c r="M59" s="208">
        <f t="shared" si="9"/>
        <v>1</v>
      </c>
      <c r="N59" s="206">
        <v>1220</v>
      </c>
      <c r="O59" s="208">
        <f t="shared" si="9"/>
        <v>1</v>
      </c>
      <c r="P59" s="206">
        <v>1220</v>
      </c>
      <c r="Q59" s="208">
        <f t="shared" ref="Q59:S59" si="228">IFERROR(P59/$G59," ")</f>
        <v>1</v>
      </c>
      <c r="R59" s="206">
        <v>1220</v>
      </c>
      <c r="S59" s="208">
        <f t="shared" si="228"/>
        <v>1</v>
      </c>
      <c r="T59" s="206">
        <v>1220</v>
      </c>
      <c r="U59" s="208">
        <f t="shared" ref="U59:W59" si="229">IFERROR(T59/$G59," ")</f>
        <v>1</v>
      </c>
      <c r="V59" s="206">
        <v>1220</v>
      </c>
      <c r="W59" s="208">
        <f t="shared" si="229"/>
        <v>1</v>
      </c>
      <c r="X59" s="206">
        <v>1220</v>
      </c>
      <c r="Y59" s="208">
        <f t="shared" ref="Y59:AA59" si="230">IFERROR(X59/$G59," ")</f>
        <v>1</v>
      </c>
      <c r="Z59" s="206">
        <v>1220</v>
      </c>
      <c r="AA59" s="208">
        <f t="shared" si="230"/>
        <v>1</v>
      </c>
      <c r="AB59" s="206">
        <v>1220</v>
      </c>
      <c r="AC59" s="208">
        <f t="shared" ref="AC59:AE59" si="231">IFERROR(AB59/$G59," ")</f>
        <v>1</v>
      </c>
      <c r="AD59" s="206">
        <v>1220</v>
      </c>
      <c r="AE59" s="208">
        <f t="shared" si="231"/>
        <v>1</v>
      </c>
      <c r="AF59" s="203"/>
      <c r="AG59" s="205">
        <f t="shared" si="14"/>
        <v>12395.2</v>
      </c>
      <c r="AH59" s="205">
        <f t="shared" si="75"/>
        <v>12395.2</v>
      </c>
      <c r="AI59" s="205">
        <f t="shared" si="76"/>
        <v>12395.2</v>
      </c>
      <c r="AJ59" s="205">
        <f t="shared" si="77"/>
        <v>12395.2</v>
      </c>
      <c r="AK59" s="205">
        <f t="shared" si="78"/>
        <v>12395.2</v>
      </c>
      <c r="AL59" s="205">
        <f t="shared" si="79"/>
        <v>12395.2</v>
      </c>
      <c r="AM59" s="205">
        <f t="shared" si="80"/>
        <v>12395.2</v>
      </c>
      <c r="AN59" s="205">
        <f t="shared" si="81"/>
        <v>12395.2</v>
      </c>
      <c r="AO59" s="205">
        <f t="shared" si="82"/>
        <v>12395.2</v>
      </c>
      <c r="AP59" s="205">
        <f t="shared" si="83"/>
        <v>12395.2</v>
      </c>
    </row>
    <row r="60" spans="1:42" x14ac:dyDescent="0.25">
      <c r="A60" s="202">
        <v>45</v>
      </c>
      <c r="B60" s="203" t="s">
        <v>1243</v>
      </c>
      <c r="C60" s="204" t="s">
        <v>155</v>
      </c>
      <c r="D60" s="203" t="s">
        <v>57</v>
      </c>
      <c r="E60" s="205">
        <f>IFERROR(VLOOKUP(A60,Estimate!A:Q,17,FALSE)," ")</f>
        <v>6310.5310531053119</v>
      </c>
      <c r="F60" s="206">
        <v>410</v>
      </c>
      <c r="G60" s="206">
        <v>410</v>
      </c>
      <c r="H60" s="207">
        <v>18.940000000000001</v>
      </c>
      <c r="I60" s="207">
        <v>7765.4</v>
      </c>
      <c r="J60" s="207">
        <v>7765.4</v>
      </c>
      <c r="K60" s="206"/>
      <c r="L60" s="206">
        <v>410</v>
      </c>
      <c r="M60" s="208">
        <f t="shared" si="9"/>
        <v>1</v>
      </c>
      <c r="N60" s="206">
        <v>410</v>
      </c>
      <c r="O60" s="208">
        <f t="shared" si="9"/>
        <v>1</v>
      </c>
      <c r="P60" s="206">
        <v>410</v>
      </c>
      <c r="Q60" s="208">
        <f t="shared" ref="Q60:S60" si="232">IFERROR(P60/$G60," ")</f>
        <v>1</v>
      </c>
      <c r="R60" s="206">
        <v>410</v>
      </c>
      <c r="S60" s="208">
        <f t="shared" si="232"/>
        <v>1</v>
      </c>
      <c r="T60" s="206">
        <v>410</v>
      </c>
      <c r="U60" s="208">
        <f t="shared" ref="U60:W60" si="233">IFERROR(T60/$G60," ")</f>
        <v>1</v>
      </c>
      <c r="V60" s="206">
        <v>410</v>
      </c>
      <c r="W60" s="208">
        <f t="shared" si="233"/>
        <v>1</v>
      </c>
      <c r="X60" s="206">
        <v>410</v>
      </c>
      <c r="Y60" s="208">
        <f t="shared" ref="Y60:AA60" si="234">IFERROR(X60/$G60," ")</f>
        <v>1</v>
      </c>
      <c r="Z60" s="206">
        <v>410</v>
      </c>
      <c r="AA60" s="208">
        <f t="shared" si="234"/>
        <v>1</v>
      </c>
      <c r="AB60" s="206">
        <v>410</v>
      </c>
      <c r="AC60" s="208">
        <f t="shared" ref="AC60:AE60" si="235">IFERROR(AB60/$G60," ")</f>
        <v>1</v>
      </c>
      <c r="AD60" s="206">
        <v>410</v>
      </c>
      <c r="AE60" s="208">
        <f t="shared" si="235"/>
        <v>1</v>
      </c>
      <c r="AF60" s="203"/>
      <c r="AG60" s="205">
        <f t="shared" si="14"/>
        <v>7765.4000000000005</v>
      </c>
      <c r="AH60" s="205">
        <f t="shared" si="75"/>
        <v>7765.4000000000005</v>
      </c>
      <c r="AI60" s="205">
        <f t="shared" si="76"/>
        <v>7765.4000000000005</v>
      </c>
      <c r="AJ60" s="205">
        <f t="shared" si="77"/>
        <v>7765.4000000000005</v>
      </c>
      <c r="AK60" s="205">
        <f t="shared" si="78"/>
        <v>7765.4000000000005</v>
      </c>
      <c r="AL60" s="205">
        <f t="shared" si="79"/>
        <v>7765.4000000000005</v>
      </c>
      <c r="AM60" s="205">
        <f t="shared" si="80"/>
        <v>7765.4000000000005</v>
      </c>
      <c r="AN60" s="205">
        <f t="shared" si="81"/>
        <v>7765.4000000000005</v>
      </c>
      <c r="AO60" s="205">
        <f t="shared" si="82"/>
        <v>7765.4000000000005</v>
      </c>
      <c r="AP60" s="205">
        <f t="shared" si="83"/>
        <v>7765.4000000000005</v>
      </c>
    </row>
    <row r="61" spans="1:42" ht="30" x14ac:dyDescent="0.25">
      <c r="A61" s="202">
        <v>46</v>
      </c>
      <c r="B61" s="203" t="s">
        <v>1227</v>
      </c>
      <c r="C61" s="204" t="s">
        <v>61</v>
      </c>
      <c r="D61" s="203" t="s">
        <v>57</v>
      </c>
      <c r="E61" s="205">
        <f>IFERROR(VLOOKUP(A61,Estimate!A:Q,17,FALSE)," ")</f>
        <v>922.37083708370835</v>
      </c>
      <c r="F61" s="206">
        <v>10</v>
      </c>
      <c r="G61" s="206">
        <v>10</v>
      </c>
      <c r="H61" s="207">
        <v>92.23</v>
      </c>
      <c r="I61" s="207">
        <v>922.3</v>
      </c>
      <c r="J61" s="207">
        <v>922.3</v>
      </c>
      <c r="K61" s="206"/>
      <c r="L61" s="206"/>
      <c r="M61" s="208">
        <f t="shared" si="9"/>
        <v>0</v>
      </c>
      <c r="N61" s="206"/>
      <c r="O61" s="208">
        <f t="shared" si="9"/>
        <v>0</v>
      </c>
      <c r="P61" s="206"/>
      <c r="Q61" s="208">
        <f t="shared" ref="Q61:S61" si="236">IFERROR(P61/$G61," ")</f>
        <v>0</v>
      </c>
      <c r="R61" s="206"/>
      <c r="S61" s="208">
        <f t="shared" si="236"/>
        <v>0</v>
      </c>
      <c r="T61" s="206"/>
      <c r="U61" s="208">
        <f t="shared" ref="U61:W61" si="237">IFERROR(T61/$G61," ")</f>
        <v>0</v>
      </c>
      <c r="V61" s="206"/>
      <c r="W61" s="208">
        <f t="shared" si="237"/>
        <v>0</v>
      </c>
      <c r="X61" s="206"/>
      <c r="Y61" s="208">
        <f t="shared" ref="Y61:AA61" si="238">IFERROR(X61/$G61," ")</f>
        <v>0</v>
      </c>
      <c r="Z61" s="206"/>
      <c r="AA61" s="208">
        <f t="shared" si="238"/>
        <v>0</v>
      </c>
      <c r="AB61" s="206"/>
      <c r="AC61" s="208">
        <f t="shared" ref="AC61:AE61" si="239">IFERROR(AB61/$G61," ")</f>
        <v>0</v>
      </c>
      <c r="AD61" s="206"/>
      <c r="AE61" s="208">
        <f t="shared" si="239"/>
        <v>0</v>
      </c>
      <c r="AF61" s="203"/>
      <c r="AG61" s="205">
        <f t="shared" si="14"/>
        <v>0</v>
      </c>
      <c r="AH61" s="205">
        <f t="shared" si="75"/>
        <v>0</v>
      </c>
      <c r="AI61" s="205">
        <f t="shared" si="76"/>
        <v>0</v>
      </c>
      <c r="AJ61" s="205">
        <f t="shared" si="77"/>
        <v>0</v>
      </c>
      <c r="AK61" s="205">
        <f t="shared" si="78"/>
        <v>0</v>
      </c>
      <c r="AL61" s="205">
        <f t="shared" si="79"/>
        <v>0</v>
      </c>
      <c r="AM61" s="205">
        <f t="shared" si="80"/>
        <v>0</v>
      </c>
      <c r="AN61" s="205">
        <f t="shared" si="81"/>
        <v>0</v>
      </c>
      <c r="AO61" s="205">
        <f t="shared" si="82"/>
        <v>0</v>
      </c>
      <c r="AP61" s="205">
        <f t="shared" si="83"/>
        <v>0</v>
      </c>
    </row>
    <row r="62" spans="1:42" x14ac:dyDescent="0.25">
      <c r="A62" s="202">
        <v>47</v>
      </c>
      <c r="B62" s="203" t="s">
        <v>1244</v>
      </c>
      <c r="C62" s="204" t="s">
        <v>159</v>
      </c>
      <c r="D62" s="203" t="s">
        <v>57</v>
      </c>
      <c r="E62" s="205">
        <f>IFERROR(VLOOKUP(A62,Estimate!A:Q,17,FALSE)," ")</f>
        <v>425</v>
      </c>
      <c r="F62" s="206">
        <v>5</v>
      </c>
      <c r="G62" s="206">
        <v>5</v>
      </c>
      <c r="H62" s="207">
        <v>85</v>
      </c>
      <c r="I62" s="207">
        <v>425</v>
      </c>
      <c r="J62" s="207">
        <v>425</v>
      </c>
      <c r="K62" s="206"/>
      <c r="L62" s="206"/>
      <c r="M62" s="208">
        <f t="shared" si="9"/>
        <v>0</v>
      </c>
      <c r="N62" s="206"/>
      <c r="O62" s="208">
        <f t="shared" si="9"/>
        <v>0</v>
      </c>
      <c r="P62" s="206"/>
      <c r="Q62" s="208">
        <f t="shared" ref="Q62:S62" si="240">IFERROR(P62/$G62," ")</f>
        <v>0</v>
      </c>
      <c r="R62" s="206"/>
      <c r="S62" s="208">
        <f t="shared" si="240"/>
        <v>0</v>
      </c>
      <c r="T62" s="206"/>
      <c r="U62" s="208">
        <f t="shared" ref="U62:W62" si="241">IFERROR(T62/$G62," ")</f>
        <v>0</v>
      </c>
      <c r="V62" s="206"/>
      <c r="W62" s="208">
        <f t="shared" si="241"/>
        <v>0</v>
      </c>
      <c r="X62" s="206"/>
      <c r="Y62" s="208">
        <f t="shared" ref="Y62:AA62" si="242">IFERROR(X62/$G62," ")</f>
        <v>0</v>
      </c>
      <c r="Z62" s="206"/>
      <c r="AA62" s="208">
        <f t="shared" si="242"/>
        <v>0</v>
      </c>
      <c r="AB62" s="206"/>
      <c r="AC62" s="208">
        <f t="shared" ref="AC62:AE62" si="243">IFERROR(AB62/$G62," ")</f>
        <v>0</v>
      </c>
      <c r="AD62" s="206"/>
      <c r="AE62" s="208">
        <f t="shared" si="243"/>
        <v>0</v>
      </c>
      <c r="AF62" s="203"/>
      <c r="AG62" s="205">
        <f t="shared" si="14"/>
        <v>0</v>
      </c>
      <c r="AH62" s="205">
        <f t="shared" si="75"/>
        <v>0</v>
      </c>
      <c r="AI62" s="205">
        <f t="shared" si="76"/>
        <v>0</v>
      </c>
      <c r="AJ62" s="205">
        <f t="shared" si="77"/>
        <v>0</v>
      </c>
      <c r="AK62" s="205">
        <f t="shared" si="78"/>
        <v>0</v>
      </c>
      <c r="AL62" s="205">
        <f t="shared" si="79"/>
        <v>0</v>
      </c>
      <c r="AM62" s="205">
        <f t="shared" si="80"/>
        <v>0</v>
      </c>
      <c r="AN62" s="205">
        <f t="shared" si="81"/>
        <v>0</v>
      </c>
      <c r="AO62" s="205">
        <f t="shared" si="82"/>
        <v>0</v>
      </c>
      <c r="AP62" s="205">
        <f t="shared" si="83"/>
        <v>0</v>
      </c>
    </row>
    <row r="63" spans="1:42" x14ac:dyDescent="0.25">
      <c r="A63" s="202">
        <v>48</v>
      </c>
      <c r="B63" s="203" t="s">
        <v>1218</v>
      </c>
      <c r="C63" s="204" t="s">
        <v>162</v>
      </c>
      <c r="D63" s="203" t="s">
        <v>86</v>
      </c>
      <c r="E63" s="205">
        <f>IFERROR(VLOOKUP(A63,Estimate!A:Q,17,FALSE)," ")</f>
        <v>13464</v>
      </c>
      <c r="F63" s="206">
        <v>36</v>
      </c>
      <c r="G63" s="206">
        <v>36</v>
      </c>
      <c r="H63" s="207">
        <v>460.28</v>
      </c>
      <c r="I63" s="207">
        <v>16570.080000000002</v>
      </c>
      <c r="J63" s="207">
        <v>16570.080000000002</v>
      </c>
      <c r="K63" s="206"/>
      <c r="L63" s="206">
        <v>27</v>
      </c>
      <c r="M63" s="208">
        <f t="shared" si="9"/>
        <v>0.75</v>
      </c>
      <c r="N63" s="206">
        <v>36</v>
      </c>
      <c r="O63" s="208">
        <f t="shared" si="9"/>
        <v>1</v>
      </c>
      <c r="P63" s="206">
        <v>36</v>
      </c>
      <c r="Q63" s="208">
        <f t="shared" ref="Q63:S63" si="244">IFERROR(P63/$G63," ")</f>
        <v>1</v>
      </c>
      <c r="R63" s="206">
        <v>36</v>
      </c>
      <c r="S63" s="208">
        <f t="shared" si="244"/>
        <v>1</v>
      </c>
      <c r="T63" s="206">
        <v>36</v>
      </c>
      <c r="U63" s="208">
        <f t="shared" ref="U63:W63" si="245">IFERROR(T63/$G63," ")</f>
        <v>1</v>
      </c>
      <c r="V63" s="206">
        <v>36</v>
      </c>
      <c r="W63" s="208">
        <f t="shared" si="245"/>
        <v>1</v>
      </c>
      <c r="X63" s="206">
        <v>36</v>
      </c>
      <c r="Y63" s="208">
        <f t="shared" ref="Y63:AA63" si="246">IFERROR(X63/$G63," ")</f>
        <v>1</v>
      </c>
      <c r="Z63" s="206">
        <v>36</v>
      </c>
      <c r="AA63" s="208">
        <f t="shared" si="246"/>
        <v>1</v>
      </c>
      <c r="AB63" s="206">
        <v>36</v>
      </c>
      <c r="AC63" s="208">
        <f t="shared" ref="AC63:AE63" si="247">IFERROR(AB63/$G63," ")</f>
        <v>1</v>
      </c>
      <c r="AD63" s="206">
        <v>36</v>
      </c>
      <c r="AE63" s="208">
        <f t="shared" si="247"/>
        <v>1</v>
      </c>
      <c r="AF63" s="203"/>
      <c r="AG63" s="205">
        <f t="shared" si="14"/>
        <v>12427.56</v>
      </c>
      <c r="AH63" s="205">
        <f t="shared" si="75"/>
        <v>16570.079999999998</v>
      </c>
      <c r="AI63" s="205">
        <f t="shared" si="76"/>
        <v>16570.079999999998</v>
      </c>
      <c r="AJ63" s="205">
        <f t="shared" si="77"/>
        <v>16570.079999999998</v>
      </c>
      <c r="AK63" s="205">
        <f t="shared" si="78"/>
        <v>16570.079999999998</v>
      </c>
      <c r="AL63" s="205">
        <f t="shared" si="79"/>
        <v>16570.079999999998</v>
      </c>
      <c r="AM63" s="205">
        <f t="shared" si="80"/>
        <v>16570.079999999998</v>
      </c>
      <c r="AN63" s="205">
        <f t="shared" si="81"/>
        <v>16570.079999999998</v>
      </c>
      <c r="AO63" s="205">
        <f t="shared" si="82"/>
        <v>16570.079999999998</v>
      </c>
      <c r="AP63" s="205">
        <f t="shared" si="83"/>
        <v>16570.079999999998</v>
      </c>
    </row>
    <row r="64" spans="1:42" x14ac:dyDescent="0.25">
      <c r="A64" s="202"/>
      <c r="B64" s="203" t="s">
        <v>1218</v>
      </c>
      <c r="C64" s="204" t="s">
        <v>643</v>
      </c>
      <c r="D64" s="203" t="s">
        <v>715</v>
      </c>
      <c r="E64" s="205" t="str">
        <f>IFERROR(VLOOKUP(A64,Estimate!A:Q,17,FALSE)," ")</f>
        <v xml:space="preserve"> </v>
      </c>
      <c r="F64" s="206" t="s">
        <v>643</v>
      </c>
      <c r="G64" s="206" t="s">
        <v>643</v>
      </c>
      <c r="H64" s="207" t="s">
        <v>643</v>
      </c>
      <c r="I64" s="207" t="s">
        <v>643</v>
      </c>
      <c r="J64" s="207" t="s">
        <v>643</v>
      </c>
      <c r="K64" s="206"/>
      <c r="L64" s="206" t="s">
        <v>643</v>
      </c>
      <c r="M64" s="208" t="str">
        <f t="shared" si="9"/>
        <v xml:space="preserve"> </v>
      </c>
      <c r="N64" s="206" t="s">
        <v>643</v>
      </c>
      <c r="O64" s="208" t="str">
        <f t="shared" si="9"/>
        <v xml:space="preserve"> </v>
      </c>
      <c r="P64" s="206" t="s">
        <v>643</v>
      </c>
      <c r="Q64" s="208" t="str">
        <f t="shared" ref="Q64:S64" si="248">IFERROR(P64/$G64," ")</f>
        <v xml:space="preserve"> </v>
      </c>
      <c r="R64" s="206" t="s">
        <v>643</v>
      </c>
      <c r="S64" s="208" t="str">
        <f t="shared" si="248"/>
        <v xml:space="preserve"> </v>
      </c>
      <c r="T64" s="206" t="s">
        <v>643</v>
      </c>
      <c r="U64" s="208" t="str">
        <f t="shared" ref="U64:W64" si="249">IFERROR(T64/$G64," ")</f>
        <v xml:space="preserve"> </v>
      </c>
      <c r="V64" s="206" t="s">
        <v>643</v>
      </c>
      <c r="W64" s="208" t="str">
        <f t="shared" si="249"/>
        <v xml:space="preserve"> </v>
      </c>
      <c r="X64" s="206" t="s">
        <v>643</v>
      </c>
      <c r="Y64" s="208" t="str">
        <f t="shared" ref="Y64:AA64" si="250">IFERROR(X64/$G64," ")</f>
        <v xml:space="preserve"> </v>
      </c>
      <c r="Z64" s="206" t="s">
        <v>643</v>
      </c>
      <c r="AA64" s="208" t="str">
        <f t="shared" si="250"/>
        <v xml:space="preserve"> </v>
      </c>
      <c r="AB64" s="206" t="s">
        <v>643</v>
      </c>
      <c r="AC64" s="208" t="str">
        <f t="shared" ref="AC64:AE64" si="251">IFERROR(AB64/$G64," ")</f>
        <v xml:space="preserve"> </v>
      </c>
      <c r="AD64" s="206" t="s">
        <v>643</v>
      </c>
      <c r="AE64" s="208" t="str">
        <f t="shared" si="251"/>
        <v xml:space="preserve"> </v>
      </c>
      <c r="AF64" s="203"/>
      <c r="AG64" s="205" t="str">
        <f t="shared" si="14"/>
        <v xml:space="preserve"> </v>
      </c>
      <c r="AH64" s="205" t="str">
        <f t="shared" si="75"/>
        <v xml:space="preserve"> </v>
      </c>
      <c r="AI64" s="205" t="str">
        <f t="shared" si="76"/>
        <v xml:space="preserve"> </v>
      </c>
      <c r="AJ64" s="205" t="str">
        <f t="shared" si="77"/>
        <v xml:space="preserve"> </v>
      </c>
      <c r="AK64" s="205" t="str">
        <f t="shared" si="78"/>
        <v xml:space="preserve"> </v>
      </c>
      <c r="AL64" s="205" t="str">
        <f t="shared" si="79"/>
        <v xml:space="preserve"> </v>
      </c>
      <c r="AM64" s="205" t="str">
        <f t="shared" si="80"/>
        <v xml:space="preserve"> </v>
      </c>
      <c r="AN64" s="205" t="str">
        <f t="shared" si="81"/>
        <v xml:space="preserve"> </v>
      </c>
      <c r="AO64" s="205" t="str">
        <f t="shared" si="82"/>
        <v xml:space="preserve"> </v>
      </c>
      <c r="AP64" s="205" t="str">
        <f t="shared" si="83"/>
        <v xml:space="preserve"> </v>
      </c>
    </row>
    <row r="65" spans="1:42" x14ac:dyDescent="0.25">
      <c r="A65" s="202"/>
      <c r="B65" s="203" t="s">
        <v>1245</v>
      </c>
      <c r="C65" s="204" t="s">
        <v>66</v>
      </c>
      <c r="D65" s="203" t="s">
        <v>715</v>
      </c>
      <c r="E65" s="205" t="str">
        <f>IFERROR(VLOOKUP(A65,Estimate!A:Q,17,FALSE)," ")</f>
        <v xml:space="preserve"> </v>
      </c>
      <c r="F65" s="206" t="s">
        <v>643</v>
      </c>
      <c r="G65" s="206" t="s">
        <v>643</v>
      </c>
      <c r="H65" s="207" t="s">
        <v>643</v>
      </c>
      <c r="I65" s="207" t="s">
        <v>643</v>
      </c>
      <c r="J65" s="207" t="s">
        <v>643</v>
      </c>
      <c r="K65" s="206"/>
      <c r="L65" s="206" t="s">
        <v>643</v>
      </c>
      <c r="M65" s="208" t="str">
        <f t="shared" si="9"/>
        <v xml:space="preserve"> </v>
      </c>
      <c r="N65" s="206" t="s">
        <v>643</v>
      </c>
      <c r="O65" s="208" t="str">
        <f t="shared" si="9"/>
        <v xml:space="preserve"> </v>
      </c>
      <c r="P65" s="206" t="s">
        <v>643</v>
      </c>
      <c r="Q65" s="208" t="str">
        <f t="shared" ref="Q65:S65" si="252">IFERROR(P65/$G65," ")</f>
        <v xml:space="preserve"> </v>
      </c>
      <c r="R65" s="206" t="s">
        <v>643</v>
      </c>
      <c r="S65" s="208" t="str">
        <f t="shared" si="252"/>
        <v xml:space="preserve"> </v>
      </c>
      <c r="T65" s="206" t="s">
        <v>643</v>
      </c>
      <c r="U65" s="208" t="str">
        <f t="shared" ref="U65:W65" si="253">IFERROR(T65/$G65," ")</f>
        <v xml:space="preserve"> </v>
      </c>
      <c r="V65" s="206" t="s">
        <v>643</v>
      </c>
      <c r="W65" s="208" t="str">
        <f t="shared" si="253"/>
        <v xml:space="preserve"> </v>
      </c>
      <c r="X65" s="206" t="s">
        <v>643</v>
      </c>
      <c r="Y65" s="208" t="str">
        <f t="shared" ref="Y65:AA65" si="254">IFERROR(X65/$G65," ")</f>
        <v xml:space="preserve"> </v>
      </c>
      <c r="Z65" s="206" t="s">
        <v>643</v>
      </c>
      <c r="AA65" s="208" t="str">
        <f t="shared" si="254"/>
        <v xml:space="preserve"> </v>
      </c>
      <c r="AB65" s="206" t="s">
        <v>643</v>
      </c>
      <c r="AC65" s="208" t="str">
        <f t="shared" ref="AC65:AE65" si="255">IFERROR(AB65/$G65," ")</f>
        <v xml:space="preserve"> </v>
      </c>
      <c r="AD65" s="206" t="s">
        <v>643</v>
      </c>
      <c r="AE65" s="208" t="str">
        <f t="shared" si="255"/>
        <v xml:space="preserve"> </v>
      </c>
      <c r="AF65" s="203"/>
      <c r="AG65" s="205" t="str">
        <f t="shared" si="14"/>
        <v xml:space="preserve"> </v>
      </c>
      <c r="AH65" s="205" t="str">
        <f t="shared" si="75"/>
        <v xml:space="preserve"> </v>
      </c>
      <c r="AI65" s="205" t="str">
        <f t="shared" si="76"/>
        <v xml:space="preserve"> </v>
      </c>
      <c r="AJ65" s="205" t="str">
        <f t="shared" si="77"/>
        <v xml:space="preserve"> </v>
      </c>
      <c r="AK65" s="205" t="str">
        <f t="shared" si="78"/>
        <v xml:space="preserve"> </v>
      </c>
      <c r="AL65" s="205" t="str">
        <f t="shared" si="79"/>
        <v xml:space="preserve"> </v>
      </c>
      <c r="AM65" s="205" t="str">
        <f t="shared" si="80"/>
        <v xml:space="preserve"> </v>
      </c>
      <c r="AN65" s="205" t="str">
        <f t="shared" si="81"/>
        <v xml:space="preserve"> </v>
      </c>
      <c r="AO65" s="205" t="str">
        <f t="shared" si="82"/>
        <v xml:space="preserve"> </v>
      </c>
      <c r="AP65" s="205" t="str">
        <f t="shared" si="83"/>
        <v xml:space="preserve"> </v>
      </c>
    </row>
    <row r="66" spans="1:42" x14ac:dyDescent="0.25">
      <c r="A66" s="202">
        <v>49</v>
      </c>
      <c r="B66" s="203" t="s">
        <v>1246</v>
      </c>
      <c r="C66" s="204" t="s">
        <v>165</v>
      </c>
      <c r="D66" s="203" t="s">
        <v>57</v>
      </c>
      <c r="E66" s="205">
        <f>IFERROR(VLOOKUP(A66,Estimate!A:Q,17,FALSE)," ")</f>
        <v>7362</v>
      </c>
      <c r="F66" s="206">
        <v>300</v>
      </c>
      <c r="G66" s="206">
        <v>300</v>
      </c>
      <c r="H66" s="207">
        <v>30.2</v>
      </c>
      <c r="I66" s="207">
        <v>9060</v>
      </c>
      <c r="J66" s="207">
        <v>9060</v>
      </c>
      <c r="K66" s="206"/>
      <c r="L66" s="206">
        <v>214</v>
      </c>
      <c r="M66" s="208">
        <f t="shared" si="9"/>
        <v>0.71333333333333337</v>
      </c>
      <c r="N66" s="206">
        <v>300</v>
      </c>
      <c r="O66" s="208">
        <f t="shared" si="9"/>
        <v>1</v>
      </c>
      <c r="P66" s="206">
        <v>300</v>
      </c>
      <c r="Q66" s="208">
        <f t="shared" ref="Q66:S66" si="256">IFERROR(P66/$G66," ")</f>
        <v>1</v>
      </c>
      <c r="R66" s="206">
        <v>300</v>
      </c>
      <c r="S66" s="208">
        <f t="shared" si="256"/>
        <v>1</v>
      </c>
      <c r="T66" s="206">
        <v>300</v>
      </c>
      <c r="U66" s="208">
        <f t="shared" ref="U66:W66" si="257">IFERROR(T66/$G66," ")</f>
        <v>1</v>
      </c>
      <c r="V66" s="206">
        <v>300</v>
      </c>
      <c r="W66" s="208">
        <f t="shared" si="257"/>
        <v>1</v>
      </c>
      <c r="X66" s="206">
        <v>300</v>
      </c>
      <c r="Y66" s="208">
        <f t="shared" ref="Y66:AA66" si="258">IFERROR(X66/$G66," ")</f>
        <v>1</v>
      </c>
      <c r="Z66" s="206">
        <v>300</v>
      </c>
      <c r="AA66" s="208">
        <f t="shared" si="258"/>
        <v>1</v>
      </c>
      <c r="AB66" s="206">
        <v>300</v>
      </c>
      <c r="AC66" s="208">
        <f t="shared" ref="AC66:AE66" si="259">IFERROR(AB66/$G66," ")</f>
        <v>1</v>
      </c>
      <c r="AD66" s="206">
        <v>300</v>
      </c>
      <c r="AE66" s="208">
        <f t="shared" si="259"/>
        <v>1</v>
      </c>
      <c r="AF66" s="203"/>
      <c r="AG66" s="205">
        <f t="shared" si="14"/>
        <v>6462.8</v>
      </c>
      <c r="AH66" s="205">
        <f t="shared" si="75"/>
        <v>9060</v>
      </c>
      <c r="AI66" s="205">
        <f t="shared" si="76"/>
        <v>9060</v>
      </c>
      <c r="AJ66" s="205">
        <f t="shared" si="77"/>
        <v>9060</v>
      </c>
      <c r="AK66" s="205">
        <f t="shared" si="78"/>
        <v>9060</v>
      </c>
      <c r="AL66" s="205">
        <f t="shared" si="79"/>
        <v>9060</v>
      </c>
      <c r="AM66" s="205">
        <f t="shared" si="80"/>
        <v>9060</v>
      </c>
      <c r="AN66" s="205">
        <f t="shared" si="81"/>
        <v>9060</v>
      </c>
      <c r="AO66" s="205">
        <f t="shared" si="82"/>
        <v>9060</v>
      </c>
      <c r="AP66" s="205">
        <f t="shared" si="83"/>
        <v>9060</v>
      </c>
    </row>
    <row r="67" spans="1:42" x14ac:dyDescent="0.25">
      <c r="A67" s="202">
        <v>50</v>
      </c>
      <c r="B67" s="203" t="s">
        <v>1218</v>
      </c>
      <c r="C67" s="204" t="s">
        <v>167</v>
      </c>
      <c r="D67" s="203" t="s">
        <v>17</v>
      </c>
      <c r="E67" s="205">
        <f>IFERROR(VLOOKUP(A67,Estimate!A:Q,17,FALSE)," ")</f>
        <v>2100</v>
      </c>
      <c r="F67" s="206">
        <v>1</v>
      </c>
      <c r="G67" s="206">
        <v>1</v>
      </c>
      <c r="H67" s="207">
        <v>2584.44</v>
      </c>
      <c r="I67" s="207">
        <v>2584.44</v>
      </c>
      <c r="J67" s="207">
        <v>2584.44</v>
      </c>
      <c r="K67" s="206"/>
      <c r="L67" s="206">
        <v>0.8</v>
      </c>
      <c r="M67" s="208">
        <f t="shared" si="9"/>
        <v>0.8</v>
      </c>
      <c r="N67" s="206">
        <v>1</v>
      </c>
      <c r="O67" s="208">
        <f t="shared" si="9"/>
        <v>1</v>
      </c>
      <c r="P67" s="206">
        <v>1</v>
      </c>
      <c r="Q67" s="208">
        <f t="shared" ref="Q67:S67" si="260">IFERROR(P67/$G67," ")</f>
        <v>1</v>
      </c>
      <c r="R67" s="206">
        <v>1</v>
      </c>
      <c r="S67" s="208">
        <f t="shared" si="260"/>
        <v>1</v>
      </c>
      <c r="T67" s="206">
        <v>1</v>
      </c>
      <c r="U67" s="208">
        <f t="shared" ref="U67:W67" si="261">IFERROR(T67/$G67," ")</f>
        <v>1</v>
      </c>
      <c r="V67" s="206">
        <v>1</v>
      </c>
      <c r="W67" s="208">
        <f t="shared" si="261"/>
        <v>1</v>
      </c>
      <c r="X67" s="206">
        <v>1</v>
      </c>
      <c r="Y67" s="208">
        <f t="shared" ref="Y67:AA67" si="262">IFERROR(X67/$G67," ")</f>
        <v>1</v>
      </c>
      <c r="Z67" s="206">
        <v>1</v>
      </c>
      <c r="AA67" s="208">
        <f t="shared" si="262"/>
        <v>1</v>
      </c>
      <c r="AB67" s="206">
        <v>1</v>
      </c>
      <c r="AC67" s="208">
        <f t="shared" ref="AC67:AE67" si="263">IFERROR(AB67/$G67," ")</f>
        <v>1</v>
      </c>
      <c r="AD67" s="206">
        <v>1</v>
      </c>
      <c r="AE67" s="208">
        <f t="shared" si="263"/>
        <v>1</v>
      </c>
      <c r="AF67" s="203"/>
      <c r="AG67" s="205">
        <f t="shared" si="14"/>
        <v>2067.5520000000001</v>
      </c>
      <c r="AH67" s="205">
        <f t="shared" si="75"/>
        <v>2584.44</v>
      </c>
      <c r="AI67" s="205">
        <f t="shared" si="76"/>
        <v>2584.44</v>
      </c>
      <c r="AJ67" s="205">
        <f t="shared" si="77"/>
        <v>2584.44</v>
      </c>
      <c r="AK67" s="205">
        <f t="shared" si="78"/>
        <v>2584.44</v>
      </c>
      <c r="AL67" s="205">
        <f t="shared" si="79"/>
        <v>2584.44</v>
      </c>
      <c r="AM67" s="205">
        <f t="shared" si="80"/>
        <v>2584.44</v>
      </c>
      <c r="AN67" s="205">
        <f t="shared" si="81"/>
        <v>2584.44</v>
      </c>
      <c r="AO67" s="205">
        <f t="shared" si="82"/>
        <v>2584.44</v>
      </c>
      <c r="AP67" s="205">
        <f t="shared" si="83"/>
        <v>2584.44</v>
      </c>
    </row>
    <row r="68" spans="1:42" x14ac:dyDescent="0.25">
      <c r="A68" s="202">
        <v>51</v>
      </c>
      <c r="B68" s="203" t="s">
        <v>1247</v>
      </c>
      <c r="C68" s="204" t="s">
        <v>169</v>
      </c>
      <c r="D68" s="203" t="s">
        <v>45</v>
      </c>
      <c r="E68" s="205">
        <f>IFERROR(VLOOKUP(A68,Estimate!A:Q,17,FALSE)," ")</f>
        <v>20796.503917525777</v>
      </c>
      <c r="F68" s="206">
        <v>58</v>
      </c>
      <c r="G68" s="206">
        <v>58</v>
      </c>
      <c r="H68" s="207">
        <v>442.42</v>
      </c>
      <c r="I68" s="207">
        <v>25660.36</v>
      </c>
      <c r="J68" s="207">
        <v>25660.36</v>
      </c>
      <c r="K68" s="206"/>
      <c r="L68" s="206">
        <v>58</v>
      </c>
      <c r="M68" s="208">
        <f t="shared" si="9"/>
        <v>1</v>
      </c>
      <c r="N68" s="206">
        <v>58</v>
      </c>
      <c r="O68" s="208">
        <f t="shared" si="9"/>
        <v>1</v>
      </c>
      <c r="P68" s="206">
        <v>58</v>
      </c>
      <c r="Q68" s="208">
        <f t="shared" ref="Q68:S68" si="264">IFERROR(P68/$G68," ")</f>
        <v>1</v>
      </c>
      <c r="R68" s="206">
        <v>58</v>
      </c>
      <c r="S68" s="208">
        <f t="shared" si="264"/>
        <v>1</v>
      </c>
      <c r="T68" s="206">
        <v>58</v>
      </c>
      <c r="U68" s="208">
        <f t="shared" ref="U68:W68" si="265">IFERROR(T68/$G68," ")</f>
        <v>1</v>
      </c>
      <c r="V68" s="206">
        <v>58</v>
      </c>
      <c r="W68" s="208">
        <f t="shared" si="265"/>
        <v>1</v>
      </c>
      <c r="X68" s="206">
        <v>58</v>
      </c>
      <c r="Y68" s="208">
        <f t="shared" ref="Y68:AA68" si="266">IFERROR(X68/$G68," ")</f>
        <v>1</v>
      </c>
      <c r="Z68" s="206">
        <v>58</v>
      </c>
      <c r="AA68" s="208">
        <f t="shared" si="266"/>
        <v>1</v>
      </c>
      <c r="AB68" s="206">
        <v>58</v>
      </c>
      <c r="AC68" s="208">
        <f t="shared" ref="AC68:AE68" si="267">IFERROR(AB68/$G68," ")</f>
        <v>1</v>
      </c>
      <c r="AD68" s="206">
        <v>58</v>
      </c>
      <c r="AE68" s="208">
        <f t="shared" si="267"/>
        <v>1</v>
      </c>
      <c r="AF68" s="203"/>
      <c r="AG68" s="205">
        <f t="shared" si="14"/>
        <v>25660.36</v>
      </c>
      <c r="AH68" s="205">
        <f t="shared" si="75"/>
        <v>25660.36</v>
      </c>
      <c r="AI68" s="205">
        <f t="shared" si="76"/>
        <v>25660.36</v>
      </c>
      <c r="AJ68" s="205">
        <f t="shared" si="77"/>
        <v>25660.36</v>
      </c>
      <c r="AK68" s="205">
        <f t="shared" si="78"/>
        <v>25660.36</v>
      </c>
      <c r="AL68" s="205">
        <f t="shared" si="79"/>
        <v>25660.36</v>
      </c>
      <c r="AM68" s="205">
        <f t="shared" si="80"/>
        <v>25660.36</v>
      </c>
      <c r="AN68" s="205">
        <f t="shared" si="81"/>
        <v>25660.36</v>
      </c>
      <c r="AO68" s="205">
        <f t="shared" si="82"/>
        <v>25660.36</v>
      </c>
      <c r="AP68" s="205">
        <f t="shared" si="83"/>
        <v>25660.36</v>
      </c>
    </row>
    <row r="69" spans="1:42" x14ac:dyDescent="0.25">
      <c r="A69" s="202">
        <v>52</v>
      </c>
      <c r="B69" s="203" t="s">
        <v>1247</v>
      </c>
      <c r="C69" s="204" t="s">
        <v>172</v>
      </c>
      <c r="D69" s="203" t="s">
        <v>45</v>
      </c>
      <c r="E69" s="205">
        <f>IFERROR(VLOOKUP(A69,Estimate!A:Q,17,FALSE)," ")</f>
        <v>17462.719999999998</v>
      </c>
      <c r="F69" s="206">
        <v>44</v>
      </c>
      <c r="G69" s="206">
        <v>44</v>
      </c>
      <c r="H69" s="207">
        <v>489.71</v>
      </c>
      <c r="I69" s="207">
        <v>21547.24</v>
      </c>
      <c r="J69" s="207">
        <v>21547.24</v>
      </c>
      <c r="K69" s="206"/>
      <c r="L69" s="206">
        <v>44</v>
      </c>
      <c r="M69" s="208">
        <f t="shared" si="9"/>
        <v>1</v>
      </c>
      <c r="N69" s="206">
        <v>44</v>
      </c>
      <c r="O69" s="208">
        <f t="shared" si="9"/>
        <v>1</v>
      </c>
      <c r="P69" s="206">
        <v>44</v>
      </c>
      <c r="Q69" s="208">
        <f t="shared" ref="Q69:S69" si="268">IFERROR(P69/$G69," ")</f>
        <v>1</v>
      </c>
      <c r="R69" s="206">
        <v>44</v>
      </c>
      <c r="S69" s="208">
        <f t="shared" si="268"/>
        <v>1</v>
      </c>
      <c r="T69" s="206">
        <v>44</v>
      </c>
      <c r="U69" s="208">
        <f t="shared" ref="U69:W69" si="269">IFERROR(T69/$G69," ")</f>
        <v>1</v>
      </c>
      <c r="V69" s="206">
        <v>44</v>
      </c>
      <c r="W69" s="208">
        <f t="shared" si="269"/>
        <v>1</v>
      </c>
      <c r="X69" s="206">
        <v>44</v>
      </c>
      <c r="Y69" s="208">
        <f t="shared" ref="Y69:AA69" si="270">IFERROR(X69/$G69," ")</f>
        <v>1</v>
      </c>
      <c r="Z69" s="206">
        <v>44</v>
      </c>
      <c r="AA69" s="208">
        <f t="shared" si="270"/>
        <v>1</v>
      </c>
      <c r="AB69" s="206">
        <v>44</v>
      </c>
      <c r="AC69" s="208">
        <f t="shared" ref="AC69:AE69" si="271">IFERROR(AB69/$G69," ")</f>
        <v>1</v>
      </c>
      <c r="AD69" s="206">
        <v>44</v>
      </c>
      <c r="AE69" s="208">
        <f t="shared" si="271"/>
        <v>1</v>
      </c>
      <c r="AF69" s="203"/>
      <c r="AG69" s="205">
        <f t="shared" si="14"/>
        <v>21547.239999999998</v>
      </c>
      <c r="AH69" s="205">
        <f t="shared" si="75"/>
        <v>21547.239999999998</v>
      </c>
      <c r="AI69" s="205">
        <f t="shared" si="76"/>
        <v>21547.239999999998</v>
      </c>
      <c r="AJ69" s="205">
        <f t="shared" si="77"/>
        <v>21547.239999999998</v>
      </c>
      <c r="AK69" s="205">
        <f t="shared" si="78"/>
        <v>21547.239999999998</v>
      </c>
      <c r="AL69" s="205">
        <f t="shared" si="79"/>
        <v>21547.239999999998</v>
      </c>
      <c r="AM69" s="205">
        <f t="shared" si="80"/>
        <v>21547.239999999998</v>
      </c>
      <c r="AN69" s="205">
        <f t="shared" si="81"/>
        <v>21547.239999999998</v>
      </c>
      <c r="AO69" s="205">
        <f t="shared" si="82"/>
        <v>21547.239999999998</v>
      </c>
      <c r="AP69" s="205">
        <f t="shared" si="83"/>
        <v>21547.239999999998</v>
      </c>
    </row>
    <row r="70" spans="1:42" x14ac:dyDescent="0.25">
      <c r="A70" s="202">
        <v>53</v>
      </c>
      <c r="B70" s="203" t="s">
        <v>1248</v>
      </c>
      <c r="C70" s="204" t="s">
        <v>175</v>
      </c>
      <c r="D70" s="203" t="s">
        <v>57</v>
      </c>
      <c r="E70" s="205">
        <f>IFERROR(VLOOKUP(A70,Estimate!A:Q,17,FALSE)," ")</f>
        <v>28611.019644444434</v>
      </c>
      <c r="F70" s="206">
        <v>57</v>
      </c>
      <c r="G70" s="206">
        <v>57</v>
      </c>
      <c r="H70" s="207">
        <v>617.74</v>
      </c>
      <c r="I70" s="207">
        <v>35211.18</v>
      </c>
      <c r="J70" s="207">
        <v>35211.18</v>
      </c>
      <c r="K70" s="206"/>
      <c r="L70" s="206">
        <v>27</v>
      </c>
      <c r="M70" s="208">
        <f t="shared" si="9"/>
        <v>0.47368421052631576</v>
      </c>
      <c r="N70" s="206">
        <v>57</v>
      </c>
      <c r="O70" s="208">
        <f t="shared" si="9"/>
        <v>1</v>
      </c>
      <c r="P70" s="206">
        <v>57</v>
      </c>
      <c r="Q70" s="208">
        <f t="shared" ref="Q70:S70" si="272">IFERROR(P70/$G70," ")</f>
        <v>1</v>
      </c>
      <c r="R70" s="206">
        <v>57</v>
      </c>
      <c r="S70" s="208">
        <f t="shared" si="272"/>
        <v>1</v>
      </c>
      <c r="T70" s="206">
        <v>57</v>
      </c>
      <c r="U70" s="208">
        <f t="shared" ref="U70:W70" si="273">IFERROR(T70/$G70," ")</f>
        <v>1</v>
      </c>
      <c r="V70" s="206">
        <v>57</v>
      </c>
      <c r="W70" s="208">
        <f t="shared" si="273"/>
        <v>1</v>
      </c>
      <c r="X70" s="206">
        <v>57</v>
      </c>
      <c r="Y70" s="208">
        <f t="shared" ref="Y70:AA70" si="274">IFERROR(X70/$G70," ")</f>
        <v>1</v>
      </c>
      <c r="Z70" s="206">
        <v>57</v>
      </c>
      <c r="AA70" s="208">
        <f t="shared" si="274"/>
        <v>1</v>
      </c>
      <c r="AB70" s="206">
        <v>57</v>
      </c>
      <c r="AC70" s="208">
        <f t="shared" ref="AC70:AE70" si="275">IFERROR(AB70/$G70," ")</f>
        <v>1</v>
      </c>
      <c r="AD70" s="206">
        <v>57</v>
      </c>
      <c r="AE70" s="208">
        <f t="shared" si="275"/>
        <v>1</v>
      </c>
      <c r="AF70" s="203"/>
      <c r="AG70" s="205">
        <f t="shared" si="14"/>
        <v>16678.98</v>
      </c>
      <c r="AH70" s="205">
        <f t="shared" si="75"/>
        <v>35211.18</v>
      </c>
      <c r="AI70" s="205">
        <f t="shared" si="76"/>
        <v>35211.18</v>
      </c>
      <c r="AJ70" s="205">
        <f t="shared" si="77"/>
        <v>35211.18</v>
      </c>
      <c r="AK70" s="205">
        <f t="shared" si="78"/>
        <v>35211.18</v>
      </c>
      <c r="AL70" s="205">
        <f t="shared" si="79"/>
        <v>35211.18</v>
      </c>
      <c r="AM70" s="205">
        <f t="shared" si="80"/>
        <v>35211.18</v>
      </c>
      <c r="AN70" s="205">
        <f t="shared" si="81"/>
        <v>35211.18</v>
      </c>
      <c r="AO70" s="205">
        <f t="shared" si="82"/>
        <v>35211.18</v>
      </c>
      <c r="AP70" s="205">
        <f t="shared" si="83"/>
        <v>35211.18</v>
      </c>
    </row>
    <row r="71" spans="1:42" x14ac:dyDescent="0.25">
      <c r="A71" s="202">
        <v>69</v>
      </c>
      <c r="B71" s="203" t="s">
        <v>1249</v>
      </c>
      <c r="C71" s="204" t="s">
        <v>193</v>
      </c>
      <c r="D71" s="203" t="s">
        <v>45</v>
      </c>
      <c r="E71" s="205">
        <f>IFERROR(VLOOKUP(A71,Estimate!A:Q,17,FALSE)," ")</f>
        <v>71971.5</v>
      </c>
      <c r="F71" s="206">
        <v>100</v>
      </c>
      <c r="G71" s="206">
        <v>100</v>
      </c>
      <c r="H71" s="207">
        <v>885.74</v>
      </c>
      <c r="I71" s="207">
        <v>88574</v>
      </c>
      <c r="J71" s="207">
        <v>88574</v>
      </c>
      <c r="K71" s="206"/>
      <c r="L71" s="206">
        <v>14.4</v>
      </c>
      <c r="M71" s="208">
        <f t="shared" ref="M71:M100" si="276">IFERROR(L71/$G71," ")</f>
        <v>0.14400000000000002</v>
      </c>
      <c r="N71" s="206">
        <v>100</v>
      </c>
      <c r="O71" s="208">
        <f t="shared" ref="O71:O100" si="277">IFERROR(N71/$G71," ")</f>
        <v>1</v>
      </c>
      <c r="P71" s="206">
        <v>100</v>
      </c>
      <c r="Q71" s="208">
        <f t="shared" ref="Q71:S71" si="278">IFERROR(P71/$G71," ")</f>
        <v>1</v>
      </c>
      <c r="R71" s="206">
        <v>100</v>
      </c>
      <c r="S71" s="208">
        <f t="shared" si="278"/>
        <v>1</v>
      </c>
      <c r="T71" s="206">
        <v>100</v>
      </c>
      <c r="U71" s="208">
        <f t="shared" ref="U71:W71" si="279">IFERROR(T71/$G71," ")</f>
        <v>1</v>
      </c>
      <c r="V71" s="206">
        <v>100</v>
      </c>
      <c r="W71" s="208">
        <f t="shared" si="279"/>
        <v>1</v>
      </c>
      <c r="X71" s="206">
        <v>100</v>
      </c>
      <c r="Y71" s="208">
        <f t="shared" ref="Y71:AA71" si="280">IFERROR(X71/$G71," ")</f>
        <v>1</v>
      </c>
      <c r="Z71" s="206">
        <v>100</v>
      </c>
      <c r="AA71" s="208">
        <f t="shared" si="280"/>
        <v>1</v>
      </c>
      <c r="AB71" s="206">
        <v>100</v>
      </c>
      <c r="AC71" s="208">
        <f t="shared" ref="AC71:AE71" si="281">IFERROR(AB71/$G71," ")</f>
        <v>1</v>
      </c>
      <c r="AD71" s="206">
        <v>100</v>
      </c>
      <c r="AE71" s="208">
        <f t="shared" si="281"/>
        <v>1</v>
      </c>
      <c r="AF71" s="203"/>
      <c r="AG71" s="205">
        <f t="shared" ref="AG71:AG100" si="282">IFERROR(L71*$H71," ")</f>
        <v>12754.656000000001</v>
      </c>
      <c r="AH71" s="205">
        <f t="shared" si="75"/>
        <v>88574</v>
      </c>
      <c r="AI71" s="205">
        <f t="shared" si="76"/>
        <v>88574</v>
      </c>
      <c r="AJ71" s="205">
        <f t="shared" si="77"/>
        <v>88574</v>
      </c>
      <c r="AK71" s="205">
        <f t="shared" si="78"/>
        <v>88574</v>
      </c>
      <c r="AL71" s="205">
        <f t="shared" si="79"/>
        <v>88574</v>
      </c>
      <c r="AM71" s="205">
        <f t="shared" si="80"/>
        <v>88574</v>
      </c>
      <c r="AN71" s="205">
        <f t="shared" si="81"/>
        <v>88574</v>
      </c>
      <c r="AO71" s="205">
        <f t="shared" si="82"/>
        <v>88574</v>
      </c>
      <c r="AP71" s="205">
        <f t="shared" si="83"/>
        <v>88574</v>
      </c>
    </row>
    <row r="72" spans="1:42" x14ac:dyDescent="0.25">
      <c r="A72" s="202">
        <v>80</v>
      </c>
      <c r="B72" s="203" t="s">
        <v>1249</v>
      </c>
      <c r="C72" s="204" t="s">
        <v>196</v>
      </c>
      <c r="D72" s="203" t="s">
        <v>45</v>
      </c>
      <c r="E72" s="205">
        <f>IFERROR(VLOOKUP(A72,Estimate!A:Q,17,FALSE)," ")</f>
        <v>80010.833333333343</v>
      </c>
      <c r="F72" s="206">
        <v>114</v>
      </c>
      <c r="G72" s="206">
        <v>114</v>
      </c>
      <c r="H72" s="207">
        <v>863.75</v>
      </c>
      <c r="I72" s="207">
        <v>98467.5</v>
      </c>
      <c r="J72" s="207">
        <v>98467.5</v>
      </c>
      <c r="K72" s="206"/>
      <c r="L72" s="206">
        <v>40.799999999999997</v>
      </c>
      <c r="M72" s="208">
        <f t="shared" si="276"/>
        <v>0.35789473684210527</v>
      </c>
      <c r="N72" s="206">
        <v>114</v>
      </c>
      <c r="O72" s="208">
        <f t="shared" si="277"/>
        <v>1</v>
      </c>
      <c r="P72" s="206">
        <v>114</v>
      </c>
      <c r="Q72" s="208">
        <f t="shared" ref="Q72:S72" si="283">IFERROR(P72/$G72," ")</f>
        <v>1</v>
      </c>
      <c r="R72" s="206">
        <v>114</v>
      </c>
      <c r="S72" s="208">
        <f t="shared" si="283"/>
        <v>1</v>
      </c>
      <c r="T72" s="206">
        <v>114</v>
      </c>
      <c r="U72" s="208">
        <f t="shared" ref="U72:W72" si="284">IFERROR(T72/$G72," ")</f>
        <v>1</v>
      </c>
      <c r="V72" s="206">
        <v>114</v>
      </c>
      <c r="W72" s="208">
        <f t="shared" si="284"/>
        <v>1</v>
      </c>
      <c r="X72" s="206">
        <v>114</v>
      </c>
      <c r="Y72" s="208">
        <f t="shared" ref="Y72:AA72" si="285">IFERROR(X72/$G72," ")</f>
        <v>1</v>
      </c>
      <c r="Z72" s="206">
        <v>114</v>
      </c>
      <c r="AA72" s="208">
        <f t="shared" si="285"/>
        <v>1</v>
      </c>
      <c r="AB72" s="206">
        <v>114</v>
      </c>
      <c r="AC72" s="208">
        <f t="shared" ref="AC72:AE72" si="286">IFERROR(AB72/$G72," ")</f>
        <v>1</v>
      </c>
      <c r="AD72" s="206">
        <v>114</v>
      </c>
      <c r="AE72" s="208">
        <f t="shared" si="286"/>
        <v>1</v>
      </c>
      <c r="AF72" s="203"/>
      <c r="AG72" s="205">
        <f t="shared" si="282"/>
        <v>35241</v>
      </c>
      <c r="AH72" s="205">
        <f t="shared" si="75"/>
        <v>98467.5</v>
      </c>
      <c r="AI72" s="205">
        <f t="shared" si="76"/>
        <v>98467.5</v>
      </c>
      <c r="AJ72" s="205">
        <f t="shared" si="77"/>
        <v>98467.5</v>
      </c>
      <c r="AK72" s="205">
        <f t="shared" si="78"/>
        <v>98467.5</v>
      </c>
      <c r="AL72" s="205">
        <f t="shared" si="79"/>
        <v>98467.5</v>
      </c>
      <c r="AM72" s="205">
        <f t="shared" si="80"/>
        <v>98467.5</v>
      </c>
      <c r="AN72" s="205">
        <f t="shared" si="81"/>
        <v>98467.5</v>
      </c>
      <c r="AO72" s="205">
        <f t="shared" si="82"/>
        <v>98467.5</v>
      </c>
      <c r="AP72" s="205">
        <f t="shared" si="83"/>
        <v>98467.5</v>
      </c>
    </row>
    <row r="73" spans="1:42" x14ac:dyDescent="0.25">
      <c r="A73" s="202">
        <v>86</v>
      </c>
      <c r="B73" s="203" t="s">
        <v>1245</v>
      </c>
      <c r="C73" s="204" t="s">
        <v>198</v>
      </c>
      <c r="D73" s="203" t="s">
        <v>57</v>
      </c>
      <c r="E73" s="205">
        <f>IFERROR(VLOOKUP(A73,Estimate!A:Q,17,FALSE)," ")</f>
        <v>21000</v>
      </c>
      <c r="F73" s="206">
        <v>35</v>
      </c>
      <c r="G73" s="206">
        <v>35</v>
      </c>
      <c r="H73" s="207">
        <v>738.41</v>
      </c>
      <c r="I73" s="207">
        <v>25844.35</v>
      </c>
      <c r="J73" s="207">
        <v>25844.35</v>
      </c>
      <c r="K73" s="206"/>
      <c r="L73" s="206"/>
      <c r="M73" s="208">
        <f t="shared" si="276"/>
        <v>0</v>
      </c>
      <c r="N73" s="206"/>
      <c r="O73" s="208">
        <f t="shared" si="277"/>
        <v>0</v>
      </c>
      <c r="P73" s="206">
        <v>28</v>
      </c>
      <c r="Q73" s="208">
        <f t="shared" ref="Q73:S73" si="287">IFERROR(P73/$G73," ")</f>
        <v>0.8</v>
      </c>
      <c r="R73" s="206">
        <v>35</v>
      </c>
      <c r="S73" s="208">
        <f t="shared" si="287"/>
        <v>1</v>
      </c>
      <c r="T73" s="206">
        <v>35</v>
      </c>
      <c r="U73" s="208">
        <f t="shared" ref="U73:W73" si="288">IFERROR(T73/$G73," ")</f>
        <v>1</v>
      </c>
      <c r="V73" s="206">
        <v>35</v>
      </c>
      <c r="W73" s="208">
        <f t="shared" si="288"/>
        <v>1</v>
      </c>
      <c r="X73" s="206">
        <v>35</v>
      </c>
      <c r="Y73" s="208">
        <f t="shared" ref="Y73:AA73" si="289">IFERROR(X73/$G73," ")</f>
        <v>1</v>
      </c>
      <c r="Z73" s="206">
        <v>35</v>
      </c>
      <c r="AA73" s="208">
        <f t="shared" si="289"/>
        <v>1</v>
      </c>
      <c r="AB73" s="206">
        <v>35</v>
      </c>
      <c r="AC73" s="208">
        <f t="shared" ref="AC73:AE73" si="290">IFERROR(AB73/$G73," ")</f>
        <v>1</v>
      </c>
      <c r="AD73" s="206">
        <v>35</v>
      </c>
      <c r="AE73" s="208">
        <f t="shared" si="290"/>
        <v>1</v>
      </c>
      <c r="AF73" s="203"/>
      <c r="AG73" s="205">
        <f t="shared" si="282"/>
        <v>0</v>
      </c>
      <c r="AH73" s="205">
        <f t="shared" si="75"/>
        <v>0</v>
      </c>
      <c r="AI73" s="205">
        <f t="shared" si="76"/>
        <v>20675.48</v>
      </c>
      <c r="AJ73" s="205">
        <f t="shared" si="77"/>
        <v>25844.35</v>
      </c>
      <c r="AK73" s="205">
        <f t="shared" si="78"/>
        <v>25844.35</v>
      </c>
      <c r="AL73" s="205">
        <f t="shared" si="79"/>
        <v>25844.35</v>
      </c>
      <c r="AM73" s="205">
        <f t="shared" si="80"/>
        <v>25844.35</v>
      </c>
      <c r="AN73" s="205">
        <f t="shared" si="81"/>
        <v>25844.35</v>
      </c>
      <c r="AO73" s="205">
        <f t="shared" si="82"/>
        <v>25844.35</v>
      </c>
      <c r="AP73" s="205">
        <f t="shared" si="83"/>
        <v>25844.35</v>
      </c>
    </row>
    <row r="74" spans="1:42" x14ac:dyDescent="0.25">
      <c r="A74" s="202">
        <v>87</v>
      </c>
      <c r="B74" s="203" t="s">
        <v>1245</v>
      </c>
      <c r="C74" s="204" t="s">
        <v>201</v>
      </c>
      <c r="D74" s="203" t="s">
        <v>86</v>
      </c>
      <c r="E74" s="205">
        <f>IFERROR(VLOOKUP(A74,Estimate!A:Q,17,FALSE)," ")</f>
        <v>621</v>
      </c>
      <c r="F74" s="206">
        <v>1</v>
      </c>
      <c r="G74" s="206">
        <v>1</v>
      </c>
      <c r="H74" s="207">
        <v>764.26</v>
      </c>
      <c r="I74" s="207">
        <v>764.26</v>
      </c>
      <c r="J74" s="207">
        <v>764.26</v>
      </c>
      <c r="K74" s="206"/>
      <c r="L74" s="206"/>
      <c r="M74" s="208">
        <f t="shared" si="276"/>
        <v>0</v>
      </c>
      <c r="N74" s="206"/>
      <c r="O74" s="208">
        <f t="shared" si="277"/>
        <v>0</v>
      </c>
      <c r="P74" s="206">
        <v>1</v>
      </c>
      <c r="Q74" s="208">
        <f t="shared" ref="Q74:S74" si="291">IFERROR(P74/$G74," ")</f>
        <v>1</v>
      </c>
      <c r="R74" s="206">
        <v>1</v>
      </c>
      <c r="S74" s="208">
        <f t="shared" si="291"/>
        <v>1</v>
      </c>
      <c r="T74" s="206">
        <v>1</v>
      </c>
      <c r="U74" s="208">
        <f t="shared" ref="U74:W74" si="292">IFERROR(T74/$G74," ")</f>
        <v>1</v>
      </c>
      <c r="V74" s="206">
        <v>1</v>
      </c>
      <c r="W74" s="208">
        <f t="shared" si="292"/>
        <v>1</v>
      </c>
      <c r="X74" s="206">
        <v>1</v>
      </c>
      <c r="Y74" s="208">
        <f t="shared" ref="Y74:AA74" si="293">IFERROR(X74/$G74," ")</f>
        <v>1</v>
      </c>
      <c r="Z74" s="206">
        <v>1</v>
      </c>
      <c r="AA74" s="208">
        <f t="shared" si="293"/>
        <v>1</v>
      </c>
      <c r="AB74" s="206">
        <v>1</v>
      </c>
      <c r="AC74" s="208">
        <f t="shared" ref="AC74:AE74" si="294">IFERROR(AB74/$G74," ")</f>
        <v>1</v>
      </c>
      <c r="AD74" s="206">
        <v>1</v>
      </c>
      <c r="AE74" s="208">
        <f t="shared" si="294"/>
        <v>1</v>
      </c>
      <c r="AF74" s="203"/>
      <c r="AG74" s="205">
        <f t="shared" si="282"/>
        <v>0</v>
      </c>
      <c r="AH74" s="205">
        <f t="shared" si="75"/>
        <v>0</v>
      </c>
      <c r="AI74" s="205">
        <f t="shared" si="76"/>
        <v>764.26</v>
      </c>
      <c r="AJ74" s="205">
        <f t="shared" si="77"/>
        <v>764.26</v>
      </c>
      <c r="AK74" s="205">
        <f t="shared" si="78"/>
        <v>764.26</v>
      </c>
      <c r="AL74" s="205">
        <f t="shared" si="79"/>
        <v>764.26</v>
      </c>
      <c r="AM74" s="205">
        <f t="shared" si="80"/>
        <v>764.26</v>
      </c>
      <c r="AN74" s="205">
        <f t="shared" si="81"/>
        <v>764.26</v>
      </c>
      <c r="AO74" s="205">
        <f t="shared" si="82"/>
        <v>764.26</v>
      </c>
      <c r="AP74" s="205">
        <f t="shared" si="83"/>
        <v>764.26</v>
      </c>
    </row>
    <row r="75" spans="1:42" x14ac:dyDescent="0.25">
      <c r="A75" s="202">
        <v>88</v>
      </c>
      <c r="B75" s="203" t="s">
        <v>1245</v>
      </c>
      <c r="C75" s="204" t="s">
        <v>204</v>
      </c>
      <c r="D75" s="203" t="s">
        <v>86</v>
      </c>
      <c r="E75" s="205">
        <f>IFERROR(VLOOKUP(A75,Estimate!A:Q,17,FALSE)," ")</f>
        <v>15948</v>
      </c>
      <c r="F75" s="206">
        <v>18</v>
      </c>
      <c r="G75" s="206">
        <v>18</v>
      </c>
      <c r="H75" s="207">
        <v>1090.3900000000001</v>
      </c>
      <c r="I75" s="207">
        <v>19627.02</v>
      </c>
      <c r="J75" s="207">
        <v>19627.02</v>
      </c>
      <c r="K75" s="206"/>
      <c r="L75" s="206">
        <v>18</v>
      </c>
      <c r="M75" s="208">
        <f t="shared" si="276"/>
        <v>1</v>
      </c>
      <c r="N75" s="206">
        <v>18</v>
      </c>
      <c r="O75" s="208">
        <f t="shared" si="277"/>
        <v>1</v>
      </c>
      <c r="P75" s="206">
        <v>18</v>
      </c>
      <c r="Q75" s="208">
        <f t="shared" ref="Q75:S75" si="295">IFERROR(P75/$G75," ")</f>
        <v>1</v>
      </c>
      <c r="R75" s="206">
        <v>18</v>
      </c>
      <c r="S75" s="208">
        <f t="shared" si="295"/>
        <v>1</v>
      </c>
      <c r="T75" s="206">
        <v>18</v>
      </c>
      <c r="U75" s="208">
        <f t="shared" ref="U75:W75" si="296">IFERROR(T75/$G75," ")</f>
        <v>1</v>
      </c>
      <c r="V75" s="206">
        <v>18</v>
      </c>
      <c r="W75" s="208">
        <f t="shared" si="296"/>
        <v>1</v>
      </c>
      <c r="X75" s="206">
        <v>18</v>
      </c>
      <c r="Y75" s="208">
        <f t="shared" ref="Y75:AA75" si="297">IFERROR(X75/$G75," ")</f>
        <v>1</v>
      </c>
      <c r="Z75" s="206">
        <v>18</v>
      </c>
      <c r="AA75" s="208">
        <f t="shared" si="297"/>
        <v>1</v>
      </c>
      <c r="AB75" s="206">
        <v>18</v>
      </c>
      <c r="AC75" s="208">
        <f t="shared" ref="AC75:AE75" si="298">IFERROR(AB75/$G75," ")</f>
        <v>1</v>
      </c>
      <c r="AD75" s="206">
        <v>18</v>
      </c>
      <c r="AE75" s="208">
        <f t="shared" si="298"/>
        <v>1</v>
      </c>
      <c r="AF75" s="203"/>
      <c r="AG75" s="205">
        <f t="shared" si="282"/>
        <v>19627.02</v>
      </c>
      <c r="AH75" s="205">
        <f t="shared" si="75"/>
        <v>19627.02</v>
      </c>
      <c r="AI75" s="205">
        <f t="shared" si="76"/>
        <v>19627.02</v>
      </c>
      <c r="AJ75" s="205">
        <f t="shared" si="77"/>
        <v>19627.02</v>
      </c>
      <c r="AK75" s="205">
        <f t="shared" si="78"/>
        <v>19627.02</v>
      </c>
      <c r="AL75" s="205">
        <f t="shared" si="79"/>
        <v>19627.02</v>
      </c>
      <c r="AM75" s="205">
        <f t="shared" si="80"/>
        <v>19627.02</v>
      </c>
      <c r="AN75" s="205">
        <f t="shared" si="81"/>
        <v>19627.02</v>
      </c>
      <c r="AO75" s="205">
        <f t="shared" si="82"/>
        <v>19627.02</v>
      </c>
      <c r="AP75" s="205">
        <f t="shared" si="83"/>
        <v>19627.02</v>
      </c>
    </row>
    <row r="76" spans="1:42" x14ac:dyDescent="0.25">
      <c r="A76" s="202">
        <v>89</v>
      </c>
      <c r="B76" s="203" t="s">
        <v>1245</v>
      </c>
      <c r="C76" s="204" t="s">
        <v>206</v>
      </c>
      <c r="D76" s="203" t="s">
        <v>86</v>
      </c>
      <c r="E76" s="205">
        <f>IFERROR(VLOOKUP(A76,Estimate!A:Q,17,FALSE)," ")</f>
        <v>18120</v>
      </c>
      <c r="F76" s="206">
        <v>20</v>
      </c>
      <c r="G76" s="206">
        <v>20</v>
      </c>
      <c r="H76" s="207">
        <v>1115</v>
      </c>
      <c r="I76" s="207">
        <v>22300</v>
      </c>
      <c r="J76" s="207">
        <v>22300</v>
      </c>
      <c r="K76" s="206"/>
      <c r="L76" s="206">
        <v>10</v>
      </c>
      <c r="M76" s="208">
        <f t="shared" si="276"/>
        <v>0.5</v>
      </c>
      <c r="N76" s="206">
        <v>20</v>
      </c>
      <c r="O76" s="208">
        <f t="shared" si="277"/>
        <v>1</v>
      </c>
      <c r="P76" s="206">
        <v>20</v>
      </c>
      <c r="Q76" s="208">
        <f t="shared" ref="Q76:S76" si="299">IFERROR(P76/$G76," ")</f>
        <v>1</v>
      </c>
      <c r="R76" s="206">
        <v>20</v>
      </c>
      <c r="S76" s="208">
        <f t="shared" si="299"/>
        <v>1</v>
      </c>
      <c r="T76" s="206">
        <v>20</v>
      </c>
      <c r="U76" s="208">
        <f t="shared" ref="U76:W76" si="300">IFERROR(T76/$G76," ")</f>
        <v>1</v>
      </c>
      <c r="V76" s="206">
        <v>20</v>
      </c>
      <c r="W76" s="208">
        <f t="shared" si="300"/>
        <v>1</v>
      </c>
      <c r="X76" s="206">
        <v>20</v>
      </c>
      <c r="Y76" s="208">
        <f t="shared" ref="Y76:AA76" si="301">IFERROR(X76/$G76," ")</f>
        <v>1</v>
      </c>
      <c r="Z76" s="206">
        <v>20</v>
      </c>
      <c r="AA76" s="208">
        <f t="shared" si="301"/>
        <v>1</v>
      </c>
      <c r="AB76" s="206">
        <v>20</v>
      </c>
      <c r="AC76" s="208">
        <f t="shared" ref="AC76:AE76" si="302">IFERROR(AB76/$G76," ")</f>
        <v>1</v>
      </c>
      <c r="AD76" s="206">
        <v>20</v>
      </c>
      <c r="AE76" s="208">
        <f t="shared" si="302"/>
        <v>1</v>
      </c>
      <c r="AF76" s="203"/>
      <c r="AG76" s="205">
        <f t="shared" si="282"/>
        <v>11150</v>
      </c>
      <c r="AH76" s="205">
        <f t="shared" si="75"/>
        <v>22300</v>
      </c>
      <c r="AI76" s="205">
        <f t="shared" si="76"/>
        <v>22300</v>
      </c>
      <c r="AJ76" s="205">
        <f t="shared" si="77"/>
        <v>22300</v>
      </c>
      <c r="AK76" s="205">
        <f t="shared" si="78"/>
        <v>22300</v>
      </c>
      <c r="AL76" s="205">
        <f t="shared" si="79"/>
        <v>22300</v>
      </c>
      <c r="AM76" s="205">
        <f t="shared" si="80"/>
        <v>22300</v>
      </c>
      <c r="AN76" s="205">
        <f t="shared" si="81"/>
        <v>22300</v>
      </c>
      <c r="AO76" s="205">
        <f t="shared" si="82"/>
        <v>22300</v>
      </c>
      <c r="AP76" s="205">
        <f t="shared" si="83"/>
        <v>22300</v>
      </c>
    </row>
    <row r="77" spans="1:42" x14ac:dyDescent="0.25">
      <c r="A77" s="202">
        <v>90</v>
      </c>
      <c r="B77" s="203" t="s">
        <v>1228</v>
      </c>
      <c r="C77" s="204" t="s">
        <v>208</v>
      </c>
      <c r="D77" s="203" t="s">
        <v>45</v>
      </c>
      <c r="E77" s="205">
        <f>IFERROR(VLOOKUP(A77,Estimate!A:Q,17,FALSE)," ")</f>
        <v>3994.1525581395349</v>
      </c>
      <c r="F77" s="206">
        <v>48</v>
      </c>
      <c r="G77" s="206">
        <v>48</v>
      </c>
      <c r="H77" s="207">
        <v>102.41</v>
      </c>
      <c r="I77" s="207">
        <v>4915.68</v>
      </c>
      <c r="J77" s="207">
        <v>4915.68</v>
      </c>
      <c r="K77" s="206"/>
      <c r="L77" s="206"/>
      <c r="M77" s="208">
        <f t="shared" si="276"/>
        <v>0</v>
      </c>
      <c r="N77" s="206">
        <v>48</v>
      </c>
      <c r="O77" s="208">
        <f t="shared" si="277"/>
        <v>1</v>
      </c>
      <c r="P77" s="206">
        <v>48</v>
      </c>
      <c r="Q77" s="208">
        <f t="shared" ref="Q77:S77" si="303">IFERROR(P77/$G77," ")</f>
        <v>1</v>
      </c>
      <c r="R77" s="206">
        <v>48</v>
      </c>
      <c r="S77" s="208">
        <f t="shared" si="303"/>
        <v>1</v>
      </c>
      <c r="T77" s="206">
        <v>48</v>
      </c>
      <c r="U77" s="208">
        <f t="shared" ref="U77:W77" si="304">IFERROR(T77/$G77," ")</f>
        <v>1</v>
      </c>
      <c r="V77" s="206">
        <v>48</v>
      </c>
      <c r="W77" s="208">
        <f t="shared" si="304"/>
        <v>1</v>
      </c>
      <c r="X77" s="206">
        <v>48</v>
      </c>
      <c r="Y77" s="208">
        <f t="shared" ref="Y77:AA77" si="305">IFERROR(X77/$G77," ")</f>
        <v>1</v>
      </c>
      <c r="Z77" s="206">
        <v>48</v>
      </c>
      <c r="AA77" s="208">
        <f t="shared" si="305"/>
        <v>1</v>
      </c>
      <c r="AB77" s="206">
        <v>48</v>
      </c>
      <c r="AC77" s="208">
        <f t="shared" ref="AC77:AE77" si="306">IFERROR(AB77/$G77," ")</f>
        <v>1</v>
      </c>
      <c r="AD77" s="206">
        <v>48</v>
      </c>
      <c r="AE77" s="208">
        <f t="shared" si="306"/>
        <v>1</v>
      </c>
      <c r="AF77" s="203"/>
      <c r="AG77" s="205">
        <f t="shared" si="282"/>
        <v>0</v>
      </c>
      <c r="AH77" s="205">
        <f t="shared" si="75"/>
        <v>4915.68</v>
      </c>
      <c r="AI77" s="205">
        <f t="shared" si="76"/>
        <v>4915.68</v>
      </c>
      <c r="AJ77" s="205">
        <f t="shared" si="77"/>
        <v>4915.68</v>
      </c>
      <c r="AK77" s="205">
        <f t="shared" si="78"/>
        <v>4915.68</v>
      </c>
      <c r="AL77" s="205">
        <f t="shared" si="79"/>
        <v>4915.68</v>
      </c>
      <c r="AM77" s="205">
        <f t="shared" si="80"/>
        <v>4915.68</v>
      </c>
      <c r="AN77" s="205">
        <f t="shared" si="81"/>
        <v>4915.68</v>
      </c>
      <c r="AO77" s="205">
        <f t="shared" si="82"/>
        <v>4915.68</v>
      </c>
      <c r="AP77" s="205">
        <f t="shared" si="83"/>
        <v>4915.68</v>
      </c>
    </row>
    <row r="78" spans="1:42" x14ac:dyDescent="0.25">
      <c r="A78" s="202">
        <v>91</v>
      </c>
      <c r="B78" s="203" t="s">
        <v>1228</v>
      </c>
      <c r="C78" s="204" t="s">
        <v>210</v>
      </c>
      <c r="D78" s="203" t="s">
        <v>45</v>
      </c>
      <c r="E78" s="205">
        <f>IFERROR(VLOOKUP(A78,Estimate!A:Q,17,FALSE)," ")</f>
        <v>4351.8966666666665</v>
      </c>
      <c r="F78" s="206">
        <v>62</v>
      </c>
      <c r="G78" s="206">
        <v>62</v>
      </c>
      <c r="H78" s="207">
        <v>86.38</v>
      </c>
      <c r="I78" s="207">
        <v>5355.56</v>
      </c>
      <c r="J78" s="207">
        <v>5355.56</v>
      </c>
      <c r="K78" s="206"/>
      <c r="L78" s="206"/>
      <c r="M78" s="208">
        <f t="shared" si="276"/>
        <v>0</v>
      </c>
      <c r="N78" s="206"/>
      <c r="O78" s="208">
        <f t="shared" si="277"/>
        <v>0</v>
      </c>
      <c r="P78" s="206">
        <v>62</v>
      </c>
      <c r="Q78" s="208">
        <f t="shared" ref="Q78:S78" si="307">IFERROR(P78/$G78," ")</f>
        <v>1</v>
      </c>
      <c r="R78" s="206">
        <v>62</v>
      </c>
      <c r="S78" s="208">
        <f t="shared" si="307"/>
        <v>1</v>
      </c>
      <c r="T78" s="206">
        <v>62</v>
      </c>
      <c r="U78" s="208">
        <f t="shared" ref="U78:W78" si="308">IFERROR(T78/$G78," ")</f>
        <v>1</v>
      </c>
      <c r="V78" s="206">
        <v>62</v>
      </c>
      <c r="W78" s="208">
        <f t="shared" si="308"/>
        <v>1</v>
      </c>
      <c r="X78" s="206">
        <v>62</v>
      </c>
      <c r="Y78" s="208">
        <f t="shared" ref="Y78:AA78" si="309">IFERROR(X78/$G78," ")</f>
        <v>1</v>
      </c>
      <c r="Z78" s="206">
        <v>62</v>
      </c>
      <c r="AA78" s="208">
        <f t="shared" si="309"/>
        <v>1</v>
      </c>
      <c r="AB78" s="206">
        <v>62</v>
      </c>
      <c r="AC78" s="208">
        <f t="shared" ref="AC78:AE78" si="310">IFERROR(AB78/$G78," ")</f>
        <v>1</v>
      </c>
      <c r="AD78" s="206">
        <v>62</v>
      </c>
      <c r="AE78" s="208">
        <f t="shared" si="310"/>
        <v>1</v>
      </c>
      <c r="AF78" s="203"/>
      <c r="AG78" s="205">
        <f t="shared" si="282"/>
        <v>0</v>
      </c>
      <c r="AH78" s="205">
        <f t="shared" si="75"/>
        <v>0</v>
      </c>
      <c r="AI78" s="205">
        <f t="shared" si="76"/>
        <v>5355.5599999999995</v>
      </c>
      <c r="AJ78" s="205">
        <f t="shared" si="77"/>
        <v>5355.5599999999995</v>
      </c>
      <c r="AK78" s="205">
        <f t="shared" si="78"/>
        <v>5355.5599999999995</v>
      </c>
      <c r="AL78" s="205">
        <f t="shared" si="79"/>
        <v>5355.5599999999995</v>
      </c>
      <c r="AM78" s="205">
        <f t="shared" si="80"/>
        <v>5355.5599999999995</v>
      </c>
      <c r="AN78" s="205">
        <f t="shared" si="81"/>
        <v>5355.5599999999995</v>
      </c>
      <c r="AO78" s="205">
        <f t="shared" si="82"/>
        <v>5355.5599999999995</v>
      </c>
      <c r="AP78" s="205">
        <f t="shared" si="83"/>
        <v>5355.5599999999995</v>
      </c>
    </row>
    <row r="79" spans="1:42" x14ac:dyDescent="0.25">
      <c r="A79" s="202">
        <v>92</v>
      </c>
      <c r="B79" s="203" t="s">
        <v>1250</v>
      </c>
      <c r="C79" s="204" t="s">
        <v>212</v>
      </c>
      <c r="D79" s="203" t="s">
        <v>45</v>
      </c>
      <c r="E79" s="205">
        <f>IFERROR(VLOOKUP(A79,Estimate!A:Q,17,FALSE)," ")</f>
        <v>59161.798451845185</v>
      </c>
      <c r="F79" s="206">
        <v>1520</v>
      </c>
      <c r="G79" s="206">
        <v>1520</v>
      </c>
      <c r="H79" s="207">
        <v>47.9</v>
      </c>
      <c r="I79" s="207">
        <v>72808</v>
      </c>
      <c r="J79" s="207">
        <v>72808</v>
      </c>
      <c r="K79" s="206"/>
      <c r="L79" s="206"/>
      <c r="M79" s="208">
        <f t="shared" si="276"/>
        <v>0</v>
      </c>
      <c r="N79" s="206">
        <v>1520</v>
      </c>
      <c r="O79" s="208">
        <f t="shared" si="277"/>
        <v>1</v>
      </c>
      <c r="P79" s="206">
        <v>1520</v>
      </c>
      <c r="Q79" s="208">
        <f t="shared" ref="Q79:S79" si="311">IFERROR(P79/$G79," ")</f>
        <v>1</v>
      </c>
      <c r="R79" s="206">
        <v>1520</v>
      </c>
      <c r="S79" s="208">
        <f t="shared" si="311"/>
        <v>1</v>
      </c>
      <c r="T79" s="206">
        <v>1520</v>
      </c>
      <c r="U79" s="208">
        <f t="shared" ref="U79:W79" si="312">IFERROR(T79/$G79," ")</f>
        <v>1</v>
      </c>
      <c r="V79" s="206">
        <v>1520</v>
      </c>
      <c r="W79" s="208">
        <f t="shared" si="312"/>
        <v>1</v>
      </c>
      <c r="X79" s="206">
        <v>1520</v>
      </c>
      <c r="Y79" s="208">
        <f t="shared" ref="Y79:AA79" si="313">IFERROR(X79/$G79," ")</f>
        <v>1</v>
      </c>
      <c r="Z79" s="206">
        <v>1520</v>
      </c>
      <c r="AA79" s="208">
        <f t="shared" si="313"/>
        <v>1</v>
      </c>
      <c r="AB79" s="206">
        <v>1520</v>
      </c>
      <c r="AC79" s="208">
        <f t="shared" ref="AC79:AE79" si="314">IFERROR(AB79/$G79," ")</f>
        <v>1</v>
      </c>
      <c r="AD79" s="206">
        <v>1520</v>
      </c>
      <c r="AE79" s="208">
        <f t="shared" si="314"/>
        <v>1</v>
      </c>
      <c r="AF79" s="203"/>
      <c r="AG79" s="205">
        <f t="shared" si="282"/>
        <v>0</v>
      </c>
      <c r="AH79" s="205">
        <f t="shared" si="75"/>
        <v>72808</v>
      </c>
      <c r="AI79" s="205">
        <f t="shared" si="76"/>
        <v>72808</v>
      </c>
      <c r="AJ79" s="205">
        <f t="shared" si="77"/>
        <v>72808</v>
      </c>
      <c r="AK79" s="205">
        <f t="shared" si="78"/>
        <v>72808</v>
      </c>
      <c r="AL79" s="205">
        <f t="shared" si="79"/>
        <v>72808</v>
      </c>
      <c r="AM79" s="205">
        <f t="shared" si="80"/>
        <v>72808</v>
      </c>
      <c r="AN79" s="205">
        <f t="shared" si="81"/>
        <v>72808</v>
      </c>
      <c r="AO79" s="205">
        <f t="shared" si="82"/>
        <v>72808</v>
      </c>
      <c r="AP79" s="205">
        <f t="shared" si="83"/>
        <v>72808</v>
      </c>
    </row>
    <row r="80" spans="1:42" x14ac:dyDescent="0.25">
      <c r="A80" s="202"/>
      <c r="B80" s="203" t="s">
        <v>1218</v>
      </c>
      <c r="C80" s="204" t="s">
        <v>643</v>
      </c>
      <c r="D80" s="203" t="s">
        <v>715</v>
      </c>
      <c r="E80" s="205" t="str">
        <f>IFERROR(VLOOKUP(A80,Estimate!A:Q,17,FALSE)," ")</f>
        <v xml:space="preserve"> </v>
      </c>
      <c r="F80" s="206" t="s">
        <v>643</v>
      </c>
      <c r="G80" s="206" t="s">
        <v>643</v>
      </c>
      <c r="H80" s="207" t="s">
        <v>643</v>
      </c>
      <c r="I80" s="207" t="s">
        <v>643</v>
      </c>
      <c r="J80" s="207" t="s">
        <v>643</v>
      </c>
      <c r="K80" s="206"/>
      <c r="L80" s="206" t="s">
        <v>643</v>
      </c>
      <c r="M80" s="208" t="str">
        <f t="shared" si="276"/>
        <v xml:space="preserve"> </v>
      </c>
      <c r="N80" s="206" t="s">
        <v>643</v>
      </c>
      <c r="O80" s="208" t="str">
        <f t="shared" si="277"/>
        <v xml:space="preserve"> </v>
      </c>
      <c r="P80" s="206" t="s">
        <v>643</v>
      </c>
      <c r="Q80" s="208" t="str">
        <f t="shared" ref="Q80:S80" si="315">IFERROR(P80/$G80," ")</f>
        <v xml:space="preserve"> </v>
      </c>
      <c r="R80" s="206" t="s">
        <v>643</v>
      </c>
      <c r="S80" s="208" t="str">
        <f t="shared" si="315"/>
        <v xml:space="preserve"> </v>
      </c>
      <c r="T80" s="206" t="s">
        <v>643</v>
      </c>
      <c r="U80" s="208" t="str">
        <f t="shared" ref="U80:W80" si="316">IFERROR(T80/$G80," ")</f>
        <v xml:space="preserve"> </v>
      </c>
      <c r="V80" s="206" t="s">
        <v>643</v>
      </c>
      <c r="W80" s="208" t="str">
        <f t="shared" si="316"/>
        <v xml:space="preserve"> </v>
      </c>
      <c r="X80" s="206" t="s">
        <v>643</v>
      </c>
      <c r="Y80" s="208" t="str">
        <f t="shared" ref="Y80:AA80" si="317">IFERROR(X80/$G80," ")</f>
        <v xml:space="preserve"> </v>
      </c>
      <c r="Z80" s="206" t="s">
        <v>643</v>
      </c>
      <c r="AA80" s="208" t="str">
        <f t="shared" si="317"/>
        <v xml:space="preserve"> </v>
      </c>
      <c r="AB80" s="206" t="s">
        <v>643</v>
      </c>
      <c r="AC80" s="208" t="str">
        <f t="shared" ref="AC80:AE80" si="318">IFERROR(AB80/$G80," ")</f>
        <v xml:space="preserve"> </v>
      </c>
      <c r="AD80" s="206" t="s">
        <v>643</v>
      </c>
      <c r="AE80" s="208" t="str">
        <f t="shared" si="318"/>
        <v xml:space="preserve"> </v>
      </c>
      <c r="AF80" s="203"/>
      <c r="AG80" s="205" t="str">
        <f t="shared" si="282"/>
        <v xml:space="preserve"> </v>
      </c>
      <c r="AH80" s="205" t="str">
        <f t="shared" si="75"/>
        <v xml:space="preserve"> </v>
      </c>
      <c r="AI80" s="205" t="str">
        <f t="shared" si="76"/>
        <v xml:space="preserve"> </v>
      </c>
      <c r="AJ80" s="205" t="str">
        <f t="shared" si="77"/>
        <v xml:space="preserve"> </v>
      </c>
      <c r="AK80" s="205" t="str">
        <f t="shared" si="78"/>
        <v xml:space="preserve"> </v>
      </c>
      <c r="AL80" s="205" t="str">
        <f t="shared" si="79"/>
        <v xml:space="preserve"> </v>
      </c>
      <c r="AM80" s="205" t="str">
        <f t="shared" si="80"/>
        <v xml:space="preserve"> </v>
      </c>
      <c r="AN80" s="205" t="str">
        <f t="shared" si="81"/>
        <v xml:space="preserve"> </v>
      </c>
      <c r="AO80" s="205" t="str">
        <f t="shared" si="82"/>
        <v xml:space="preserve"> </v>
      </c>
      <c r="AP80" s="205" t="str">
        <f t="shared" si="83"/>
        <v xml:space="preserve"> </v>
      </c>
    </row>
    <row r="81" spans="1:42" x14ac:dyDescent="0.25">
      <c r="A81" s="202">
        <v>93</v>
      </c>
      <c r="B81" s="203" t="s">
        <v>1218</v>
      </c>
      <c r="C81" s="204" t="s">
        <v>89</v>
      </c>
      <c r="D81" s="203" t="s">
        <v>715</v>
      </c>
      <c r="E81" s="205"/>
      <c r="F81" s="206" t="s">
        <v>643</v>
      </c>
      <c r="G81" s="206" t="s">
        <v>643</v>
      </c>
      <c r="H81" s="207" t="s">
        <v>643</v>
      </c>
      <c r="I81" s="207" t="s">
        <v>643</v>
      </c>
      <c r="J81" s="207" t="s">
        <v>643</v>
      </c>
      <c r="K81" s="206"/>
      <c r="L81" s="206" t="s">
        <v>643</v>
      </c>
      <c r="M81" s="208" t="str">
        <f t="shared" si="276"/>
        <v xml:space="preserve"> </v>
      </c>
      <c r="N81" s="206" t="s">
        <v>643</v>
      </c>
      <c r="O81" s="208" t="str">
        <f t="shared" si="277"/>
        <v xml:space="preserve"> </v>
      </c>
      <c r="P81" s="206" t="s">
        <v>643</v>
      </c>
      <c r="Q81" s="208" t="str">
        <f t="shared" ref="Q81:S81" si="319">IFERROR(P81/$G81," ")</f>
        <v xml:space="preserve"> </v>
      </c>
      <c r="R81" s="206" t="s">
        <v>643</v>
      </c>
      <c r="S81" s="208" t="str">
        <f t="shared" si="319"/>
        <v xml:space="preserve"> </v>
      </c>
      <c r="T81" s="206" t="s">
        <v>643</v>
      </c>
      <c r="U81" s="208" t="str">
        <f t="shared" ref="U81:W81" si="320">IFERROR(T81/$G81," ")</f>
        <v xml:space="preserve"> </v>
      </c>
      <c r="V81" s="206" t="s">
        <v>643</v>
      </c>
      <c r="W81" s="208" t="str">
        <f t="shared" si="320"/>
        <v xml:space="preserve"> </v>
      </c>
      <c r="X81" s="206" t="s">
        <v>643</v>
      </c>
      <c r="Y81" s="208" t="str">
        <f t="shared" ref="Y81:AA81" si="321">IFERROR(X81/$G81," ")</f>
        <v xml:space="preserve"> </v>
      </c>
      <c r="Z81" s="206" t="s">
        <v>643</v>
      </c>
      <c r="AA81" s="208" t="str">
        <f t="shared" si="321"/>
        <v xml:space="preserve"> </v>
      </c>
      <c r="AB81" s="206" t="s">
        <v>643</v>
      </c>
      <c r="AC81" s="208" t="str">
        <f t="shared" ref="AC81:AE81" si="322">IFERROR(AB81/$G81," ")</f>
        <v xml:space="preserve"> </v>
      </c>
      <c r="AD81" s="206" t="s">
        <v>643</v>
      </c>
      <c r="AE81" s="208" t="str">
        <f t="shared" si="322"/>
        <v xml:space="preserve"> </v>
      </c>
      <c r="AF81" s="203"/>
      <c r="AG81" s="205" t="str">
        <f t="shared" si="282"/>
        <v xml:space="preserve"> </v>
      </c>
      <c r="AH81" s="205" t="str">
        <f t="shared" si="75"/>
        <v xml:space="preserve"> </v>
      </c>
      <c r="AI81" s="205" t="str">
        <f t="shared" si="76"/>
        <v xml:space="preserve"> </v>
      </c>
      <c r="AJ81" s="205" t="str">
        <f t="shared" si="77"/>
        <v xml:space="preserve"> </v>
      </c>
      <c r="AK81" s="205" t="str">
        <f t="shared" si="78"/>
        <v xml:space="preserve"> </v>
      </c>
      <c r="AL81" s="205" t="str">
        <f t="shared" si="79"/>
        <v xml:space="preserve"> </v>
      </c>
      <c r="AM81" s="205" t="str">
        <f t="shared" si="80"/>
        <v xml:space="preserve"> </v>
      </c>
      <c r="AN81" s="205" t="str">
        <f t="shared" si="81"/>
        <v xml:space="preserve"> </v>
      </c>
      <c r="AO81" s="205" t="str">
        <f t="shared" si="82"/>
        <v xml:space="preserve"> </v>
      </c>
      <c r="AP81" s="205" t="str">
        <f t="shared" si="83"/>
        <v xml:space="preserve"> </v>
      </c>
    </row>
    <row r="82" spans="1:42" x14ac:dyDescent="0.25">
      <c r="A82" s="202">
        <v>94</v>
      </c>
      <c r="B82" s="203" t="s">
        <v>1233</v>
      </c>
      <c r="C82" s="204" t="s">
        <v>97</v>
      </c>
      <c r="D82" s="203" t="s">
        <v>57</v>
      </c>
      <c r="E82" s="205">
        <f>IFERROR(VLOOKUP(A82,Estimate!A:Q,17,FALSE)," ")</f>
        <v>52163.00630063007</v>
      </c>
      <c r="F82" s="206">
        <v>1135</v>
      </c>
      <c r="G82" s="206">
        <v>1135</v>
      </c>
      <c r="H82" s="207">
        <v>56.56</v>
      </c>
      <c r="I82" s="207">
        <v>64195.6</v>
      </c>
      <c r="J82" s="207">
        <v>64195.6</v>
      </c>
      <c r="K82" s="206"/>
      <c r="L82" s="206"/>
      <c r="M82" s="208">
        <f t="shared" si="276"/>
        <v>0</v>
      </c>
      <c r="N82" s="206">
        <v>1135</v>
      </c>
      <c r="O82" s="208">
        <f t="shared" si="277"/>
        <v>1</v>
      </c>
      <c r="P82" s="206">
        <v>1135</v>
      </c>
      <c r="Q82" s="208">
        <f t="shared" ref="Q82:S82" si="323">IFERROR(P82/$G82," ")</f>
        <v>1</v>
      </c>
      <c r="R82" s="206">
        <v>1135</v>
      </c>
      <c r="S82" s="208">
        <f t="shared" si="323"/>
        <v>1</v>
      </c>
      <c r="T82" s="206">
        <v>1135</v>
      </c>
      <c r="U82" s="208">
        <f t="shared" ref="U82:W82" si="324">IFERROR(T82/$G82," ")</f>
        <v>1</v>
      </c>
      <c r="V82" s="206">
        <v>1135</v>
      </c>
      <c r="W82" s="208">
        <f t="shared" si="324"/>
        <v>1</v>
      </c>
      <c r="X82" s="206">
        <v>1135</v>
      </c>
      <c r="Y82" s="208">
        <f t="shared" ref="Y82:AA82" si="325">IFERROR(X82/$G82," ")</f>
        <v>1</v>
      </c>
      <c r="Z82" s="206">
        <v>1135</v>
      </c>
      <c r="AA82" s="208">
        <f t="shared" si="325"/>
        <v>1</v>
      </c>
      <c r="AB82" s="206">
        <v>1135</v>
      </c>
      <c r="AC82" s="208">
        <f t="shared" ref="AC82:AE82" si="326">IFERROR(AB82/$G82," ")</f>
        <v>1</v>
      </c>
      <c r="AD82" s="206">
        <v>1135</v>
      </c>
      <c r="AE82" s="208">
        <f t="shared" si="326"/>
        <v>1</v>
      </c>
      <c r="AF82" s="203"/>
      <c r="AG82" s="205">
        <f t="shared" si="282"/>
        <v>0</v>
      </c>
      <c r="AH82" s="205">
        <f t="shared" si="75"/>
        <v>64195.600000000006</v>
      </c>
      <c r="AI82" s="205">
        <f t="shared" si="76"/>
        <v>64195.600000000006</v>
      </c>
      <c r="AJ82" s="205">
        <f t="shared" si="77"/>
        <v>64195.600000000006</v>
      </c>
      <c r="AK82" s="205">
        <f t="shared" si="78"/>
        <v>64195.600000000006</v>
      </c>
      <c r="AL82" s="205">
        <f t="shared" si="79"/>
        <v>64195.600000000006</v>
      </c>
      <c r="AM82" s="205">
        <f t="shared" si="80"/>
        <v>64195.600000000006</v>
      </c>
      <c r="AN82" s="205">
        <f t="shared" si="81"/>
        <v>64195.600000000006</v>
      </c>
      <c r="AO82" s="205">
        <f t="shared" si="82"/>
        <v>64195.600000000006</v>
      </c>
      <c r="AP82" s="205">
        <f t="shared" si="83"/>
        <v>64195.600000000006</v>
      </c>
    </row>
    <row r="83" spans="1:42" x14ac:dyDescent="0.25">
      <c r="A83" s="202">
        <v>96</v>
      </c>
      <c r="B83" s="203" t="s">
        <v>1233</v>
      </c>
      <c r="C83" s="204" t="s">
        <v>216</v>
      </c>
      <c r="D83" s="203" t="s">
        <v>57</v>
      </c>
      <c r="E83" s="205">
        <f>IFERROR(VLOOKUP(A83,Estimate!A:Q,17,FALSE)," ")</f>
        <v>63885.87997266803</v>
      </c>
      <c r="F83" s="206">
        <v>1490</v>
      </c>
      <c r="G83" s="206">
        <v>1490</v>
      </c>
      <c r="H83" s="207">
        <v>52.77</v>
      </c>
      <c r="I83" s="207">
        <v>78627.3</v>
      </c>
      <c r="J83" s="207">
        <v>78627.3</v>
      </c>
      <c r="K83" s="206"/>
      <c r="L83" s="206"/>
      <c r="M83" s="208">
        <f t="shared" si="276"/>
        <v>0</v>
      </c>
      <c r="N83" s="206">
        <v>1490</v>
      </c>
      <c r="O83" s="208">
        <f t="shared" si="277"/>
        <v>1</v>
      </c>
      <c r="P83" s="206">
        <v>1490</v>
      </c>
      <c r="Q83" s="208">
        <f t="shared" ref="Q83:S83" si="327">IFERROR(P83/$G83," ")</f>
        <v>1</v>
      </c>
      <c r="R83" s="206">
        <v>1490</v>
      </c>
      <c r="S83" s="208">
        <f t="shared" si="327"/>
        <v>1</v>
      </c>
      <c r="T83" s="206">
        <v>1490</v>
      </c>
      <c r="U83" s="208">
        <f t="shared" ref="U83:W83" si="328">IFERROR(T83/$G83," ")</f>
        <v>1</v>
      </c>
      <c r="V83" s="206">
        <v>1490</v>
      </c>
      <c r="W83" s="208">
        <f t="shared" si="328"/>
        <v>1</v>
      </c>
      <c r="X83" s="206">
        <v>1490</v>
      </c>
      <c r="Y83" s="208">
        <f t="shared" ref="Y83:AA83" si="329">IFERROR(X83/$G83," ")</f>
        <v>1</v>
      </c>
      <c r="Z83" s="206">
        <v>1490</v>
      </c>
      <c r="AA83" s="208">
        <f t="shared" si="329"/>
        <v>1</v>
      </c>
      <c r="AB83" s="206">
        <v>1490</v>
      </c>
      <c r="AC83" s="208">
        <f t="shared" ref="AC83:AE83" si="330">IFERROR(AB83/$G83," ")</f>
        <v>1</v>
      </c>
      <c r="AD83" s="206">
        <v>1490</v>
      </c>
      <c r="AE83" s="208">
        <f t="shared" si="330"/>
        <v>1</v>
      </c>
      <c r="AF83" s="203"/>
      <c r="AG83" s="205">
        <f t="shared" si="282"/>
        <v>0</v>
      </c>
      <c r="AH83" s="205">
        <f t="shared" si="75"/>
        <v>78627.3</v>
      </c>
      <c r="AI83" s="205">
        <f t="shared" si="76"/>
        <v>78627.3</v>
      </c>
      <c r="AJ83" s="205">
        <f t="shared" si="77"/>
        <v>78627.3</v>
      </c>
      <c r="AK83" s="205">
        <f t="shared" si="78"/>
        <v>78627.3</v>
      </c>
      <c r="AL83" s="205">
        <f t="shared" si="79"/>
        <v>78627.3</v>
      </c>
      <c r="AM83" s="205">
        <f t="shared" si="80"/>
        <v>78627.3</v>
      </c>
      <c r="AN83" s="205">
        <f t="shared" si="81"/>
        <v>78627.3</v>
      </c>
      <c r="AO83" s="205">
        <f t="shared" si="82"/>
        <v>78627.3</v>
      </c>
      <c r="AP83" s="205">
        <f t="shared" si="83"/>
        <v>78627.3</v>
      </c>
    </row>
    <row r="84" spans="1:42" x14ac:dyDescent="0.25">
      <c r="A84" s="202">
        <v>97</v>
      </c>
      <c r="B84" s="203" t="s">
        <v>1251</v>
      </c>
      <c r="C84" s="204" t="s">
        <v>218</v>
      </c>
      <c r="D84" s="203" t="s">
        <v>94</v>
      </c>
      <c r="E84" s="205">
        <f>IFERROR(VLOOKUP(A84,Estimate!A:Q,17,FALSE)," ")</f>
        <v>39396</v>
      </c>
      <c r="F84" s="206">
        <v>9380</v>
      </c>
      <c r="G84" s="206">
        <v>9380</v>
      </c>
      <c r="H84" s="207">
        <v>5.17</v>
      </c>
      <c r="I84" s="207">
        <v>48494.6</v>
      </c>
      <c r="J84" s="207">
        <v>48494.6</v>
      </c>
      <c r="K84" s="206"/>
      <c r="L84" s="206"/>
      <c r="M84" s="208">
        <f t="shared" si="276"/>
        <v>0</v>
      </c>
      <c r="N84" s="206">
        <v>9380</v>
      </c>
      <c r="O84" s="208">
        <f t="shared" si="277"/>
        <v>1</v>
      </c>
      <c r="P84" s="206">
        <v>9380</v>
      </c>
      <c r="Q84" s="208">
        <f t="shared" ref="Q84:S84" si="331">IFERROR(P84/$G84," ")</f>
        <v>1</v>
      </c>
      <c r="R84" s="206">
        <v>9380</v>
      </c>
      <c r="S84" s="208">
        <f t="shared" si="331"/>
        <v>1</v>
      </c>
      <c r="T84" s="206">
        <v>9380</v>
      </c>
      <c r="U84" s="208">
        <f t="shared" ref="U84:W84" si="332">IFERROR(T84/$G84," ")</f>
        <v>1</v>
      </c>
      <c r="V84" s="206">
        <v>9380</v>
      </c>
      <c r="W84" s="208">
        <f t="shared" si="332"/>
        <v>1</v>
      </c>
      <c r="X84" s="206">
        <v>9380</v>
      </c>
      <c r="Y84" s="208">
        <f t="shared" ref="Y84:AA84" si="333">IFERROR(X84/$G84," ")</f>
        <v>1</v>
      </c>
      <c r="Z84" s="206">
        <v>9380</v>
      </c>
      <c r="AA84" s="208">
        <f t="shared" si="333"/>
        <v>1</v>
      </c>
      <c r="AB84" s="206">
        <v>9380</v>
      </c>
      <c r="AC84" s="208">
        <f t="shared" ref="AC84:AE84" si="334">IFERROR(AB84/$G84," ")</f>
        <v>1</v>
      </c>
      <c r="AD84" s="206">
        <v>9380</v>
      </c>
      <c r="AE84" s="208">
        <f t="shared" si="334"/>
        <v>1</v>
      </c>
      <c r="AF84" s="203"/>
      <c r="AG84" s="205">
        <f t="shared" si="282"/>
        <v>0</v>
      </c>
      <c r="AH84" s="205">
        <f t="shared" si="75"/>
        <v>48494.6</v>
      </c>
      <c r="AI84" s="205">
        <f t="shared" si="76"/>
        <v>48494.6</v>
      </c>
      <c r="AJ84" s="205">
        <f t="shared" si="77"/>
        <v>48494.6</v>
      </c>
      <c r="AK84" s="205">
        <f t="shared" si="78"/>
        <v>48494.6</v>
      </c>
      <c r="AL84" s="205">
        <f t="shared" si="79"/>
        <v>48494.6</v>
      </c>
      <c r="AM84" s="205">
        <f t="shared" si="80"/>
        <v>48494.6</v>
      </c>
      <c r="AN84" s="205">
        <f t="shared" si="81"/>
        <v>48494.6</v>
      </c>
      <c r="AO84" s="205">
        <f t="shared" si="82"/>
        <v>48494.6</v>
      </c>
      <c r="AP84" s="205">
        <f t="shared" si="83"/>
        <v>48494.6</v>
      </c>
    </row>
    <row r="85" spans="1:42" x14ac:dyDescent="0.25">
      <c r="A85" s="202">
        <v>98</v>
      </c>
      <c r="B85" s="203" t="s">
        <v>1251</v>
      </c>
      <c r="C85" s="204" t="s">
        <v>221</v>
      </c>
      <c r="D85" s="203" t="s">
        <v>94</v>
      </c>
      <c r="E85" s="205">
        <f>IFERROR(VLOOKUP(A85,Estimate!A:Q,17,FALSE)," ")</f>
        <v>78595.02</v>
      </c>
      <c r="F85" s="206">
        <v>9380</v>
      </c>
      <c r="G85" s="206">
        <v>9380</v>
      </c>
      <c r="H85" s="207">
        <v>10.31</v>
      </c>
      <c r="I85" s="207">
        <v>96707.8</v>
      </c>
      <c r="J85" s="207">
        <v>96707.8</v>
      </c>
      <c r="K85" s="206"/>
      <c r="L85" s="206"/>
      <c r="M85" s="208">
        <f t="shared" si="276"/>
        <v>0</v>
      </c>
      <c r="N85" s="206"/>
      <c r="O85" s="208">
        <f t="shared" si="277"/>
        <v>0</v>
      </c>
      <c r="P85" s="206"/>
      <c r="Q85" s="208">
        <f t="shared" ref="Q85:S85" si="335">IFERROR(P85/$G85," ")</f>
        <v>0</v>
      </c>
      <c r="R85" s="206">
        <v>9380</v>
      </c>
      <c r="S85" s="208">
        <f t="shared" si="335"/>
        <v>1</v>
      </c>
      <c r="T85" s="206">
        <v>9380</v>
      </c>
      <c r="U85" s="208">
        <f t="shared" ref="U85:W85" si="336">IFERROR(T85/$G85," ")</f>
        <v>1</v>
      </c>
      <c r="V85" s="206">
        <v>9380</v>
      </c>
      <c r="W85" s="208">
        <f t="shared" si="336"/>
        <v>1</v>
      </c>
      <c r="X85" s="206">
        <v>9380</v>
      </c>
      <c r="Y85" s="208">
        <f t="shared" ref="Y85:AA85" si="337">IFERROR(X85/$G85," ")</f>
        <v>1</v>
      </c>
      <c r="Z85" s="206">
        <v>9380</v>
      </c>
      <c r="AA85" s="208">
        <f t="shared" si="337"/>
        <v>1</v>
      </c>
      <c r="AB85" s="206">
        <v>9380</v>
      </c>
      <c r="AC85" s="208">
        <f t="shared" ref="AC85:AE85" si="338">IFERROR(AB85/$G85," ")</f>
        <v>1</v>
      </c>
      <c r="AD85" s="206">
        <v>9380</v>
      </c>
      <c r="AE85" s="208">
        <f t="shared" si="338"/>
        <v>1</v>
      </c>
      <c r="AF85" s="203"/>
      <c r="AG85" s="205">
        <f t="shared" si="282"/>
        <v>0</v>
      </c>
      <c r="AH85" s="205">
        <f t="shared" si="75"/>
        <v>0</v>
      </c>
      <c r="AI85" s="205">
        <f t="shared" si="76"/>
        <v>0</v>
      </c>
      <c r="AJ85" s="205">
        <f t="shared" si="77"/>
        <v>96707.8</v>
      </c>
      <c r="AK85" s="205">
        <f t="shared" si="78"/>
        <v>96707.8</v>
      </c>
      <c r="AL85" s="205">
        <f t="shared" si="79"/>
        <v>96707.8</v>
      </c>
      <c r="AM85" s="205">
        <f t="shared" si="80"/>
        <v>96707.8</v>
      </c>
      <c r="AN85" s="205">
        <f t="shared" si="81"/>
        <v>96707.8</v>
      </c>
      <c r="AO85" s="205">
        <f t="shared" si="82"/>
        <v>96707.8</v>
      </c>
      <c r="AP85" s="205">
        <f t="shared" si="83"/>
        <v>96707.8</v>
      </c>
    </row>
    <row r="86" spans="1:42" x14ac:dyDescent="0.25">
      <c r="A86" s="202">
        <v>99</v>
      </c>
      <c r="B86" s="203" t="s">
        <v>1252</v>
      </c>
      <c r="C86" s="204" t="s">
        <v>224</v>
      </c>
      <c r="D86" s="203" t="s">
        <v>45</v>
      </c>
      <c r="E86" s="205">
        <f>IFERROR(VLOOKUP(A86,Estimate!A:Q,17,FALSE)," ")</f>
        <v>6808</v>
      </c>
      <c r="F86" s="206">
        <v>3404</v>
      </c>
      <c r="G86" s="206">
        <v>3404</v>
      </c>
      <c r="H86" s="207">
        <v>2.46</v>
      </c>
      <c r="I86" s="207">
        <v>8373.84</v>
      </c>
      <c r="J86" s="207">
        <v>8373.84</v>
      </c>
      <c r="K86" s="206"/>
      <c r="L86" s="206"/>
      <c r="M86" s="208">
        <f t="shared" si="276"/>
        <v>0</v>
      </c>
      <c r="N86" s="206"/>
      <c r="O86" s="208">
        <f t="shared" si="277"/>
        <v>0</v>
      </c>
      <c r="P86" s="206"/>
      <c r="Q86" s="208">
        <f t="shared" ref="Q86:S86" si="339">IFERROR(P86/$G86," ")</f>
        <v>0</v>
      </c>
      <c r="R86" s="206"/>
      <c r="S86" s="208">
        <f t="shared" si="339"/>
        <v>0</v>
      </c>
      <c r="T86" s="206"/>
      <c r="U86" s="208">
        <f t="shared" ref="U86:W86" si="340">IFERROR(T86/$G86," ")</f>
        <v>0</v>
      </c>
      <c r="V86" s="206">
        <v>3404</v>
      </c>
      <c r="W86" s="208">
        <f t="shared" si="340"/>
        <v>1</v>
      </c>
      <c r="X86" s="206">
        <v>3404</v>
      </c>
      <c r="Y86" s="208">
        <f t="shared" ref="Y86:AA86" si="341">IFERROR(X86/$G86," ")</f>
        <v>1</v>
      </c>
      <c r="Z86" s="206">
        <v>3404</v>
      </c>
      <c r="AA86" s="208">
        <f t="shared" si="341"/>
        <v>1</v>
      </c>
      <c r="AB86" s="206">
        <v>3404</v>
      </c>
      <c r="AC86" s="208">
        <f t="shared" ref="AC86:AE86" si="342">IFERROR(AB86/$G86," ")</f>
        <v>1</v>
      </c>
      <c r="AD86" s="206">
        <v>3404</v>
      </c>
      <c r="AE86" s="208">
        <f t="shared" si="342"/>
        <v>1</v>
      </c>
      <c r="AF86" s="203"/>
      <c r="AG86" s="205">
        <f t="shared" si="282"/>
        <v>0</v>
      </c>
      <c r="AH86" s="205">
        <f t="shared" ref="AH86:AH100" si="343">IFERROR(N86*$H86," ")</f>
        <v>0</v>
      </c>
      <c r="AI86" s="205">
        <f t="shared" ref="AI86:AI100" si="344">IFERROR(P86*$H86," ")</f>
        <v>0</v>
      </c>
      <c r="AJ86" s="205">
        <f t="shared" ref="AJ86:AJ100" si="345">IFERROR(R86*$H86," ")</f>
        <v>0</v>
      </c>
      <c r="AK86" s="205">
        <f t="shared" ref="AK86:AK100" si="346">IFERROR(T86*$H86," ")</f>
        <v>0</v>
      </c>
      <c r="AL86" s="205">
        <f t="shared" ref="AL86:AL100" si="347">IFERROR(V86*$H86," ")</f>
        <v>8373.84</v>
      </c>
      <c r="AM86" s="205">
        <f t="shared" ref="AM86:AM100" si="348">IFERROR(X86*$H86," ")</f>
        <v>8373.84</v>
      </c>
      <c r="AN86" s="205">
        <f t="shared" ref="AN86:AN100" si="349">IFERROR(Z86*$H86," ")</f>
        <v>8373.84</v>
      </c>
      <c r="AO86" s="205">
        <f t="shared" ref="AO86:AO100" si="350">IFERROR(AB86*$H86," ")</f>
        <v>8373.84</v>
      </c>
      <c r="AP86" s="205">
        <f t="shared" ref="AP86:AP97" si="351">IFERROR(AD86*$H86," ")</f>
        <v>8373.84</v>
      </c>
    </row>
    <row r="87" spans="1:42" x14ac:dyDescent="0.25">
      <c r="A87" s="202">
        <v>100</v>
      </c>
      <c r="B87" s="203" t="s">
        <v>1253</v>
      </c>
      <c r="C87" s="204" t="s">
        <v>227</v>
      </c>
      <c r="D87" s="203" t="s">
        <v>17</v>
      </c>
      <c r="E87" s="205">
        <f>IFERROR(VLOOKUP(A87,Estimate!A:Q,17,FALSE)," ")</f>
        <v>2000</v>
      </c>
      <c r="F87" s="206">
        <v>1</v>
      </c>
      <c r="G87" s="206">
        <v>1</v>
      </c>
      <c r="H87" s="207">
        <v>2461.37</v>
      </c>
      <c r="I87" s="207">
        <v>2461.37</v>
      </c>
      <c r="J87" s="207">
        <v>2461.37</v>
      </c>
      <c r="K87" s="206"/>
      <c r="L87" s="206"/>
      <c r="M87" s="208">
        <f t="shared" si="276"/>
        <v>0</v>
      </c>
      <c r="N87" s="206"/>
      <c r="O87" s="208">
        <f t="shared" si="277"/>
        <v>0</v>
      </c>
      <c r="P87" s="206"/>
      <c r="Q87" s="208">
        <f t="shared" ref="Q87:S87" si="352">IFERROR(P87/$G87," ")</f>
        <v>0</v>
      </c>
      <c r="R87" s="206"/>
      <c r="S87" s="208">
        <f t="shared" si="352"/>
        <v>0</v>
      </c>
      <c r="T87" s="206"/>
      <c r="U87" s="208">
        <f t="shared" ref="U87:W87" si="353">IFERROR(T87/$G87," ")</f>
        <v>0</v>
      </c>
      <c r="V87" s="206">
        <v>1</v>
      </c>
      <c r="W87" s="208">
        <f t="shared" si="353"/>
        <v>1</v>
      </c>
      <c r="X87" s="206">
        <v>1</v>
      </c>
      <c r="Y87" s="208">
        <f t="shared" ref="Y87:AA87" si="354">IFERROR(X87/$G87," ")</f>
        <v>1</v>
      </c>
      <c r="Z87" s="206">
        <v>1</v>
      </c>
      <c r="AA87" s="208">
        <f t="shared" si="354"/>
        <v>1</v>
      </c>
      <c r="AB87" s="206">
        <v>1</v>
      </c>
      <c r="AC87" s="208">
        <f t="shared" ref="AC87:AE87" si="355">IFERROR(AB87/$G87," ")</f>
        <v>1</v>
      </c>
      <c r="AD87" s="206">
        <v>1</v>
      </c>
      <c r="AE87" s="208">
        <f t="shared" si="355"/>
        <v>1</v>
      </c>
      <c r="AF87" s="203"/>
      <c r="AG87" s="205">
        <f t="shared" si="282"/>
        <v>0</v>
      </c>
      <c r="AH87" s="205">
        <f t="shared" si="343"/>
        <v>0</v>
      </c>
      <c r="AI87" s="205">
        <f t="shared" si="344"/>
        <v>0</v>
      </c>
      <c r="AJ87" s="205">
        <f t="shared" si="345"/>
        <v>0</v>
      </c>
      <c r="AK87" s="205">
        <f t="shared" si="346"/>
        <v>0</v>
      </c>
      <c r="AL87" s="205">
        <f t="shared" si="347"/>
        <v>2461.37</v>
      </c>
      <c r="AM87" s="205">
        <f t="shared" si="348"/>
        <v>2461.37</v>
      </c>
      <c r="AN87" s="205">
        <f t="shared" si="349"/>
        <v>2461.37</v>
      </c>
      <c r="AO87" s="205">
        <f t="shared" si="350"/>
        <v>2461.37</v>
      </c>
      <c r="AP87" s="205">
        <f t="shared" si="351"/>
        <v>2461.37</v>
      </c>
    </row>
    <row r="88" spans="1:42" x14ac:dyDescent="0.25">
      <c r="A88" s="202">
        <v>101</v>
      </c>
      <c r="B88" s="203" t="s">
        <v>1254</v>
      </c>
      <c r="C88" s="204" t="s">
        <v>229</v>
      </c>
      <c r="D88" s="203" t="s">
        <v>17</v>
      </c>
      <c r="E88" s="205">
        <f>IFERROR(VLOOKUP(A88,Estimate!A:Q,17,FALSE)," ")</f>
        <v>840</v>
      </c>
      <c r="F88" s="206">
        <v>1</v>
      </c>
      <c r="G88" s="206">
        <v>1</v>
      </c>
      <c r="H88" s="207">
        <v>1033.78</v>
      </c>
      <c r="I88" s="207">
        <v>1033.78</v>
      </c>
      <c r="J88" s="207">
        <v>1033.78</v>
      </c>
      <c r="K88" s="206"/>
      <c r="L88" s="206"/>
      <c r="M88" s="208">
        <f t="shared" si="276"/>
        <v>0</v>
      </c>
      <c r="N88" s="206"/>
      <c r="O88" s="208">
        <f t="shared" si="277"/>
        <v>0</v>
      </c>
      <c r="P88" s="206"/>
      <c r="Q88" s="208">
        <f t="shared" ref="Q88:S88" si="356">IFERROR(P88/$G88," ")</f>
        <v>0</v>
      </c>
      <c r="R88" s="206"/>
      <c r="S88" s="208">
        <f t="shared" si="356"/>
        <v>0</v>
      </c>
      <c r="T88" s="206">
        <v>1</v>
      </c>
      <c r="U88" s="208">
        <f t="shared" ref="U88:W88" si="357">IFERROR(T88/$G88," ")</f>
        <v>1</v>
      </c>
      <c r="V88" s="206">
        <v>1</v>
      </c>
      <c r="W88" s="208">
        <f t="shared" si="357"/>
        <v>1</v>
      </c>
      <c r="X88" s="206">
        <v>1</v>
      </c>
      <c r="Y88" s="208">
        <f t="shared" ref="Y88:AA88" si="358">IFERROR(X88/$G88," ")</f>
        <v>1</v>
      </c>
      <c r="Z88" s="206">
        <v>1</v>
      </c>
      <c r="AA88" s="208">
        <f t="shared" si="358"/>
        <v>1</v>
      </c>
      <c r="AB88" s="206">
        <v>1</v>
      </c>
      <c r="AC88" s="208">
        <f t="shared" ref="AC88:AE88" si="359">IFERROR(AB88/$G88," ")</f>
        <v>1</v>
      </c>
      <c r="AD88" s="206">
        <v>1</v>
      </c>
      <c r="AE88" s="208">
        <f t="shared" si="359"/>
        <v>1</v>
      </c>
      <c r="AF88" s="203"/>
      <c r="AG88" s="205">
        <f t="shared" si="282"/>
        <v>0</v>
      </c>
      <c r="AH88" s="205">
        <f t="shared" si="343"/>
        <v>0</v>
      </c>
      <c r="AI88" s="205">
        <f t="shared" si="344"/>
        <v>0</v>
      </c>
      <c r="AJ88" s="205">
        <f t="shared" si="345"/>
        <v>0</v>
      </c>
      <c r="AK88" s="205">
        <f t="shared" si="346"/>
        <v>1033.78</v>
      </c>
      <c r="AL88" s="205">
        <f t="shared" si="347"/>
        <v>1033.78</v>
      </c>
      <c r="AM88" s="205">
        <f t="shared" si="348"/>
        <v>1033.78</v>
      </c>
      <c r="AN88" s="205">
        <f t="shared" si="349"/>
        <v>1033.78</v>
      </c>
      <c r="AO88" s="205">
        <f t="shared" si="350"/>
        <v>1033.78</v>
      </c>
      <c r="AP88" s="205">
        <f t="shared" si="351"/>
        <v>1033.78</v>
      </c>
    </row>
    <row r="89" spans="1:42" x14ac:dyDescent="0.25">
      <c r="A89" s="202">
        <v>102</v>
      </c>
      <c r="B89" s="203" t="s">
        <v>1255</v>
      </c>
      <c r="C89" s="204" t="s">
        <v>231</v>
      </c>
      <c r="D89" s="203" t="s">
        <v>86</v>
      </c>
      <c r="E89" s="205">
        <f>IFERROR(VLOOKUP(A89,Estimate!A:Q,17,FALSE)," ")</f>
        <v>5804.5</v>
      </c>
      <c r="F89" s="206">
        <v>26</v>
      </c>
      <c r="G89" s="206">
        <v>26</v>
      </c>
      <c r="H89" s="207">
        <v>274.75</v>
      </c>
      <c r="I89" s="207">
        <v>7143.5</v>
      </c>
      <c r="J89" s="207">
        <v>7143.5</v>
      </c>
      <c r="K89" s="206"/>
      <c r="L89" s="206"/>
      <c r="M89" s="208">
        <f t="shared" si="276"/>
        <v>0</v>
      </c>
      <c r="N89" s="206"/>
      <c r="O89" s="208">
        <f t="shared" si="277"/>
        <v>0</v>
      </c>
      <c r="P89" s="206"/>
      <c r="Q89" s="208">
        <f t="shared" ref="Q89:S89" si="360">IFERROR(P89/$G89," ")</f>
        <v>0</v>
      </c>
      <c r="R89" s="206"/>
      <c r="S89" s="208">
        <f t="shared" si="360"/>
        <v>0</v>
      </c>
      <c r="T89" s="206">
        <v>25</v>
      </c>
      <c r="U89" s="208">
        <f t="shared" ref="U89:W89" si="361">IFERROR(T89/$G89," ")</f>
        <v>0.96153846153846156</v>
      </c>
      <c r="V89" s="206">
        <v>26</v>
      </c>
      <c r="W89" s="208">
        <f t="shared" si="361"/>
        <v>1</v>
      </c>
      <c r="X89" s="206">
        <v>26</v>
      </c>
      <c r="Y89" s="208">
        <f t="shared" ref="Y89:AA89" si="362">IFERROR(X89/$G89," ")</f>
        <v>1</v>
      </c>
      <c r="Z89" s="206">
        <v>26</v>
      </c>
      <c r="AA89" s="208">
        <f t="shared" si="362"/>
        <v>1</v>
      </c>
      <c r="AB89" s="206">
        <v>26</v>
      </c>
      <c r="AC89" s="208">
        <f t="shared" ref="AC89:AE89" si="363">IFERROR(AB89/$G89," ")</f>
        <v>1</v>
      </c>
      <c r="AD89" s="206">
        <v>26</v>
      </c>
      <c r="AE89" s="208">
        <f t="shared" si="363"/>
        <v>1</v>
      </c>
      <c r="AF89" s="203"/>
      <c r="AG89" s="205">
        <f t="shared" si="282"/>
        <v>0</v>
      </c>
      <c r="AH89" s="205">
        <f t="shared" si="343"/>
        <v>0</v>
      </c>
      <c r="AI89" s="205">
        <f t="shared" si="344"/>
        <v>0</v>
      </c>
      <c r="AJ89" s="205">
        <f t="shared" si="345"/>
        <v>0</v>
      </c>
      <c r="AK89" s="205">
        <f t="shared" si="346"/>
        <v>6868.75</v>
      </c>
      <c r="AL89" s="205">
        <f t="shared" si="347"/>
        <v>7143.5</v>
      </c>
      <c r="AM89" s="205">
        <f t="shared" si="348"/>
        <v>7143.5</v>
      </c>
      <c r="AN89" s="205">
        <f t="shared" si="349"/>
        <v>7143.5</v>
      </c>
      <c r="AO89" s="205">
        <f t="shared" si="350"/>
        <v>7143.5</v>
      </c>
      <c r="AP89" s="205">
        <f t="shared" si="351"/>
        <v>7143.5</v>
      </c>
    </row>
    <row r="90" spans="1:42" x14ac:dyDescent="0.25">
      <c r="A90" s="202">
        <v>103</v>
      </c>
      <c r="B90" s="203" t="s">
        <v>1256</v>
      </c>
      <c r="C90" s="204" t="s">
        <v>234</v>
      </c>
      <c r="D90" s="203" t="s">
        <v>86</v>
      </c>
      <c r="E90" s="205">
        <f>IFERROR(VLOOKUP(A90,Estimate!A:Q,17,FALSE)," ")</f>
        <v>4585</v>
      </c>
      <c r="F90" s="206">
        <v>131</v>
      </c>
      <c r="G90" s="206">
        <v>131</v>
      </c>
      <c r="H90" s="207">
        <v>43.07</v>
      </c>
      <c r="I90" s="207">
        <v>5642.17</v>
      </c>
      <c r="J90" s="207">
        <v>5642.17</v>
      </c>
      <c r="K90" s="206"/>
      <c r="L90" s="206"/>
      <c r="M90" s="208">
        <f t="shared" si="276"/>
        <v>0</v>
      </c>
      <c r="N90" s="206"/>
      <c r="O90" s="208">
        <f t="shared" si="277"/>
        <v>0</v>
      </c>
      <c r="P90" s="206"/>
      <c r="Q90" s="208">
        <f t="shared" ref="Q90:S90" si="364">IFERROR(P90/$G90," ")</f>
        <v>0</v>
      </c>
      <c r="R90" s="206"/>
      <c r="S90" s="208">
        <f t="shared" si="364"/>
        <v>0</v>
      </c>
      <c r="T90" s="206"/>
      <c r="U90" s="208">
        <f t="shared" ref="U90:W90" si="365">IFERROR(T90/$G90," ")</f>
        <v>0</v>
      </c>
      <c r="V90" s="206">
        <v>131</v>
      </c>
      <c r="W90" s="208">
        <f t="shared" si="365"/>
        <v>1</v>
      </c>
      <c r="X90" s="206">
        <v>131</v>
      </c>
      <c r="Y90" s="208">
        <f t="shared" ref="Y90:AA90" si="366">IFERROR(X90/$G90," ")</f>
        <v>1</v>
      </c>
      <c r="Z90" s="206">
        <v>131</v>
      </c>
      <c r="AA90" s="208">
        <f t="shared" si="366"/>
        <v>1</v>
      </c>
      <c r="AB90" s="206">
        <v>131</v>
      </c>
      <c r="AC90" s="208">
        <f t="shared" ref="AC90:AE90" si="367">IFERROR(AB90/$G90," ")</f>
        <v>1</v>
      </c>
      <c r="AD90" s="206">
        <v>131</v>
      </c>
      <c r="AE90" s="208">
        <f t="shared" si="367"/>
        <v>1</v>
      </c>
      <c r="AF90" s="203"/>
      <c r="AG90" s="205">
        <f t="shared" si="282"/>
        <v>0</v>
      </c>
      <c r="AH90" s="205">
        <f t="shared" si="343"/>
        <v>0</v>
      </c>
      <c r="AI90" s="205">
        <f t="shared" si="344"/>
        <v>0</v>
      </c>
      <c r="AJ90" s="205">
        <f t="shared" si="345"/>
        <v>0</v>
      </c>
      <c r="AK90" s="205">
        <f t="shared" si="346"/>
        <v>0</v>
      </c>
      <c r="AL90" s="205">
        <f t="shared" si="347"/>
        <v>5642.17</v>
      </c>
      <c r="AM90" s="205">
        <f t="shared" si="348"/>
        <v>5642.17</v>
      </c>
      <c r="AN90" s="205">
        <f t="shared" si="349"/>
        <v>5642.17</v>
      </c>
      <c r="AO90" s="205">
        <f t="shared" si="350"/>
        <v>5642.17</v>
      </c>
      <c r="AP90" s="205">
        <f t="shared" si="351"/>
        <v>5642.17</v>
      </c>
    </row>
    <row r="91" spans="1:42" x14ac:dyDescent="0.25">
      <c r="A91" s="202"/>
      <c r="B91" s="203" t="s">
        <v>1218</v>
      </c>
      <c r="C91" s="204" t="s">
        <v>643</v>
      </c>
      <c r="D91" s="203" t="s">
        <v>715</v>
      </c>
      <c r="E91" s="205" t="str">
        <f>IFERROR(VLOOKUP(A91,Estimate!A:Q,17,FALSE)," ")</f>
        <v xml:space="preserve"> </v>
      </c>
      <c r="F91" s="206" t="s">
        <v>643</v>
      </c>
      <c r="G91" s="206" t="s">
        <v>643</v>
      </c>
      <c r="H91" s="207" t="s">
        <v>643</v>
      </c>
      <c r="I91" s="207" t="s">
        <v>643</v>
      </c>
      <c r="J91" s="207" t="s">
        <v>643</v>
      </c>
      <c r="K91" s="206"/>
      <c r="L91" s="206" t="s">
        <v>643</v>
      </c>
      <c r="M91" s="208" t="str">
        <f t="shared" si="276"/>
        <v xml:space="preserve"> </v>
      </c>
      <c r="N91" s="206" t="s">
        <v>643</v>
      </c>
      <c r="O91" s="208" t="str">
        <f t="shared" si="277"/>
        <v xml:space="preserve"> </v>
      </c>
      <c r="P91" s="206" t="s">
        <v>643</v>
      </c>
      <c r="Q91" s="208" t="str">
        <f t="shared" ref="Q91:S91" si="368">IFERROR(P91/$G91," ")</f>
        <v xml:space="preserve"> </v>
      </c>
      <c r="R91" s="206" t="s">
        <v>643</v>
      </c>
      <c r="S91" s="208" t="str">
        <f t="shared" si="368"/>
        <v xml:space="preserve"> </v>
      </c>
      <c r="T91" s="206" t="s">
        <v>643</v>
      </c>
      <c r="U91" s="208" t="str">
        <f t="shared" ref="U91:W91" si="369">IFERROR(T91/$G91," ")</f>
        <v xml:space="preserve"> </v>
      </c>
      <c r="V91" s="206" t="s">
        <v>643</v>
      </c>
      <c r="W91" s="208" t="str">
        <f t="shared" si="369"/>
        <v xml:space="preserve"> </v>
      </c>
      <c r="X91" s="206" t="s">
        <v>643</v>
      </c>
      <c r="Y91" s="208" t="str">
        <f t="shared" ref="Y91:AA91" si="370">IFERROR(X91/$G91," ")</f>
        <v xml:space="preserve"> </v>
      </c>
      <c r="Z91" s="206" t="s">
        <v>643</v>
      </c>
      <c r="AA91" s="208" t="str">
        <f t="shared" si="370"/>
        <v xml:space="preserve"> </v>
      </c>
      <c r="AB91" s="206" t="s">
        <v>643</v>
      </c>
      <c r="AC91" s="208" t="str">
        <f t="shared" ref="AC91:AE91" si="371">IFERROR(AB91/$G91," ")</f>
        <v xml:space="preserve"> </v>
      </c>
      <c r="AD91" s="206" t="s">
        <v>643</v>
      </c>
      <c r="AE91" s="208" t="str">
        <f t="shared" si="371"/>
        <v xml:space="preserve"> </v>
      </c>
      <c r="AF91" s="203"/>
      <c r="AG91" s="205" t="str">
        <f t="shared" si="282"/>
        <v xml:space="preserve"> </v>
      </c>
      <c r="AH91" s="205" t="str">
        <f t="shared" si="343"/>
        <v xml:space="preserve"> </v>
      </c>
      <c r="AI91" s="205" t="str">
        <f t="shared" si="344"/>
        <v xml:space="preserve"> </v>
      </c>
      <c r="AJ91" s="205" t="str">
        <f t="shared" si="345"/>
        <v xml:space="preserve"> </v>
      </c>
      <c r="AK91" s="205" t="str">
        <f t="shared" si="346"/>
        <v xml:space="preserve"> </v>
      </c>
      <c r="AL91" s="205" t="str">
        <f t="shared" si="347"/>
        <v xml:space="preserve"> </v>
      </c>
      <c r="AM91" s="205" t="str">
        <f t="shared" si="348"/>
        <v xml:space="preserve"> </v>
      </c>
      <c r="AN91" s="205" t="str">
        <f t="shared" si="349"/>
        <v xml:space="preserve"> </v>
      </c>
      <c r="AO91" s="205" t="str">
        <f t="shared" si="350"/>
        <v xml:space="preserve"> </v>
      </c>
      <c r="AP91" s="205" t="str">
        <f t="shared" si="351"/>
        <v xml:space="preserve"> </v>
      </c>
    </row>
    <row r="92" spans="1:42" x14ac:dyDescent="0.25">
      <c r="A92" s="202">
        <v>104</v>
      </c>
      <c r="B92" s="203" t="s">
        <v>1218</v>
      </c>
      <c r="C92" s="204" t="s">
        <v>115</v>
      </c>
      <c r="D92" s="203" t="s">
        <v>715</v>
      </c>
      <c r="E92" s="205"/>
      <c r="F92" s="206" t="s">
        <v>643</v>
      </c>
      <c r="G92" s="206" t="s">
        <v>643</v>
      </c>
      <c r="H92" s="207" t="s">
        <v>643</v>
      </c>
      <c r="I92" s="207" t="s">
        <v>643</v>
      </c>
      <c r="J92" s="207" t="s">
        <v>643</v>
      </c>
      <c r="K92" s="206"/>
      <c r="L92" s="206" t="s">
        <v>643</v>
      </c>
      <c r="M92" s="208" t="str">
        <f t="shared" si="276"/>
        <v xml:space="preserve"> </v>
      </c>
      <c r="N92" s="206" t="s">
        <v>643</v>
      </c>
      <c r="O92" s="208" t="str">
        <f t="shared" si="277"/>
        <v xml:space="preserve"> </v>
      </c>
      <c r="P92" s="206" t="s">
        <v>643</v>
      </c>
      <c r="Q92" s="208" t="str">
        <f t="shared" ref="Q92:S92" si="372">IFERROR(P92/$G92," ")</f>
        <v xml:space="preserve"> </v>
      </c>
      <c r="R92" s="206" t="s">
        <v>643</v>
      </c>
      <c r="S92" s="208" t="str">
        <f t="shared" si="372"/>
        <v xml:space="preserve"> </v>
      </c>
      <c r="T92" s="206" t="s">
        <v>643</v>
      </c>
      <c r="U92" s="208" t="str">
        <f t="shared" ref="U92:W92" si="373">IFERROR(T92/$G92," ")</f>
        <v xml:space="preserve"> </v>
      </c>
      <c r="V92" s="206" t="s">
        <v>643</v>
      </c>
      <c r="W92" s="208" t="str">
        <f t="shared" si="373"/>
        <v xml:space="preserve"> </v>
      </c>
      <c r="X92" s="206" t="s">
        <v>643</v>
      </c>
      <c r="Y92" s="208" t="str">
        <f t="shared" ref="Y92:AA92" si="374">IFERROR(X92/$G92," ")</f>
        <v xml:space="preserve"> </v>
      </c>
      <c r="Z92" s="206" t="s">
        <v>643</v>
      </c>
      <c r="AA92" s="208" t="str">
        <f t="shared" si="374"/>
        <v xml:space="preserve"> </v>
      </c>
      <c r="AB92" s="206" t="s">
        <v>643</v>
      </c>
      <c r="AC92" s="208" t="str">
        <f t="shared" ref="AC92:AE92" si="375">IFERROR(AB92/$G92," ")</f>
        <v xml:space="preserve"> </v>
      </c>
      <c r="AD92" s="206" t="s">
        <v>643</v>
      </c>
      <c r="AE92" s="208" t="str">
        <f t="shared" si="375"/>
        <v xml:space="preserve"> </v>
      </c>
      <c r="AF92" s="203"/>
      <c r="AG92" s="205" t="str">
        <f t="shared" si="282"/>
        <v xml:space="preserve"> </v>
      </c>
      <c r="AH92" s="205" t="str">
        <f t="shared" si="343"/>
        <v xml:space="preserve"> </v>
      </c>
      <c r="AI92" s="205" t="str">
        <f t="shared" si="344"/>
        <v xml:space="preserve"> </v>
      </c>
      <c r="AJ92" s="205" t="str">
        <f t="shared" si="345"/>
        <v xml:space="preserve"> </v>
      </c>
      <c r="AK92" s="205" t="str">
        <f t="shared" si="346"/>
        <v xml:space="preserve"> </v>
      </c>
      <c r="AL92" s="205" t="str">
        <f t="shared" si="347"/>
        <v xml:space="preserve"> </v>
      </c>
      <c r="AM92" s="205" t="str">
        <f t="shared" si="348"/>
        <v xml:space="preserve"> </v>
      </c>
      <c r="AN92" s="205" t="str">
        <f t="shared" si="349"/>
        <v xml:space="preserve"> </v>
      </c>
      <c r="AO92" s="205" t="str">
        <f t="shared" si="350"/>
        <v xml:space="preserve"> </v>
      </c>
      <c r="AP92" s="205" t="str">
        <f t="shared" si="351"/>
        <v xml:space="preserve"> </v>
      </c>
    </row>
    <row r="93" spans="1:42" x14ac:dyDescent="0.25">
      <c r="A93" s="202">
        <v>105</v>
      </c>
      <c r="B93" s="203" t="s">
        <v>1237</v>
      </c>
      <c r="C93" s="204" t="s">
        <v>238</v>
      </c>
      <c r="D93" s="203" t="s">
        <v>94</v>
      </c>
      <c r="E93" s="205">
        <f>IFERROR(VLOOKUP(A93,Estimate!A:Q,17,FALSE)," ")</f>
        <v>24794</v>
      </c>
      <c r="F93" s="206">
        <v>9200</v>
      </c>
      <c r="G93" s="206">
        <v>9200</v>
      </c>
      <c r="H93" s="207">
        <v>3.32</v>
      </c>
      <c r="I93" s="207">
        <v>30544</v>
      </c>
      <c r="J93" s="207">
        <v>30544</v>
      </c>
      <c r="K93" s="206"/>
      <c r="L93" s="206"/>
      <c r="M93" s="208">
        <f t="shared" si="276"/>
        <v>0</v>
      </c>
      <c r="N93" s="206"/>
      <c r="O93" s="208">
        <f t="shared" si="277"/>
        <v>0</v>
      </c>
      <c r="P93" s="206"/>
      <c r="Q93" s="208">
        <f t="shared" ref="Q93:S93" si="376">IFERROR(P93/$G93," ")</f>
        <v>0</v>
      </c>
      <c r="R93" s="206"/>
      <c r="S93" s="208">
        <f t="shared" si="376"/>
        <v>0</v>
      </c>
      <c r="T93" s="206"/>
      <c r="U93" s="208">
        <f t="shared" ref="U93:W93" si="377">IFERROR(T93/$G93," ")</f>
        <v>0</v>
      </c>
      <c r="V93" s="206"/>
      <c r="W93" s="208">
        <f t="shared" si="377"/>
        <v>0</v>
      </c>
      <c r="X93" s="206"/>
      <c r="Y93" s="208">
        <f t="shared" ref="Y93:AA93" si="378">IFERROR(X93/$G93," ")</f>
        <v>0</v>
      </c>
      <c r="Z93" s="206">
        <v>9200</v>
      </c>
      <c r="AA93" s="208">
        <f t="shared" si="378"/>
        <v>1</v>
      </c>
      <c r="AB93" s="206">
        <v>9200</v>
      </c>
      <c r="AC93" s="208">
        <f t="shared" ref="AC93:AE93" si="379">IFERROR(AB93/$G93," ")</f>
        <v>1</v>
      </c>
      <c r="AD93" s="206">
        <v>9200</v>
      </c>
      <c r="AE93" s="208">
        <f t="shared" si="379"/>
        <v>1</v>
      </c>
      <c r="AF93" s="203"/>
      <c r="AG93" s="205">
        <f t="shared" si="282"/>
        <v>0</v>
      </c>
      <c r="AH93" s="205">
        <f t="shared" si="343"/>
        <v>0</v>
      </c>
      <c r="AI93" s="205">
        <f t="shared" si="344"/>
        <v>0</v>
      </c>
      <c r="AJ93" s="205">
        <f t="shared" si="345"/>
        <v>0</v>
      </c>
      <c r="AK93" s="205">
        <f t="shared" si="346"/>
        <v>0</v>
      </c>
      <c r="AL93" s="205">
        <f t="shared" si="347"/>
        <v>0</v>
      </c>
      <c r="AM93" s="205">
        <f t="shared" si="348"/>
        <v>0</v>
      </c>
      <c r="AN93" s="205">
        <f t="shared" si="349"/>
        <v>30544</v>
      </c>
      <c r="AO93" s="205">
        <f t="shared" si="350"/>
        <v>30544</v>
      </c>
      <c r="AP93" s="205">
        <f t="shared" si="351"/>
        <v>30544</v>
      </c>
    </row>
    <row r="94" spans="1:42" x14ac:dyDescent="0.25">
      <c r="A94" s="202">
        <v>106</v>
      </c>
      <c r="B94" s="203" t="s">
        <v>1238</v>
      </c>
      <c r="C94" s="204" t="s">
        <v>240</v>
      </c>
      <c r="D94" s="203" t="s">
        <v>45</v>
      </c>
      <c r="E94" s="205">
        <f>IFERROR(VLOOKUP(A94,Estimate!A:Q,17,FALSE)," ")</f>
        <v>1590</v>
      </c>
      <c r="F94" s="206">
        <v>53</v>
      </c>
      <c r="G94" s="206">
        <v>53</v>
      </c>
      <c r="H94" s="207">
        <v>36.92</v>
      </c>
      <c r="I94" s="207">
        <v>1956.76</v>
      </c>
      <c r="J94" s="207">
        <v>1956.76</v>
      </c>
      <c r="K94" s="206"/>
      <c r="L94" s="206"/>
      <c r="M94" s="208">
        <f t="shared" si="276"/>
        <v>0</v>
      </c>
      <c r="N94" s="206">
        <v>53</v>
      </c>
      <c r="O94" s="208">
        <f t="shared" si="277"/>
        <v>1</v>
      </c>
      <c r="P94" s="206">
        <v>53</v>
      </c>
      <c r="Q94" s="208">
        <f t="shared" ref="Q94:S94" si="380">IFERROR(P94/$G94," ")</f>
        <v>1</v>
      </c>
      <c r="R94" s="206">
        <v>53</v>
      </c>
      <c r="S94" s="208">
        <f t="shared" si="380"/>
        <v>1</v>
      </c>
      <c r="T94" s="206">
        <v>53</v>
      </c>
      <c r="U94" s="208">
        <f t="shared" ref="U94:W94" si="381">IFERROR(T94/$G94," ")</f>
        <v>1</v>
      </c>
      <c r="V94" s="206">
        <v>53</v>
      </c>
      <c r="W94" s="208">
        <f t="shared" si="381"/>
        <v>1</v>
      </c>
      <c r="X94" s="206">
        <v>53</v>
      </c>
      <c r="Y94" s="208">
        <f t="shared" ref="Y94:AA94" si="382">IFERROR(X94/$G94," ")</f>
        <v>1</v>
      </c>
      <c r="Z94" s="206">
        <v>53</v>
      </c>
      <c r="AA94" s="208">
        <f t="shared" si="382"/>
        <v>1</v>
      </c>
      <c r="AB94" s="206">
        <v>53</v>
      </c>
      <c r="AC94" s="208">
        <f t="shared" ref="AC94:AE94" si="383">IFERROR(AB94/$G94," ")</f>
        <v>1</v>
      </c>
      <c r="AD94" s="206">
        <v>53</v>
      </c>
      <c r="AE94" s="208">
        <f t="shared" si="383"/>
        <v>1</v>
      </c>
      <c r="AF94" s="203"/>
      <c r="AG94" s="205">
        <f t="shared" si="282"/>
        <v>0</v>
      </c>
      <c r="AH94" s="205">
        <f t="shared" si="343"/>
        <v>1956.76</v>
      </c>
      <c r="AI94" s="205">
        <f t="shared" si="344"/>
        <v>1956.76</v>
      </c>
      <c r="AJ94" s="205">
        <f t="shared" si="345"/>
        <v>1956.76</v>
      </c>
      <c r="AK94" s="205">
        <f t="shared" si="346"/>
        <v>1956.76</v>
      </c>
      <c r="AL94" s="205">
        <f t="shared" si="347"/>
        <v>1956.76</v>
      </c>
      <c r="AM94" s="205">
        <f t="shared" si="348"/>
        <v>1956.76</v>
      </c>
      <c r="AN94" s="205">
        <f t="shared" si="349"/>
        <v>1956.76</v>
      </c>
      <c r="AO94" s="205">
        <f t="shared" si="350"/>
        <v>1956.76</v>
      </c>
      <c r="AP94" s="205">
        <f t="shared" si="351"/>
        <v>1956.76</v>
      </c>
    </row>
    <row r="95" spans="1:42" x14ac:dyDescent="0.25">
      <c r="A95" s="202">
        <v>107</v>
      </c>
      <c r="B95" s="203" t="s">
        <v>1218</v>
      </c>
      <c r="C95" s="204" t="s">
        <v>243</v>
      </c>
      <c r="D95" s="203" t="s">
        <v>17</v>
      </c>
      <c r="E95" s="205">
        <f>IFERROR(VLOOKUP(A95,Estimate!A:Q,17,FALSE)," ")</f>
        <v>2430</v>
      </c>
      <c r="F95" s="206">
        <v>1</v>
      </c>
      <c r="G95" s="206">
        <v>1</v>
      </c>
      <c r="H95" s="207">
        <v>2990.57</v>
      </c>
      <c r="I95" s="207">
        <v>2990.57</v>
      </c>
      <c r="J95" s="207">
        <v>2990.57</v>
      </c>
      <c r="K95" s="206"/>
      <c r="L95" s="206">
        <v>1</v>
      </c>
      <c r="M95" s="208">
        <f t="shared" si="276"/>
        <v>1</v>
      </c>
      <c r="N95" s="206">
        <v>1</v>
      </c>
      <c r="O95" s="208">
        <f t="shared" si="277"/>
        <v>1</v>
      </c>
      <c r="P95" s="206">
        <v>1</v>
      </c>
      <c r="Q95" s="208">
        <f t="shared" ref="Q95:S95" si="384">IFERROR(P95/$G95," ")</f>
        <v>1</v>
      </c>
      <c r="R95" s="206">
        <v>1</v>
      </c>
      <c r="S95" s="208">
        <f t="shared" si="384"/>
        <v>1</v>
      </c>
      <c r="T95" s="206">
        <v>1</v>
      </c>
      <c r="U95" s="208">
        <f t="shared" ref="U95:W95" si="385">IFERROR(T95/$G95," ")</f>
        <v>1</v>
      </c>
      <c r="V95" s="206">
        <v>1</v>
      </c>
      <c r="W95" s="208">
        <f t="shared" si="385"/>
        <v>1</v>
      </c>
      <c r="X95" s="206">
        <v>1</v>
      </c>
      <c r="Y95" s="208">
        <f t="shared" ref="Y95:AA95" si="386">IFERROR(X95/$G95," ")</f>
        <v>1</v>
      </c>
      <c r="Z95" s="206">
        <v>1</v>
      </c>
      <c r="AA95" s="208">
        <f t="shared" si="386"/>
        <v>1</v>
      </c>
      <c r="AB95" s="206">
        <v>1</v>
      </c>
      <c r="AC95" s="208">
        <f t="shared" ref="AC95:AE95" si="387">IFERROR(AB95/$G95," ")</f>
        <v>1</v>
      </c>
      <c r="AD95" s="206">
        <v>1</v>
      </c>
      <c r="AE95" s="208">
        <f t="shared" si="387"/>
        <v>1</v>
      </c>
      <c r="AF95" s="203"/>
      <c r="AG95" s="205">
        <f t="shared" si="282"/>
        <v>2990.57</v>
      </c>
      <c r="AH95" s="205">
        <f t="shared" si="343"/>
        <v>2990.57</v>
      </c>
      <c r="AI95" s="205">
        <f t="shared" si="344"/>
        <v>2990.57</v>
      </c>
      <c r="AJ95" s="205">
        <f t="shared" si="345"/>
        <v>2990.57</v>
      </c>
      <c r="AK95" s="205">
        <f t="shared" si="346"/>
        <v>2990.57</v>
      </c>
      <c r="AL95" s="205">
        <f t="shared" si="347"/>
        <v>2990.57</v>
      </c>
      <c r="AM95" s="205">
        <f t="shared" si="348"/>
        <v>2990.57</v>
      </c>
      <c r="AN95" s="205">
        <f t="shared" si="349"/>
        <v>2990.57</v>
      </c>
      <c r="AO95" s="205">
        <f t="shared" si="350"/>
        <v>2990.57</v>
      </c>
      <c r="AP95" s="205">
        <f t="shared" si="351"/>
        <v>2990.57</v>
      </c>
    </row>
    <row r="96" spans="1:42" x14ac:dyDescent="0.25">
      <c r="A96" s="202">
        <v>108</v>
      </c>
      <c r="B96" s="203" t="s">
        <v>1218</v>
      </c>
      <c r="C96" s="204" t="s">
        <v>137</v>
      </c>
      <c r="D96" s="203" t="s">
        <v>17</v>
      </c>
      <c r="E96" s="205">
        <f>IFERROR(VLOOKUP(A96,Estimate!A:Q,17,FALSE)," ")</f>
        <v>8325</v>
      </c>
      <c r="F96" s="206">
        <v>1</v>
      </c>
      <c r="G96" s="206">
        <v>1</v>
      </c>
      <c r="H96" s="207">
        <v>10245.459999999999</v>
      </c>
      <c r="I96" s="207">
        <v>10245.459999999999</v>
      </c>
      <c r="J96" s="207">
        <v>10245.459999999999</v>
      </c>
      <c r="K96" s="206"/>
      <c r="L96" s="206"/>
      <c r="M96" s="208">
        <f t="shared" si="276"/>
        <v>0</v>
      </c>
      <c r="N96" s="206"/>
      <c r="O96" s="208">
        <f t="shared" si="277"/>
        <v>0</v>
      </c>
      <c r="P96" s="206"/>
      <c r="Q96" s="208">
        <f t="shared" ref="Q96:S96" si="388">IFERROR(P96/$G96," ")</f>
        <v>0</v>
      </c>
      <c r="R96" s="206"/>
      <c r="S96" s="208">
        <f t="shared" si="388"/>
        <v>0</v>
      </c>
      <c r="T96" s="206"/>
      <c r="U96" s="208">
        <f t="shared" ref="U96:W96" si="389">IFERROR(T96/$G96," ")</f>
        <v>0</v>
      </c>
      <c r="V96" s="206"/>
      <c r="W96" s="208">
        <f t="shared" si="389"/>
        <v>0</v>
      </c>
      <c r="X96" s="206"/>
      <c r="Y96" s="208">
        <f t="shared" ref="Y96:AA96" si="390">IFERROR(X96/$G96," ")</f>
        <v>0</v>
      </c>
      <c r="Z96" s="206">
        <v>1</v>
      </c>
      <c r="AA96" s="208">
        <f t="shared" si="390"/>
        <v>1</v>
      </c>
      <c r="AB96" s="206">
        <v>1</v>
      </c>
      <c r="AC96" s="208">
        <f t="shared" ref="AC96:AE96" si="391">IFERROR(AB96/$G96," ")</f>
        <v>1</v>
      </c>
      <c r="AD96" s="206">
        <v>1</v>
      </c>
      <c r="AE96" s="208">
        <f t="shared" si="391"/>
        <v>1</v>
      </c>
      <c r="AF96" s="203"/>
      <c r="AG96" s="205">
        <f t="shared" si="282"/>
        <v>0</v>
      </c>
      <c r="AH96" s="205">
        <f t="shared" si="343"/>
        <v>0</v>
      </c>
      <c r="AI96" s="205">
        <f t="shared" si="344"/>
        <v>0</v>
      </c>
      <c r="AJ96" s="205">
        <f t="shared" si="345"/>
        <v>0</v>
      </c>
      <c r="AK96" s="205">
        <f t="shared" si="346"/>
        <v>0</v>
      </c>
      <c r="AL96" s="205">
        <f t="shared" si="347"/>
        <v>0</v>
      </c>
      <c r="AM96" s="205">
        <f t="shared" si="348"/>
        <v>0</v>
      </c>
      <c r="AN96" s="205">
        <f t="shared" si="349"/>
        <v>10245.459999999999</v>
      </c>
      <c r="AO96" s="205">
        <f t="shared" si="350"/>
        <v>10245.459999999999</v>
      </c>
      <c r="AP96" s="205">
        <f t="shared" si="351"/>
        <v>10245.459999999999</v>
      </c>
    </row>
    <row r="97" spans="1:44" x14ac:dyDescent="0.25">
      <c r="A97" s="202"/>
      <c r="B97" s="203" t="s">
        <v>1218</v>
      </c>
      <c r="C97" s="204" t="s">
        <v>643</v>
      </c>
      <c r="D97" s="203" t="s">
        <v>715</v>
      </c>
      <c r="E97" s="205" t="str">
        <f>IFERROR(VLOOKUP(A97,Estimate!A:Q,17,FALSE)," ")</f>
        <v xml:space="preserve"> </v>
      </c>
      <c r="F97" s="206" t="s">
        <v>643</v>
      </c>
      <c r="G97" s="206" t="s">
        <v>643</v>
      </c>
      <c r="H97" s="207" t="s">
        <v>643</v>
      </c>
      <c r="I97" s="207" t="s">
        <v>643</v>
      </c>
      <c r="J97" s="207" t="s">
        <v>643</v>
      </c>
      <c r="K97" s="206"/>
      <c r="L97" s="206" t="s">
        <v>643</v>
      </c>
      <c r="M97" s="208" t="str">
        <f t="shared" si="276"/>
        <v xml:space="preserve"> </v>
      </c>
      <c r="N97" s="206" t="s">
        <v>643</v>
      </c>
      <c r="O97" s="208" t="str">
        <f t="shared" si="277"/>
        <v xml:space="preserve"> </v>
      </c>
      <c r="P97" s="206" t="s">
        <v>643</v>
      </c>
      <c r="Q97" s="208" t="str">
        <f t="shared" ref="Q97:S97" si="392">IFERROR(P97/$G97," ")</f>
        <v xml:space="preserve"> </v>
      </c>
      <c r="R97" s="206" t="s">
        <v>643</v>
      </c>
      <c r="S97" s="208" t="str">
        <f t="shared" si="392"/>
        <v xml:space="preserve"> </v>
      </c>
      <c r="T97" s="206" t="s">
        <v>643</v>
      </c>
      <c r="U97" s="208" t="str">
        <f t="shared" ref="U97:W97" si="393">IFERROR(T97/$G97," ")</f>
        <v xml:space="preserve"> </v>
      </c>
      <c r="V97" s="206" t="s">
        <v>643</v>
      </c>
      <c r="W97" s="208" t="str">
        <f t="shared" si="393"/>
        <v xml:space="preserve"> </v>
      </c>
      <c r="X97" s="206" t="s">
        <v>643</v>
      </c>
      <c r="Y97" s="208" t="str">
        <f t="shared" ref="Y97:AA97" si="394">IFERROR(X97/$G97," ")</f>
        <v xml:space="preserve"> </v>
      </c>
      <c r="Z97" s="206" t="s">
        <v>643</v>
      </c>
      <c r="AA97" s="208" t="str">
        <f t="shared" si="394"/>
        <v xml:space="preserve"> </v>
      </c>
      <c r="AB97" s="206" t="s">
        <v>643</v>
      </c>
      <c r="AC97" s="208" t="str">
        <f t="shared" ref="AC97:AE97" si="395">IFERROR(AB97/$G97," ")</f>
        <v xml:space="preserve"> </v>
      </c>
      <c r="AD97" s="206" t="s">
        <v>643</v>
      </c>
      <c r="AE97" s="208" t="str">
        <f t="shared" si="395"/>
        <v xml:space="preserve"> </v>
      </c>
      <c r="AF97" s="203"/>
      <c r="AG97" s="205" t="str">
        <f t="shared" si="282"/>
        <v xml:space="preserve"> </v>
      </c>
      <c r="AH97" s="205" t="str">
        <f t="shared" si="343"/>
        <v xml:space="preserve"> </v>
      </c>
      <c r="AI97" s="205" t="str">
        <f t="shared" si="344"/>
        <v xml:space="preserve"> </v>
      </c>
      <c r="AJ97" s="205" t="str">
        <f t="shared" si="345"/>
        <v xml:space="preserve"> </v>
      </c>
      <c r="AK97" s="205" t="str">
        <f t="shared" si="346"/>
        <v xml:space="preserve"> </v>
      </c>
      <c r="AL97" s="205" t="str">
        <f t="shared" si="347"/>
        <v xml:space="preserve"> </v>
      </c>
      <c r="AM97" s="205" t="str">
        <f t="shared" si="348"/>
        <v xml:space="preserve"> </v>
      </c>
      <c r="AN97" s="205" t="str">
        <f t="shared" si="349"/>
        <v xml:space="preserve"> </v>
      </c>
      <c r="AO97" s="205" t="str">
        <f t="shared" si="350"/>
        <v xml:space="preserve"> </v>
      </c>
      <c r="AP97" s="205" t="str">
        <f t="shared" si="351"/>
        <v xml:space="preserve"> </v>
      </c>
    </row>
    <row r="98" spans="1:44" x14ac:dyDescent="0.25">
      <c r="A98" s="202"/>
      <c r="B98" s="209" t="s">
        <v>1218</v>
      </c>
      <c r="C98" s="210" t="s">
        <v>1257</v>
      </c>
      <c r="D98" s="209" t="s">
        <v>715</v>
      </c>
      <c r="E98" s="205" t="str">
        <f>IFERROR(VLOOKUP(A98,Estimate!A:Q,17,FALSE)," ")</f>
        <v xml:space="preserve"> </v>
      </c>
      <c r="F98" s="211" t="s">
        <v>643</v>
      </c>
      <c r="G98" s="211" t="s">
        <v>643</v>
      </c>
      <c r="H98" s="212" t="s">
        <v>643</v>
      </c>
      <c r="I98" s="212">
        <v>973932.27</v>
      </c>
      <c r="J98" s="212" t="s">
        <v>643</v>
      </c>
      <c r="K98" s="211"/>
      <c r="L98" s="211" t="s">
        <v>643</v>
      </c>
      <c r="M98" s="208" t="str">
        <f t="shared" si="276"/>
        <v xml:space="preserve"> </v>
      </c>
      <c r="N98" s="211" t="s">
        <v>643</v>
      </c>
      <c r="O98" s="208" t="str">
        <f t="shared" si="277"/>
        <v xml:space="preserve"> </v>
      </c>
      <c r="P98" s="211" t="s">
        <v>643</v>
      </c>
      <c r="Q98" s="208" t="str">
        <f t="shared" ref="Q98:S98" si="396">IFERROR(P98/$G98," ")</f>
        <v xml:space="preserve"> </v>
      </c>
      <c r="R98" s="211" t="s">
        <v>643</v>
      </c>
      <c r="S98" s="208" t="str">
        <f t="shared" si="396"/>
        <v xml:space="preserve"> </v>
      </c>
      <c r="T98" s="211" t="s">
        <v>643</v>
      </c>
      <c r="U98" s="208" t="str">
        <f t="shared" ref="U98:W98" si="397">IFERROR(T98/$G98," ")</f>
        <v xml:space="preserve"> </v>
      </c>
      <c r="V98" s="211" t="s">
        <v>643</v>
      </c>
      <c r="W98" s="208" t="str">
        <f t="shared" si="397"/>
        <v xml:space="preserve"> </v>
      </c>
      <c r="X98" s="211" t="s">
        <v>643</v>
      </c>
      <c r="Y98" s="208" t="str">
        <f t="shared" ref="Y98:AA98" si="398">IFERROR(X98/$G98," ")</f>
        <v xml:space="preserve"> </v>
      </c>
      <c r="Z98" s="211" t="s">
        <v>643</v>
      </c>
      <c r="AA98" s="208" t="str">
        <f t="shared" si="398"/>
        <v xml:space="preserve"> </v>
      </c>
      <c r="AB98" s="211" t="s">
        <v>643</v>
      </c>
      <c r="AC98" s="208" t="str">
        <f t="shared" ref="AC98:AE98" si="399">IFERROR(AB98/$G98," ")</f>
        <v xml:space="preserve"> </v>
      </c>
      <c r="AD98" s="211" t="s">
        <v>643</v>
      </c>
      <c r="AE98" s="208" t="str">
        <f t="shared" si="399"/>
        <v xml:space="preserve"> </v>
      </c>
      <c r="AF98" s="203"/>
      <c r="AG98" s="205" t="str">
        <f t="shared" si="282"/>
        <v xml:space="preserve"> </v>
      </c>
      <c r="AH98" s="205" t="str">
        <f t="shared" si="343"/>
        <v xml:space="preserve"> </v>
      </c>
      <c r="AI98" s="205" t="str">
        <f t="shared" si="344"/>
        <v xml:space="preserve"> </v>
      </c>
      <c r="AJ98" s="205" t="str">
        <f t="shared" si="345"/>
        <v xml:space="preserve"> </v>
      </c>
      <c r="AK98" s="205" t="str">
        <f t="shared" si="346"/>
        <v xml:space="preserve"> </v>
      </c>
      <c r="AL98" s="205" t="str">
        <f t="shared" si="347"/>
        <v xml:space="preserve"> </v>
      </c>
      <c r="AM98" s="205" t="str">
        <f t="shared" si="348"/>
        <v xml:space="preserve"> </v>
      </c>
      <c r="AN98" s="205" t="str">
        <f t="shared" si="349"/>
        <v xml:space="preserve"> </v>
      </c>
      <c r="AO98" s="205" t="str">
        <f t="shared" si="350"/>
        <v xml:space="preserve"> </v>
      </c>
      <c r="AP98" s="205"/>
      <c r="AR98" s="192"/>
    </row>
    <row r="99" spans="1:44" x14ac:dyDescent="0.25">
      <c r="A99" s="202"/>
      <c r="B99" s="203" t="s">
        <v>643</v>
      </c>
      <c r="C99" s="204" t="s">
        <v>643</v>
      </c>
      <c r="D99" s="203" t="s">
        <v>643</v>
      </c>
      <c r="E99" s="205" t="str">
        <f>IFERROR(VLOOKUP(A99,Estimate!A:Q,17,FALSE)," ")</f>
        <v xml:space="preserve"> </v>
      </c>
      <c r="F99" s="206" t="s">
        <v>643</v>
      </c>
      <c r="G99" s="206" t="s">
        <v>643</v>
      </c>
      <c r="H99" s="207" t="s">
        <v>643</v>
      </c>
      <c r="I99" s="207" t="s">
        <v>643</v>
      </c>
      <c r="J99" s="207" t="s">
        <v>643</v>
      </c>
      <c r="K99" s="206"/>
      <c r="L99" s="206" t="s">
        <v>643</v>
      </c>
      <c r="M99" s="208" t="str">
        <f t="shared" si="276"/>
        <v xml:space="preserve"> </v>
      </c>
      <c r="N99" s="206" t="s">
        <v>643</v>
      </c>
      <c r="O99" s="208" t="str">
        <f t="shared" si="277"/>
        <v xml:space="preserve"> </v>
      </c>
      <c r="P99" s="206" t="s">
        <v>643</v>
      </c>
      <c r="Q99" s="208" t="str">
        <f t="shared" ref="Q99:S99" si="400">IFERROR(P99/$G99," ")</f>
        <v xml:space="preserve"> </v>
      </c>
      <c r="R99" s="206" t="s">
        <v>643</v>
      </c>
      <c r="S99" s="208" t="str">
        <f t="shared" si="400"/>
        <v xml:space="preserve"> </v>
      </c>
      <c r="T99" s="206" t="s">
        <v>643</v>
      </c>
      <c r="U99" s="208" t="str">
        <f t="shared" ref="U99:W99" si="401">IFERROR(T99/$G99," ")</f>
        <v xml:space="preserve"> </v>
      </c>
      <c r="V99" s="206" t="s">
        <v>643</v>
      </c>
      <c r="W99" s="208" t="str">
        <f t="shared" si="401"/>
        <v xml:space="preserve"> </v>
      </c>
      <c r="X99" s="206" t="s">
        <v>643</v>
      </c>
      <c r="Y99" s="208" t="str">
        <f t="shared" ref="Y99:AA99" si="402">IFERROR(X99/$G99," ")</f>
        <v xml:space="preserve"> </v>
      </c>
      <c r="Z99" s="206" t="s">
        <v>643</v>
      </c>
      <c r="AA99" s="208" t="str">
        <f t="shared" si="402"/>
        <v xml:space="preserve"> </v>
      </c>
      <c r="AB99" s="206" t="s">
        <v>643</v>
      </c>
      <c r="AC99" s="208" t="str">
        <f t="shared" ref="AC99:AE99" si="403">IFERROR(AB99/$G99," ")</f>
        <v xml:space="preserve"> </v>
      </c>
      <c r="AD99" s="206" t="s">
        <v>643</v>
      </c>
      <c r="AE99" s="208" t="str">
        <f t="shared" si="403"/>
        <v xml:space="preserve"> </v>
      </c>
      <c r="AF99" s="203"/>
      <c r="AG99" s="205" t="str">
        <f t="shared" si="282"/>
        <v xml:space="preserve"> </v>
      </c>
      <c r="AH99" s="205" t="str">
        <f t="shared" si="343"/>
        <v xml:space="preserve"> </v>
      </c>
      <c r="AI99" s="205" t="str">
        <f t="shared" si="344"/>
        <v xml:space="preserve"> </v>
      </c>
      <c r="AJ99" s="205" t="str">
        <f t="shared" si="345"/>
        <v xml:space="preserve"> </v>
      </c>
      <c r="AK99" s="205" t="str">
        <f t="shared" si="346"/>
        <v xml:space="preserve"> </v>
      </c>
      <c r="AL99" s="205" t="str">
        <f t="shared" si="347"/>
        <v xml:space="preserve"> </v>
      </c>
      <c r="AM99" s="205" t="str">
        <f t="shared" si="348"/>
        <v xml:space="preserve"> </v>
      </c>
      <c r="AN99" s="205" t="str">
        <f t="shared" si="349"/>
        <v xml:space="preserve"> </v>
      </c>
      <c r="AO99" s="205" t="str">
        <f t="shared" si="350"/>
        <v xml:space="preserve"> </v>
      </c>
      <c r="AP99" s="205" t="str">
        <f>IFERROR(AD99*$H99," ")</f>
        <v xml:space="preserve"> </v>
      </c>
    </row>
    <row r="100" spans="1:44" x14ac:dyDescent="0.25">
      <c r="A100" s="202"/>
      <c r="B100" s="203" t="s">
        <v>643</v>
      </c>
      <c r="C100" s="204" t="s">
        <v>643</v>
      </c>
      <c r="D100" s="203" t="s">
        <v>643</v>
      </c>
      <c r="E100" s="205" t="str">
        <f>IFERROR(VLOOKUP(A100,Estimate!A:Q,17,FALSE)," ")</f>
        <v xml:space="preserve"> </v>
      </c>
      <c r="F100" s="206" t="s">
        <v>643</v>
      </c>
      <c r="G100" s="206" t="s">
        <v>643</v>
      </c>
      <c r="H100" s="207" t="s">
        <v>643</v>
      </c>
      <c r="I100" s="207" t="s">
        <v>643</v>
      </c>
      <c r="J100" s="207" t="s">
        <v>643</v>
      </c>
      <c r="K100" s="206"/>
      <c r="L100" s="206" t="s">
        <v>643</v>
      </c>
      <c r="M100" s="208" t="str">
        <f t="shared" si="276"/>
        <v xml:space="preserve"> </v>
      </c>
      <c r="N100" s="206" t="s">
        <v>643</v>
      </c>
      <c r="O100" s="208" t="str">
        <f t="shared" si="277"/>
        <v xml:space="preserve"> </v>
      </c>
      <c r="P100" s="206" t="s">
        <v>643</v>
      </c>
      <c r="Q100" s="208" t="str">
        <f t="shared" ref="Q100:S100" si="404">IFERROR(P100/$G100," ")</f>
        <v xml:space="preserve"> </v>
      </c>
      <c r="R100" s="206" t="s">
        <v>643</v>
      </c>
      <c r="S100" s="208" t="str">
        <f t="shared" si="404"/>
        <v xml:space="preserve"> </v>
      </c>
      <c r="T100" s="206" t="s">
        <v>643</v>
      </c>
      <c r="U100" s="208" t="str">
        <f t="shared" ref="U100:W100" si="405">IFERROR(T100/$G100," ")</f>
        <v xml:space="preserve"> </v>
      </c>
      <c r="V100" s="206" t="s">
        <v>643</v>
      </c>
      <c r="W100" s="208" t="str">
        <f t="shared" si="405"/>
        <v xml:space="preserve"> </v>
      </c>
      <c r="X100" s="206" t="s">
        <v>643</v>
      </c>
      <c r="Y100" s="208" t="str">
        <f t="shared" ref="Y100:AA100" si="406">IFERROR(X100/$G100," ")</f>
        <v xml:space="preserve"> </v>
      </c>
      <c r="Z100" s="206" t="s">
        <v>643</v>
      </c>
      <c r="AA100" s="208" t="str">
        <f t="shared" si="406"/>
        <v xml:space="preserve"> </v>
      </c>
      <c r="AB100" s="206" t="s">
        <v>643</v>
      </c>
      <c r="AC100" s="208" t="str">
        <f t="shared" ref="AC100:AE100" si="407">IFERROR(AB100/$G100," ")</f>
        <v xml:space="preserve"> </v>
      </c>
      <c r="AD100" s="206" t="s">
        <v>643</v>
      </c>
      <c r="AE100" s="208" t="str">
        <f t="shared" si="407"/>
        <v xml:space="preserve"> </v>
      </c>
      <c r="AF100" s="203"/>
      <c r="AG100" s="205" t="str">
        <f t="shared" si="282"/>
        <v xml:space="preserve"> </v>
      </c>
      <c r="AH100" s="205" t="str">
        <f t="shared" si="343"/>
        <v xml:space="preserve"> </v>
      </c>
      <c r="AI100" s="205" t="str">
        <f t="shared" si="344"/>
        <v xml:space="preserve"> </v>
      </c>
      <c r="AJ100" s="205" t="str">
        <f t="shared" si="345"/>
        <v xml:space="preserve"> </v>
      </c>
      <c r="AK100" s="205" t="str">
        <f t="shared" si="346"/>
        <v xml:space="preserve"> </v>
      </c>
      <c r="AL100" s="205" t="str">
        <f t="shared" si="347"/>
        <v xml:space="preserve"> </v>
      </c>
      <c r="AM100" s="205" t="str">
        <f t="shared" si="348"/>
        <v xml:space="preserve"> </v>
      </c>
      <c r="AN100" s="205" t="str">
        <f t="shared" si="349"/>
        <v xml:space="preserve"> </v>
      </c>
      <c r="AO100" s="205" t="str">
        <f t="shared" si="350"/>
        <v xml:space="preserve"> </v>
      </c>
      <c r="AP100" s="205" t="str">
        <f>IFERROR(AD100*$H100," ")</f>
        <v xml:space="preserve"> </v>
      </c>
    </row>
    <row r="101" spans="1:44" x14ac:dyDescent="0.25">
      <c r="A101" s="197" t="s">
        <v>643</v>
      </c>
      <c r="B101" s="197" t="s">
        <v>643</v>
      </c>
      <c r="C101" s="198" t="s">
        <v>1258</v>
      </c>
      <c r="D101" s="197" t="s">
        <v>643</v>
      </c>
      <c r="E101" s="199" t="s">
        <v>643</v>
      </c>
      <c r="F101" s="200" t="s">
        <v>643</v>
      </c>
      <c r="G101" s="200" t="s">
        <v>643</v>
      </c>
      <c r="H101" s="201" t="s">
        <v>643</v>
      </c>
      <c r="I101" s="201" t="s">
        <v>643</v>
      </c>
      <c r="J101" s="201" t="s">
        <v>643</v>
      </c>
      <c r="K101" s="200"/>
      <c r="L101" s="200" t="s">
        <v>643</v>
      </c>
      <c r="M101" s="200" t="s">
        <v>643</v>
      </c>
      <c r="N101" s="200" t="s">
        <v>643</v>
      </c>
      <c r="O101" s="200" t="s">
        <v>643</v>
      </c>
      <c r="P101" s="200" t="s">
        <v>643</v>
      </c>
      <c r="Q101" s="200" t="s">
        <v>643</v>
      </c>
      <c r="R101" s="200" t="s">
        <v>643</v>
      </c>
      <c r="S101" s="200" t="s">
        <v>643</v>
      </c>
      <c r="T101" s="200" t="s">
        <v>643</v>
      </c>
      <c r="U101" s="200" t="s">
        <v>643</v>
      </c>
      <c r="V101" s="200" t="s">
        <v>643</v>
      </c>
      <c r="W101" s="200" t="s">
        <v>643</v>
      </c>
      <c r="X101" s="200" t="s">
        <v>643</v>
      </c>
      <c r="Y101" s="200" t="s">
        <v>643</v>
      </c>
      <c r="Z101" s="200" t="s">
        <v>643</v>
      </c>
      <c r="AA101" s="200" t="s">
        <v>643</v>
      </c>
      <c r="AB101" s="200" t="s">
        <v>643</v>
      </c>
      <c r="AC101" s="200" t="s">
        <v>643</v>
      </c>
      <c r="AD101" s="200" t="s">
        <v>643</v>
      </c>
      <c r="AE101" s="200" t="s">
        <v>643</v>
      </c>
      <c r="AF101" s="200" t="s">
        <v>643</v>
      </c>
      <c r="AG101" s="200" t="s">
        <v>643</v>
      </c>
      <c r="AH101" s="200" t="s">
        <v>643</v>
      </c>
      <c r="AI101" s="200" t="s">
        <v>643</v>
      </c>
      <c r="AJ101" s="200" t="s">
        <v>643</v>
      </c>
      <c r="AK101" s="200" t="s">
        <v>643</v>
      </c>
      <c r="AL101" s="200" t="s">
        <v>643</v>
      </c>
      <c r="AM101" s="200" t="s">
        <v>643</v>
      </c>
      <c r="AN101" s="200" t="s">
        <v>643</v>
      </c>
      <c r="AO101" s="200" t="s">
        <v>643</v>
      </c>
      <c r="AP101" s="200" t="s">
        <v>643</v>
      </c>
    </row>
    <row r="102" spans="1:44" x14ac:dyDescent="0.25">
      <c r="A102" s="202"/>
      <c r="B102" s="203" t="s">
        <v>643</v>
      </c>
      <c r="C102" s="204" t="s">
        <v>643</v>
      </c>
      <c r="D102" s="203" t="s">
        <v>643</v>
      </c>
      <c r="E102" s="205" t="str">
        <f>IFERROR(VLOOKUP(A102,Estimate!A:Q,17,FALSE)," ")</f>
        <v xml:space="preserve"> </v>
      </c>
      <c r="F102" s="206" t="s">
        <v>643</v>
      </c>
      <c r="G102" s="206" t="s">
        <v>643</v>
      </c>
      <c r="H102" s="207" t="s">
        <v>643</v>
      </c>
      <c r="I102" s="207" t="s">
        <v>643</v>
      </c>
      <c r="J102" s="207" t="s">
        <v>643</v>
      </c>
      <c r="K102" s="206"/>
      <c r="L102" s="206" t="s">
        <v>643</v>
      </c>
      <c r="M102" s="208" t="str">
        <f t="shared" ref="M102:M120" si="408">IFERROR(L102/$G102," ")</f>
        <v xml:space="preserve"> </v>
      </c>
      <c r="N102" s="206" t="s">
        <v>643</v>
      </c>
      <c r="O102" s="208" t="str">
        <f t="shared" ref="O102:O120" si="409">IFERROR(N102/$G102," ")</f>
        <v xml:space="preserve"> </v>
      </c>
      <c r="P102" s="206" t="s">
        <v>643</v>
      </c>
      <c r="Q102" s="208" t="str">
        <f t="shared" ref="Q102:S102" si="410">IFERROR(P102/$G102," ")</f>
        <v xml:space="preserve"> </v>
      </c>
      <c r="R102" s="206" t="s">
        <v>643</v>
      </c>
      <c r="S102" s="208" t="str">
        <f t="shared" si="410"/>
        <v xml:space="preserve"> </v>
      </c>
      <c r="T102" s="206" t="s">
        <v>643</v>
      </c>
      <c r="U102" s="208" t="str">
        <f t="shared" ref="U102:W102" si="411">IFERROR(T102/$G102," ")</f>
        <v xml:space="preserve"> </v>
      </c>
      <c r="V102" s="206" t="s">
        <v>643</v>
      </c>
      <c r="W102" s="208" t="str">
        <f t="shared" si="411"/>
        <v xml:space="preserve"> </v>
      </c>
      <c r="X102" s="206" t="s">
        <v>643</v>
      </c>
      <c r="Y102" s="208" t="str">
        <f t="shared" ref="Y102:AA102" si="412">IFERROR(X102/$G102," ")</f>
        <v xml:space="preserve"> </v>
      </c>
      <c r="Z102" s="206" t="s">
        <v>643</v>
      </c>
      <c r="AA102" s="208" t="str">
        <f t="shared" si="412"/>
        <v xml:space="preserve"> </v>
      </c>
      <c r="AB102" s="206" t="s">
        <v>643</v>
      </c>
      <c r="AC102" s="208" t="str">
        <f t="shared" ref="AC102:AE102" si="413">IFERROR(AB102/$G102," ")</f>
        <v xml:space="preserve"> </v>
      </c>
      <c r="AD102" s="206" t="s">
        <v>643</v>
      </c>
      <c r="AE102" s="208" t="str">
        <f t="shared" si="413"/>
        <v xml:space="preserve"> </v>
      </c>
      <c r="AF102" s="203"/>
      <c r="AG102" s="205" t="str">
        <f t="shared" ref="AG102:AG120" si="414">IFERROR(L102*$H102," ")</f>
        <v xml:space="preserve"> </v>
      </c>
      <c r="AH102" s="205" t="str">
        <f t="shared" ref="AH102:AH120" si="415">IFERROR(N102*$H102," ")</f>
        <v xml:space="preserve"> </v>
      </c>
      <c r="AI102" s="205" t="str">
        <f t="shared" ref="AI102:AI120" si="416">IFERROR(P102*$H102," ")</f>
        <v xml:space="preserve"> </v>
      </c>
      <c r="AJ102" s="205" t="str">
        <f t="shared" ref="AJ102:AJ120" si="417">IFERROR(R102*$H102," ")</f>
        <v xml:space="preserve"> </v>
      </c>
      <c r="AK102" s="205" t="str">
        <f t="shared" ref="AK102:AK120" si="418">IFERROR(T102*$H102," ")</f>
        <v xml:space="preserve"> </v>
      </c>
      <c r="AL102" s="205" t="str">
        <f t="shared" ref="AL102:AL120" si="419">IFERROR(V102*$H102," ")</f>
        <v xml:space="preserve"> </v>
      </c>
      <c r="AM102" s="205" t="str">
        <f t="shared" ref="AM102:AM120" si="420">IFERROR(X102*$H102," ")</f>
        <v xml:space="preserve"> </v>
      </c>
      <c r="AN102" s="205" t="str">
        <f t="shared" ref="AN102:AN120" si="421">IFERROR(Z102*$H102," ")</f>
        <v xml:space="preserve"> </v>
      </c>
      <c r="AO102" s="205" t="str">
        <f t="shared" ref="AO102:AO120" si="422">IFERROR(AB102*$H102," ")</f>
        <v xml:space="preserve"> </v>
      </c>
      <c r="AP102" s="205" t="str">
        <f t="shared" ref="AP102:AP120" si="423">IFERROR(AD102*$H102," ")</f>
        <v xml:space="preserve"> </v>
      </c>
    </row>
    <row r="103" spans="1:44" x14ac:dyDescent="0.25">
      <c r="A103" s="202">
        <v>109</v>
      </c>
      <c r="B103" s="203" t="s">
        <v>261</v>
      </c>
      <c r="C103" s="204" t="s">
        <v>262</v>
      </c>
      <c r="D103" s="203" t="s">
        <v>23</v>
      </c>
      <c r="E103" s="205">
        <f>IFERROR(VLOOKUP(A103,Estimate!A:Q,17,FALSE)," ")</f>
        <v>-116891.2</v>
      </c>
      <c r="F103" s="206">
        <v>1</v>
      </c>
      <c r="G103" s="206">
        <v>1</v>
      </c>
      <c r="H103" s="207">
        <v>-116891.2</v>
      </c>
      <c r="I103" s="207">
        <v>-116891.2</v>
      </c>
      <c r="J103" s="207">
        <v>-116891.2</v>
      </c>
      <c r="K103" s="206"/>
      <c r="L103" s="206">
        <v>0.41899999999999998</v>
      </c>
      <c r="M103" s="208">
        <f t="shared" si="408"/>
        <v>0.41899999999999998</v>
      </c>
      <c r="N103" s="206">
        <v>1</v>
      </c>
      <c r="O103" s="208">
        <f t="shared" si="409"/>
        <v>1</v>
      </c>
      <c r="P103" s="206">
        <v>1</v>
      </c>
      <c r="Q103" s="208">
        <f t="shared" ref="Q103:S103" si="424">IFERROR(P103/$G103," ")</f>
        <v>1</v>
      </c>
      <c r="R103" s="206">
        <v>1</v>
      </c>
      <c r="S103" s="208">
        <f t="shared" si="424"/>
        <v>1</v>
      </c>
      <c r="T103" s="206">
        <v>1</v>
      </c>
      <c r="U103" s="208">
        <f t="shared" ref="U103:W103" si="425">IFERROR(T103/$G103," ")</f>
        <v>1</v>
      </c>
      <c r="V103" s="206">
        <v>1</v>
      </c>
      <c r="W103" s="208">
        <f t="shared" si="425"/>
        <v>1</v>
      </c>
      <c r="X103" s="206">
        <v>1</v>
      </c>
      <c r="Y103" s="208">
        <f t="shared" ref="Y103:AA103" si="426">IFERROR(X103/$G103," ")</f>
        <v>1</v>
      </c>
      <c r="Z103" s="206">
        <v>1</v>
      </c>
      <c r="AA103" s="208">
        <f t="shared" si="426"/>
        <v>1</v>
      </c>
      <c r="AB103" s="206">
        <v>1</v>
      </c>
      <c r="AC103" s="208">
        <f t="shared" ref="AC103:AE103" si="427">IFERROR(AB103/$G103," ")</f>
        <v>1</v>
      </c>
      <c r="AD103" s="206">
        <v>1</v>
      </c>
      <c r="AE103" s="208">
        <f t="shared" si="427"/>
        <v>1</v>
      </c>
      <c r="AF103" s="203"/>
      <c r="AG103" s="205">
        <f t="shared" si="414"/>
        <v>-48977.412799999998</v>
      </c>
      <c r="AH103" s="205">
        <f t="shared" si="415"/>
        <v>-116891.2</v>
      </c>
      <c r="AI103" s="205">
        <f t="shared" si="416"/>
        <v>-116891.2</v>
      </c>
      <c r="AJ103" s="205">
        <f t="shared" si="417"/>
        <v>-116891.2</v>
      </c>
      <c r="AK103" s="205">
        <f t="shared" si="418"/>
        <v>-116891.2</v>
      </c>
      <c r="AL103" s="205">
        <f t="shared" si="419"/>
        <v>-116891.2</v>
      </c>
      <c r="AM103" s="205">
        <f t="shared" si="420"/>
        <v>-116891.2</v>
      </c>
      <c r="AN103" s="205">
        <f t="shared" si="421"/>
        <v>-116891.2</v>
      </c>
      <c r="AO103" s="205">
        <f t="shared" si="422"/>
        <v>-116891.2</v>
      </c>
      <c r="AP103" s="205">
        <f t="shared" si="423"/>
        <v>-116891.2</v>
      </c>
    </row>
    <row r="104" spans="1:44" x14ac:dyDescent="0.25">
      <c r="A104" s="202">
        <v>110</v>
      </c>
      <c r="B104" s="203" t="s">
        <v>263</v>
      </c>
      <c r="C104" s="204" t="s">
        <v>264</v>
      </c>
      <c r="D104" s="203" t="s">
        <v>23</v>
      </c>
      <c r="E104" s="205">
        <f>IFERROR(VLOOKUP(A104,Estimate!A:Q,17,FALSE)," ")</f>
        <v>991.32065231647027</v>
      </c>
      <c r="F104" s="206">
        <v>1</v>
      </c>
      <c r="G104" s="206">
        <v>1</v>
      </c>
      <c r="H104" s="207">
        <v>3695.45</v>
      </c>
      <c r="I104" s="207">
        <v>3695.45</v>
      </c>
      <c r="J104" s="207">
        <v>3695.45</v>
      </c>
      <c r="K104" s="206"/>
      <c r="L104" s="206"/>
      <c r="M104" s="208">
        <f t="shared" si="408"/>
        <v>0</v>
      </c>
      <c r="N104" s="206"/>
      <c r="O104" s="208">
        <f t="shared" si="409"/>
        <v>0</v>
      </c>
      <c r="P104" s="206">
        <v>1</v>
      </c>
      <c r="Q104" s="208">
        <f t="shared" ref="Q104:S104" si="428">IFERROR(P104/$G104," ")</f>
        <v>1</v>
      </c>
      <c r="R104" s="206">
        <v>1</v>
      </c>
      <c r="S104" s="208">
        <f t="shared" si="428"/>
        <v>1</v>
      </c>
      <c r="T104" s="206">
        <v>1</v>
      </c>
      <c r="U104" s="208">
        <f t="shared" ref="U104:W104" si="429">IFERROR(T104/$G104," ")</f>
        <v>1</v>
      </c>
      <c r="V104" s="206">
        <v>1</v>
      </c>
      <c r="W104" s="208">
        <f t="shared" si="429"/>
        <v>1</v>
      </c>
      <c r="X104" s="206">
        <v>1</v>
      </c>
      <c r="Y104" s="208">
        <f t="shared" ref="Y104:AA104" si="430">IFERROR(X104/$G104," ")</f>
        <v>1</v>
      </c>
      <c r="Z104" s="206">
        <v>1</v>
      </c>
      <c r="AA104" s="208">
        <f t="shared" si="430"/>
        <v>1</v>
      </c>
      <c r="AB104" s="206">
        <v>1</v>
      </c>
      <c r="AC104" s="208">
        <f t="shared" ref="AC104:AE104" si="431">IFERROR(AB104/$G104," ")</f>
        <v>1</v>
      </c>
      <c r="AD104" s="206">
        <v>1</v>
      </c>
      <c r="AE104" s="208">
        <f t="shared" si="431"/>
        <v>1</v>
      </c>
      <c r="AF104" s="203"/>
      <c r="AG104" s="205">
        <f t="shared" si="414"/>
        <v>0</v>
      </c>
      <c r="AH104" s="205">
        <f t="shared" si="415"/>
        <v>0</v>
      </c>
      <c r="AI104" s="205">
        <f t="shared" si="416"/>
        <v>3695.45</v>
      </c>
      <c r="AJ104" s="205">
        <f t="shared" si="417"/>
        <v>3695.45</v>
      </c>
      <c r="AK104" s="205">
        <f t="shared" si="418"/>
        <v>3695.45</v>
      </c>
      <c r="AL104" s="205">
        <f t="shared" si="419"/>
        <v>3695.45</v>
      </c>
      <c r="AM104" s="205">
        <f t="shared" si="420"/>
        <v>3695.45</v>
      </c>
      <c r="AN104" s="205">
        <f t="shared" si="421"/>
        <v>3695.45</v>
      </c>
      <c r="AO104" s="205">
        <f t="shared" si="422"/>
        <v>3695.45</v>
      </c>
      <c r="AP104" s="205">
        <f t="shared" si="423"/>
        <v>3695.45</v>
      </c>
    </row>
    <row r="105" spans="1:44" x14ac:dyDescent="0.25">
      <c r="A105" s="202">
        <v>112</v>
      </c>
      <c r="B105" s="203" t="s">
        <v>265</v>
      </c>
      <c r="C105" s="204" t="s">
        <v>266</v>
      </c>
      <c r="D105" s="203" t="s">
        <v>23</v>
      </c>
      <c r="E105" s="205">
        <f>IFERROR(VLOOKUP(A105,Estimate!A:Q,17,FALSE)," ")</f>
        <v>10735.410000000002</v>
      </c>
      <c r="F105" s="206">
        <v>1</v>
      </c>
      <c r="G105" s="206">
        <v>1</v>
      </c>
      <c r="H105" s="207">
        <v>10224.200000000001</v>
      </c>
      <c r="I105" s="207">
        <v>10224.200000000001</v>
      </c>
      <c r="J105" s="207">
        <v>10224.200000000001</v>
      </c>
      <c r="K105" s="206"/>
      <c r="L105" s="206"/>
      <c r="M105" s="208">
        <f t="shared" si="408"/>
        <v>0</v>
      </c>
      <c r="N105" s="206"/>
      <c r="O105" s="208">
        <f t="shared" si="409"/>
        <v>0</v>
      </c>
      <c r="P105" s="206">
        <v>1</v>
      </c>
      <c r="Q105" s="208">
        <f t="shared" ref="Q105:S105" si="432">IFERROR(P105/$G105," ")</f>
        <v>1</v>
      </c>
      <c r="R105" s="206">
        <v>1</v>
      </c>
      <c r="S105" s="208">
        <f t="shared" si="432"/>
        <v>1</v>
      </c>
      <c r="T105" s="206">
        <v>1</v>
      </c>
      <c r="U105" s="208">
        <f t="shared" ref="U105:W105" si="433">IFERROR(T105/$G105," ")</f>
        <v>1</v>
      </c>
      <c r="V105" s="206">
        <v>1</v>
      </c>
      <c r="W105" s="208">
        <f t="shared" si="433"/>
        <v>1</v>
      </c>
      <c r="X105" s="206">
        <v>1</v>
      </c>
      <c r="Y105" s="208">
        <f t="shared" ref="Y105:AA105" si="434">IFERROR(X105/$G105," ")</f>
        <v>1</v>
      </c>
      <c r="Z105" s="206">
        <v>1</v>
      </c>
      <c r="AA105" s="208">
        <f t="shared" si="434"/>
        <v>1</v>
      </c>
      <c r="AB105" s="206">
        <v>1</v>
      </c>
      <c r="AC105" s="208">
        <f t="shared" ref="AC105:AE105" si="435">IFERROR(AB105/$G105," ")</f>
        <v>1</v>
      </c>
      <c r="AD105" s="206">
        <v>1</v>
      </c>
      <c r="AE105" s="208">
        <f t="shared" si="435"/>
        <v>1</v>
      </c>
      <c r="AF105" s="203"/>
      <c r="AG105" s="205">
        <f t="shared" si="414"/>
        <v>0</v>
      </c>
      <c r="AH105" s="205">
        <f t="shared" si="415"/>
        <v>0</v>
      </c>
      <c r="AI105" s="205">
        <f t="shared" si="416"/>
        <v>10224.200000000001</v>
      </c>
      <c r="AJ105" s="205">
        <f t="shared" si="417"/>
        <v>10224.200000000001</v>
      </c>
      <c r="AK105" s="205">
        <f t="shared" si="418"/>
        <v>10224.200000000001</v>
      </c>
      <c r="AL105" s="205">
        <f t="shared" si="419"/>
        <v>10224.200000000001</v>
      </c>
      <c r="AM105" s="205">
        <f t="shared" si="420"/>
        <v>10224.200000000001</v>
      </c>
      <c r="AN105" s="205">
        <f t="shared" si="421"/>
        <v>10224.200000000001</v>
      </c>
      <c r="AO105" s="205">
        <f t="shared" si="422"/>
        <v>10224.200000000001</v>
      </c>
      <c r="AP105" s="205">
        <f t="shared" si="423"/>
        <v>10224.200000000001</v>
      </c>
    </row>
    <row r="106" spans="1:44" x14ac:dyDescent="0.25">
      <c r="A106" s="202">
        <v>113</v>
      </c>
      <c r="B106" s="203" t="s">
        <v>267</v>
      </c>
      <c r="C106" s="204" t="s">
        <v>268</v>
      </c>
      <c r="D106" s="203" t="s">
        <v>23</v>
      </c>
      <c r="E106" s="205">
        <f>IFERROR(VLOOKUP(A106,Estimate!A:Q,17,FALSE)," ")</f>
        <v>2072.8397839783979</v>
      </c>
      <c r="F106" s="206">
        <v>1</v>
      </c>
      <c r="G106" s="206">
        <v>1</v>
      </c>
      <c r="H106" s="207">
        <v>2550.16</v>
      </c>
      <c r="I106" s="207">
        <v>2550.16</v>
      </c>
      <c r="J106" s="207">
        <v>2550.16</v>
      </c>
      <c r="K106" s="206"/>
      <c r="L106" s="206"/>
      <c r="M106" s="208">
        <f t="shared" si="408"/>
        <v>0</v>
      </c>
      <c r="N106" s="206"/>
      <c r="O106" s="208">
        <f t="shared" si="409"/>
        <v>0</v>
      </c>
      <c r="P106" s="206">
        <v>1</v>
      </c>
      <c r="Q106" s="208">
        <f t="shared" ref="Q106:S106" si="436">IFERROR(P106/$G106," ")</f>
        <v>1</v>
      </c>
      <c r="R106" s="206">
        <v>1</v>
      </c>
      <c r="S106" s="208">
        <f t="shared" si="436"/>
        <v>1</v>
      </c>
      <c r="T106" s="206">
        <v>1</v>
      </c>
      <c r="U106" s="208">
        <f t="shared" ref="U106:W106" si="437">IFERROR(T106/$G106," ")</f>
        <v>1</v>
      </c>
      <c r="V106" s="206">
        <v>1</v>
      </c>
      <c r="W106" s="208">
        <f t="shared" si="437"/>
        <v>1</v>
      </c>
      <c r="X106" s="206">
        <v>1</v>
      </c>
      <c r="Y106" s="208">
        <f t="shared" ref="Y106:AA106" si="438">IFERROR(X106/$G106," ")</f>
        <v>1</v>
      </c>
      <c r="Z106" s="206">
        <v>1</v>
      </c>
      <c r="AA106" s="208">
        <f t="shared" si="438"/>
        <v>1</v>
      </c>
      <c r="AB106" s="206">
        <v>1</v>
      </c>
      <c r="AC106" s="208">
        <f t="shared" ref="AC106:AE106" si="439">IFERROR(AB106/$G106," ")</f>
        <v>1</v>
      </c>
      <c r="AD106" s="206">
        <v>1</v>
      </c>
      <c r="AE106" s="208">
        <f t="shared" si="439"/>
        <v>1</v>
      </c>
      <c r="AF106" s="203"/>
      <c r="AG106" s="205">
        <f t="shared" si="414"/>
        <v>0</v>
      </c>
      <c r="AH106" s="205">
        <f t="shared" si="415"/>
        <v>0</v>
      </c>
      <c r="AI106" s="205">
        <f t="shared" si="416"/>
        <v>2550.16</v>
      </c>
      <c r="AJ106" s="205">
        <f t="shared" si="417"/>
        <v>2550.16</v>
      </c>
      <c r="AK106" s="205">
        <f t="shared" si="418"/>
        <v>2550.16</v>
      </c>
      <c r="AL106" s="205">
        <f t="shared" si="419"/>
        <v>2550.16</v>
      </c>
      <c r="AM106" s="205">
        <f t="shared" si="420"/>
        <v>2550.16</v>
      </c>
      <c r="AN106" s="205">
        <f t="shared" si="421"/>
        <v>2550.16</v>
      </c>
      <c r="AO106" s="205">
        <f t="shared" si="422"/>
        <v>2550.16</v>
      </c>
      <c r="AP106" s="205">
        <f t="shared" si="423"/>
        <v>2550.16</v>
      </c>
    </row>
    <row r="107" spans="1:44" x14ac:dyDescent="0.25">
      <c r="A107" s="202">
        <v>114</v>
      </c>
      <c r="B107" s="203" t="s">
        <v>269</v>
      </c>
      <c r="C107" s="204" t="s">
        <v>270</v>
      </c>
      <c r="D107" s="203" t="s">
        <v>23</v>
      </c>
      <c r="E107" s="205">
        <f>IFERROR(VLOOKUP(A107,Estimate!A:Q,17,FALSE)," ")</f>
        <v>-36828.596141177375</v>
      </c>
      <c r="F107" s="206">
        <v>1</v>
      </c>
      <c r="G107" s="206">
        <v>1</v>
      </c>
      <c r="H107" s="207">
        <v>-45576.66</v>
      </c>
      <c r="I107" s="207">
        <v>-45576.66</v>
      </c>
      <c r="J107" s="207">
        <v>-45576.66</v>
      </c>
      <c r="K107" s="206"/>
      <c r="L107" s="206"/>
      <c r="M107" s="208">
        <f t="shared" si="408"/>
        <v>0</v>
      </c>
      <c r="N107" s="206"/>
      <c r="O107" s="208">
        <f t="shared" si="409"/>
        <v>0</v>
      </c>
      <c r="P107" s="206">
        <v>0.18</v>
      </c>
      <c r="Q107" s="208">
        <f t="shared" ref="Q107:S107" si="440">IFERROR(P107/$G107," ")</f>
        <v>0.18</v>
      </c>
      <c r="R107" s="206">
        <v>0.18</v>
      </c>
      <c r="S107" s="208">
        <f t="shared" si="440"/>
        <v>0.18</v>
      </c>
      <c r="T107" s="206">
        <v>0.88</v>
      </c>
      <c r="U107" s="208">
        <f t="shared" ref="U107:W107" si="441">IFERROR(T107/$G107," ")</f>
        <v>0.88</v>
      </c>
      <c r="V107" s="206">
        <v>1</v>
      </c>
      <c r="W107" s="208">
        <f t="shared" si="441"/>
        <v>1</v>
      </c>
      <c r="X107" s="206">
        <v>1</v>
      </c>
      <c r="Y107" s="208">
        <f t="shared" ref="Y107:AA107" si="442">IFERROR(X107/$G107," ")</f>
        <v>1</v>
      </c>
      <c r="Z107" s="206">
        <v>1</v>
      </c>
      <c r="AA107" s="208">
        <f t="shared" si="442"/>
        <v>1</v>
      </c>
      <c r="AB107" s="206">
        <v>1</v>
      </c>
      <c r="AC107" s="208">
        <f t="shared" ref="AC107:AE107" si="443">IFERROR(AB107/$G107," ")</f>
        <v>1</v>
      </c>
      <c r="AD107" s="206">
        <v>1</v>
      </c>
      <c r="AE107" s="208">
        <f t="shared" si="443"/>
        <v>1</v>
      </c>
      <c r="AF107" s="203"/>
      <c r="AG107" s="205">
        <f t="shared" si="414"/>
        <v>0</v>
      </c>
      <c r="AH107" s="205">
        <f t="shared" si="415"/>
        <v>0</v>
      </c>
      <c r="AI107" s="205">
        <f t="shared" si="416"/>
        <v>-8203.7988000000005</v>
      </c>
      <c r="AJ107" s="205">
        <f t="shared" si="417"/>
        <v>-8203.7988000000005</v>
      </c>
      <c r="AK107" s="205">
        <f t="shared" si="418"/>
        <v>-40107.460800000001</v>
      </c>
      <c r="AL107" s="205">
        <f t="shared" si="419"/>
        <v>-45576.66</v>
      </c>
      <c r="AM107" s="205">
        <f t="shared" si="420"/>
        <v>-45576.66</v>
      </c>
      <c r="AN107" s="205">
        <f t="shared" si="421"/>
        <v>-45576.66</v>
      </c>
      <c r="AO107" s="205">
        <f t="shared" si="422"/>
        <v>-45576.66</v>
      </c>
      <c r="AP107" s="205">
        <f t="shared" si="423"/>
        <v>-45576.66</v>
      </c>
    </row>
    <row r="108" spans="1:44" x14ac:dyDescent="0.25">
      <c r="A108" s="202">
        <v>115</v>
      </c>
      <c r="B108" s="203" t="s">
        <v>271</v>
      </c>
      <c r="C108" s="204" t="s">
        <v>272</v>
      </c>
      <c r="D108" s="203" t="s">
        <v>23</v>
      </c>
      <c r="E108" s="205">
        <f>IFERROR(VLOOKUP(A108,Estimate!A:Q,17,FALSE)," ")</f>
        <v>3241.2213114754099</v>
      </c>
      <c r="F108" s="206">
        <v>1</v>
      </c>
      <c r="G108" s="206">
        <v>1</v>
      </c>
      <c r="H108" s="207">
        <v>4171.66</v>
      </c>
      <c r="I108" s="207">
        <v>4171.66</v>
      </c>
      <c r="J108" s="207">
        <v>4171.66</v>
      </c>
      <c r="K108" s="206"/>
      <c r="L108" s="206"/>
      <c r="M108" s="208">
        <f t="shared" si="408"/>
        <v>0</v>
      </c>
      <c r="N108" s="206"/>
      <c r="O108" s="208">
        <f t="shared" si="409"/>
        <v>0</v>
      </c>
      <c r="P108" s="206">
        <v>1</v>
      </c>
      <c r="Q108" s="208">
        <f t="shared" ref="Q108:S108" si="444">IFERROR(P108/$G108," ")</f>
        <v>1</v>
      </c>
      <c r="R108" s="206">
        <v>1</v>
      </c>
      <c r="S108" s="208">
        <f t="shared" si="444"/>
        <v>1</v>
      </c>
      <c r="T108" s="206">
        <v>1</v>
      </c>
      <c r="U108" s="208">
        <f t="shared" ref="U108:W108" si="445">IFERROR(T108/$G108," ")</f>
        <v>1</v>
      </c>
      <c r="V108" s="206">
        <v>1</v>
      </c>
      <c r="W108" s="208">
        <f t="shared" si="445"/>
        <v>1</v>
      </c>
      <c r="X108" s="206">
        <v>1</v>
      </c>
      <c r="Y108" s="208">
        <f t="shared" ref="Y108:AA108" si="446">IFERROR(X108/$G108," ")</f>
        <v>1</v>
      </c>
      <c r="Z108" s="206">
        <v>1</v>
      </c>
      <c r="AA108" s="208">
        <f t="shared" si="446"/>
        <v>1</v>
      </c>
      <c r="AB108" s="206">
        <v>1</v>
      </c>
      <c r="AC108" s="208">
        <f t="shared" ref="AC108:AE108" si="447">IFERROR(AB108/$G108," ")</f>
        <v>1</v>
      </c>
      <c r="AD108" s="206">
        <v>1</v>
      </c>
      <c r="AE108" s="208">
        <f t="shared" si="447"/>
        <v>1</v>
      </c>
      <c r="AF108" s="203"/>
      <c r="AG108" s="205">
        <f t="shared" si="414"/>
        <v>0</v>
      </c>
      <c r="AH108" s="205">
        <f t="shared" si="415"/>
        <v>0</v>
      </c>
      <c r="AI108" s="205">
        <f t="shared" si="416"/>
        <v>4171.66</v>
      </c>
      <c r="AJ108" s="205">
        <f t="shared" si="417"/>
        <v>4171.66</v>
      </c>
      <c r="AK108" s="205">
        <f t="shared" si="418"/>
        <v>4171.66</v>
      </c>
      <c r="AL108" s="205">
        <f t="shared" si="419"/>
        <v>4171.66</v>
      </c>
      <c r="AM108" s="205">
        <f t="shared" si="420"/>
        <v>4171.66</v>
      </c>
      <c r="AN108" s="205">
        <f t="shared" si="421"/>
        <v>4171.66</v>
      </c>
      <c r="AO108" s="205">
        <f t="shared" si="422"/>
        <v>4171.66</v>
      </c>
      <c r="AP108" s="205">
        <f t="shared" si="423"/>
        <v>4171.66</v>
      </c>
    </row>
    <row r="109" spans="1:44" x14ac:dyDescent="0.25">
      <c r="A109" s="202">
        <v>116</v>
      </c>
      <c r="B109" s="203" t="s">
        <v>273</v>
      </c>
      <c r="C109" s="204" t="s">
        <v>274</v>
      </c>
      <c r="D109" s="203" t="s">
        <v>23</v>
      </c>
      <c r="E109" s="205">
        <f>IFERROR(VLOOKUP(A109,Estimate!A:Q,17,FALSE)," ")</f>
        <v>10385.460524145279</v>
      </c>
      <c r="F109" s="206">
        <v>1</v>
      </c>
      <c r="G109" s="206">
        <v>1</v>
      </c>
      <c r="H109" s="207">
        <v>10033.790000000001</v>
      </c>
      <c r="I109" s="207">
        <v>10033.790000000001</v>
      </c>
      <c r="J109" s="207">
        <v>10033.790000000001</v>
      </c>
      <c r="K109" s="206"/>
      <c r="L109" s="206"/>
      <c r="M109" s="208">
        <f t="shared" si="408"/>
        <v>0</v>
      </c>
      <c r="N109" s="206"/>
      <c r="O109" s="208">
        <f t="shared" si="409"/>
        <v>0</v>
      </c>
      <c r="P109" s="206">
        <v>1</v>
      </c>
      <c r="Q109" s="208">
        <f t="shared" ref="Q109:S109" si="448">IFERROR(P109/$G109," ")</f>
        <v>1</v>
      </c>
      <c r="R109" s="206">
        <v>1</v>
      </c>
      <c r="S109" s="208">
        <f t="shared" si="448"/>
        <v>1</v>
      </c>
      <c r="T109" s="206">
        <v>1</v>
      </c>
      <c r="U109" s="208">
        <f t="shared" ref="U109:W109" si="449">IFERROR(T109/$G109," ")</f>
        <v>1</v>
      </c>
      <c r="V109" s="206">
        <v>1</v>
      </c>
      <c r="W109" s="208">
        <f t="shared" si="449"/>
        <v>1</v>
      </c>
      <c r="X109" s="206">
        <v>1</v>
      </c>
      <c r="Y109" s="208">
        <f t="shared" ref="Y109:AA109" si="450">IFERROR(X109/$G109," ")</f>
        <v>1</v>
      </c>
      <c r="Z109" s="206">
        <v>1</v>
      </c>
      <c r="AA109" s="208">
        <f t="shared" si="450"/>
        <v>1</v>
      </c>
      <c r="AB109" s="206">
        <v>1</v>
      </c>
      <c r="AC109" s="208">
        <f t="shared" ref="AC109:AE109" si="451">IFERROR(AB109/$G109," ")</f>
        <v>1</v>
      </c>
      <c r="AD109" s="206">
        <v>1</v>
      </c>
      <c r="AE109" s="208">
        <f t="shared" si="451"/>
        <v>1</v>
      </c>
      <c r="AF109" s="203"/>
      <c r="AG109" s="205">
        <f t="shared" si="414"/>
        <v>0</v>
      </c>
      <c r="AH109" s="205">
        <f t="shared" si="415"/>
        <v>0</v>
      </c>
      <c r="AI109" s="205">
        <f t="shared" si="416"/>
        <v>10033.790000000001</v>
      </c>
      <c r="AJ109" s="205">
        <f t="shared" si="417"/>
        <v>10033.790000000001</v>
      </c>
      <c r="AK109" s="205">
        <f t="shared" si="418"/>
        <v>10033.790000000001</v>
      </c>
      <c r="AL109" s="205">
        <f t="shared" si="419"/>
        <v>10033.790000000001</v>
      </c>
      <c r="AM109" s="205">
        <f t="shared" si="420"/>
        <v>10033.790000000001</v>
      </c>
      <c r="AN109" s="205">
        <f t="shared" si="421"/>
        <v>10033.790000000001</v>
      </c>
      <c r="AO109" s="205">
        <f t="shared" si="422"/>
        <v>10033.790000000001</v>
      </c>
      <c r="AP109" s="205">
        <f t="shared" si="423"/>
        <v>10033.790000000001</v>
      </c>
    </row>
    <row r="110" spans="1:44" x14ac:dyDescent="0.25">
      <c r="A110" s="202">
        <v>117</v>
      </c>
      <c r="B110" s="203" t="s">
        <v>275</v>
      </c>
      <c r="C110" s="204" t="s">
        <v>276</v>
      </c>
      <c r="D110" s="203" t="s">
        <v>23</v>
      </c>
      <c r="E110" s="205">
        <f>IFERROR(VLOOKUP(A110,Estimate!A:Q,17,FALSE)," ")</f>
        <v>13500</v>
      </c>
      <c r="F110" s="206">
        <v>1</v>
      </c>
      <c r="G110" s="206">
        <v>1</v>
      </c>
      <c r="H110" s="207">
        <v>15224</v>
      </c>
      <c r="I110" s="207">
        <v>15224</v>
      </c>
      <c r="J110" s="207">
        <v>15224</v>
      </c>
      <c r="K110" s="206"/>
      <c r="L110" s="206"/>
      <c r="M110" s="208">
        <f t="shared" si="408"/>
        <v>0</v>
      </c>
      <c r="N110" s="206"/>
      <c r="O110" s="208">
        <f t="shared" si="409"/>
        <v>0</v>
      </c>
      <c r="P110" s="206"/>
      <c r="Q110" s="208">
        <f t="shared" ref="Q110:S110" si="452">IFERROR(P110/$G110," ")</f>
        <v>0</v>
      </c>
      <c r="R110" s="206"/>
      <c r="S110" s="208">
        <f t="shared" si="452"/>
        <v>0</v>
      </c>
      <c r="T110" s="206">
        <v>1</v>
      </c>
      <c r="U110" s="208">
        <f t="shared" ref="U110:W110" si="453">IFERROR(T110/$G110," ")</f>
        <v>1</v>
      </c>
      <c r="V110" s="206">
        <v>1</v>
      </c>
      <c r="W110" s="208">
        <f t="shared" si="453"/>
        <v>1</v>
      </c>
      <c r="X110" s="206">
        <v>1</v>
      </c>
      <c r="Y110" s="208">
        <f t="shared" ref="Y110:AA110" si="454">IFERROR(X110/$G110," ")</f>
        <v>1</v>
      </c>
      <c r="Z110" s="206">
        <v>1</v>
      </c>
      <c r="AA110" s="208">
        <f t="shared" si="454"/>
        <v>1</v>
      </c>
      <c r="AB110" s="206">
        <v>1</v>
      </c>
      <c r="AC110" s="208">
        <f t="shared" ref="AC110:AE110" si="455">IFERROR(AB110/$G110," ")</f>
        <v>1</v>
      </c>
      <c r="AD110" s="206">
        <v>1</v>
      </c>
      <c r="AE110" s="208">
        <f t="shared" si="455"/>
        <v>1</v>
      </c>
      <c r="AF110" s="203"/>
      <c r="AG110" s="205">
        <f t="shared" si="414"/>
        <v>0</v>
      </c>
      <c r="AH110" s="205">
        <f t="shared" si="415"/>
        <v>0</v>
      </c>
      <c r="AI110" s="205">
        <f t="shared" si="416"/>
        <v>0</v>
      </c>
      <c r="AJ110" s="205">
        <f t="shared" si="417"/>
        <v>0</v>
      </c>
      <c r="AK110" s="205">
        <f t="shared" si="418"/>
        <v>15224</v>
      </c>
      <c r="AL110" s="205">
        <f t="shared" si="419"/>
        <v>15224</v>
      </c>
      <c r="AM110" s="205">
        <f t="shared" si="420"/>
        <v>15224</v>
      </c>
      <c r="AN110" s="205">
        <f t="shared" si="421"/>
        <v>15224</v>
      </c>
      <c r="AO110" s="205">
        <f t="shared" si="422"/>
        <v>15224</v>
      </c>
      <c r="AP110" s="205">
        <f t="shared" si="423"/>
        <v>15224</v>
      </c>
    </row>
    <row r="111" spans="1:44" x14ac:dyDescent="0.25">
      <c r="A111" s="202">
        <v>118</v>
      </c>
      <c r="B111" s="203" t="s">
        <v>277</v>
      </c>
      <c r="C111" s="204" t="s">
        <v>278</v>
      </c>
      <c r="D111" s="203" t="s">
        <v>23</v>
      </c>
      <c r="E111" s="205">
        <f>IFERROR(VLOOKUP(A111,Estimate!A:Q,17,FALSE)," ")</f>
        <v>5796</v>
      </c>
      <c r="F111" s="206">
        <v>1</v>
      </c>
      <c r="G111" s="206">
        <v>1</v>
      </c>
      <c r="H111" s="207">
        <v>6610</v>
      </c>
      <c r="I111" s="207">
        <v>6610</v>
      </c>
      <c r="J111" s="207">
        <v>6610</v>
      </c>
      <c r="K111" s="206"/>
      <c r="L111" s="206"/>
      <c r="M111" s="208">
        <f t="shared" si="408"/>
        <v>0</v>
      </c>
      <c r="N111" s="206"/>
      <c r="O111" s="208">
        <f t="shared" si="409"/>
        <v>0</v>
      </c>
      <c r="P111" s="206"/>
      <c r="Q111" s="208">
        <f t="shared" ref="Q111:S111" si="456">IFERROR(P111/$G111," ")</f>
        <v>0</v>
      </c>
      <c r="R111" s="206"/>
      <c r="S111" s="208">
        <f t="shared" si="456"/>
        <v>0</v>
      </c>
      <c r="T111" s="206">
        <v>1</v>
      </c>
      <c r="U111" s="208">
        <f t="shared" ref="U111:W111" si="457">IFERROR(T111/$G111," ")</f>
        <v>1</v>
      </c>
      <c r="V111" s="206">
        <v>1</v>
      </c>
      <c r="W111" s="208">
        <f t="shared" si="457"/>
        <v>1</v>
      </c>
      <c r="X111" s="206">
        <v>1</v>
      </c>
      <c r="Y111" s="208">
        <f t="shared" ref="Y111:AA111" si="458">IFERROR(X111/$G111," ")</f>
        <v>1</v>
      </c>
      <c r="Z111" s="206">
        <v>1</v>
      </c>
      <c r="AA111" s="208">
        <f t="shared" si="458"/>
        <v>1</v>
      </c>
      <c r="AB111" s="206">
        <v>1</v>
      </c>
      <c r="AC111" s="208">
        <f t="shared" ref="AC111:AE111" si="459">IFERROR(AB111/$G111," ")</f>
        <v>1</v>
      </c>
      <c r="AD111" s="206">
        <v>1</v>
      </c>
      <c r="AE111" s="208">
        <f t="shared" si="459"/>
        <v>1</v>
      </c>
      <c r="AF111" s="203"/>
      <c r="AG111" s="205">
        <f t="shared" si="414"/>
        <v>0</v>
      </c>
      <c r="AH111" s="205">
        <f t="shared" si="415"/>
        <v>0</v>
      </c>
      <c r="AI111" s="205">
        <f t="shared" si="416"/>
        <v>0</v>
      </c>
      <c r="AJ111" s="205">
        <f t="shared" si="417"/>
        <v>0</v>
      </c>
      <c r="AK111" s="205">
        <f t="shared" si="418"/>
        <v>6610</v>
      </c>
      <c r="AL111" s="205">
        <f t="shared" si="419"/>
        <v>6610</v>
      </c>
      <c r="AM111" s="205">
        <f t="shared" si="420"/>
        <v>6610</v>
      </c>
      <c r="AN111" s="205">
        <f t="shared" si="421"/>
        <v>6610</v>
      </c>
      <c r="AO111" s="205">
        <f t="shared" si="422"/>
        <v>6610</v>
      </c>
      <c r="AP111" s="205">
        <f t="shared" si="423"/>
        <v>6610</v>
      </c>
    </row>
    <row r="112" spans="1:44" x14ac:dyDescent="0.25">
      <c r="A112" s="202">
        <v>119</v>
      </c>
      <c r="B112" s="203" t="s">
        <v>279</v>
      </c>
      <c r="C112" s="204" t="s">
        <v>280</v>
      </c>
      <c r="D112" s="203" t="s">
        <v>23</v>
      </c>
      <c r="E112" s="205">
        <f>IFERROR(VLOOKUP(A112,Estimate!A:Q,17,FALSE)," ")</f>
        <v>2127.1545723164704</v>
      </c>
      <c r="F112" s="206">
        <v>1</v>
      </c>
      <c r="G112" s="206">
        <v>1</v>
      </c>
      <c r="H112" s="207">
        <v>4698.3</v>
      </c>
      <c r="I112" s="207">
        <v>4698.3</v>
      </c>
      <c r="J112" s="207">
        <v>4698.3</v>
      </c>
      <c r="K112" s="206"/>
      <c r="L112" s="206"/>
      <c r="M112" s="208">
        <f t="shared" si="408"/>
        <v>0</v>
      </c>
      <c r="N112" s="206"/>
      <c r="O112" s="208">
        <f t="shared" si="409"/>
        <v>0</v>
      </c>
      <c r="P112" s="206"/>
      <c r="Q112" s="208">
        <f t="shared" ref="Q112:S112" si="460">IFERROR(P112/$G112," ")</f>
        <v>0</v>
      </c>
      <c r="R112" s="206"/>
      <c r="S112" s="208">
        <f t="shared" si="460"/>
        <v>0</v>
      </c>
      <c r="T112" s="206"/>
      <c r="U112" s="208">
        <f t="shared" ref="U112:W112" si="461">IFERROR(T112/$G112," ")</f>
        <v>0</v>
      </c>
      <c r="V112" s="206"/>
      <c r="W112" s="208">
        <f t="shared" si="461"/>
        <v>0</v>
      </c>
      <c r="X112" s="206"/>
      <c r="Y112" s="208">
        <f t="shared" ref="Y112:AA112" si="462">IFERROR(X112/$G112," ")</f>
        <v>0</v>
      </c>
      <c r="Z112" s="206"/>
      <c r="AA112" s="208">
        <f t="shared" si="462"/>
        <v>0</v>
      </c>
      <c r="AB112" s="206">
        <v>1</v>
      </c>
      <c r="AC112" s="208">
        <f t="shared" ref="AC112:AE112" si="463">IFERROR(AB112/$G112," ")</f>
        <v>1</v>
      </c>
      <c r="AD112" s="206">
        <v>1</v>
      </c>
      <c r="AE112" s="208">
        <f t="shared" si="463"/>
        <v>1</v>
      </c>
      <c r="AF112" s="203"/>
      <c r="AG112" s="205">
        <f t="shared" si="414"/>
        <v>0</v>
      </c>
      <c r="AH112" s="205">
        <f t="shared" si="415"/>
        <v>0</v>
      </c>
      <c r="AI112" s="205">
        <f t="shared" si="416"/>
        <v>0</v>
      </c>
      <c r="AJ112" s="205">
        <f t="shared" si="417"/>
        <v>0</v>
      </c>
      <c r="AK112" s="205">
        <f t="shared" si="418"/>
        <v>0</v>
      </c>
      <c r="AL112" s="205">
        <f t="shared" si="419"/>
        <v>0</v>
      </c>
      <c r="AM112" s="205">
        <f t="shared" si="420"/>
        <v>0</v>
      </c>
      <c r="AN112" s="205">
        <f t="shared" si="421"/>
        <v>0</v>
      </c>
      <c r="AO112" s="205">
        <f t="shared" si="422"/>
        <v>4698.3</v>
      </c>
      <c r="AP112" s="205">
        <f t="shared" si="423"/>
        <v>4698.3</v>
      </c>
    </row>
    <row r="113" spans="1:42" x14ac:dyDescent="0.25">
      <c r="A113" s="202">
        <v>120</v>
      </c>
      <c r="B113" s="203" t="s">
        <v>281</v>
      </c>
      <c r="C113" s="204" t="s">
        <v>282</v>
      </c>
      <c r="D113" s="203" t="s">
        <v>23</v>
      </c>
      <c r="E113" s="205">
        <f>IFERROR(VLOOKUP(A113,Estimate!A:Q,17,FALSE)," ")</f>
        <v>9750</v>
      </c>
      <c r="F113" s="206">
        <v>1</v>
      </c>
      <c r="G113" s="206">
        <v>1</v>
      </c>
      <c r="H113" s="207">
        <v>11090</v>
      </c>
      <c r="I113" s="207">
        <v>11090</v>
      </c>
      <c r="J113" s="207">
        <v>11090</v>
      </c>
      <c r="K113" s="206"/>
      <c r="L113" s="206"/>
      <c r="M113" s="208">
        <f t="shared" si="408"/>
        <v>0</v>
      </c>
      <c r="N113" s="206"/>
      <c r="O113" s="208">
        <f t="shared" si="409"/>
        <v>0</v>
      </c>
      <c r="P113" s="206"/>
      <c r="Q113" s="208">
        <f t="shared" ref="Q113:S113" si="464">IFERROR(P113/$G113," ")</f>
        <v>0</v>
      </c>
      <c r="R113" s="206"/>
      <c r="S113" s="208">
        <f t="shared" si="464"/>
        <v>0</v>
      </c>
      <c r="T113" s="206"/>
      <c r="U113" s="208">
        <f t="shared" ref="U113:W113" si="465">IFERROR(T113/$G113," ")</f>
        <v>0</v>
      </c>
      <c r="V113" s="206"/>
      <c r="W113" s="208">
        <f t="shared" si="465"/>
        <v>0</v>
      </c>
      <c r="X113" s="206"/>
      <c r="Y113" s="208">
        <f t="shared" ref="Y113:AA113" si="466">IFERROR(X113/$G113," ")</f>
        <v>0</v>
      </c>
      <c r="Z113" s="206">
        <v>1</v>
      </c>
      <c r="AA113" s="208">
        <f t="shared" si="466"/>
        <v>1</v>
      </c>
      <c r="AB113" s="206">
        <v>1</v>
      </c>
      <c r="AC113" s="208">
        <f t="shared" ref="AC113:AE113" si="467">IFERROR(AB113/$G113," ")</f>
        <v>1</v>
      </c>
      <c r="AD113" s="206">
        <v>1</v>
      </c>
      <c r="AE113" s="208">
        <f t="shared" si="467"/>
        <v>1</v>
      </c>
      <c r="AF113" s="203"/>
      <c r="AG113" s="205">
        <f t="shared" si="414"/>
        <v>0</v>
      </c>
      <c r="AH113" s="205">
        <f t="shared" si="415"/>
        <v>0</v>
      </c>
      <c r="AI113" s="205">
        <f t="shared" si="416"/>
        <v>0</v>
      </c>
      <c r="AJ113" s="205">
        <f t="shared" si="417"/>
        <v>0</v>
      </c>
      <c r="AK113" s="205">
        <f t="shared" si="418"/>
        <v>0</v>
      </c>
      <c r="AL113" s="205">
        <f t="shared" si="419"/>
        <v>0</v>
      </c>
      <c r="AM113" s="205">
        <f t="shared" si="420"/>
        <v>0</v>
      </c>
      <c r="AN113" s="205">
        <f t="shared" si="421"/>
        <v>11090</v>
      </c>
      <c r="AO113" s="205">
        <f t="shared" si="422"/>
        <v>11090</v>
      </c>
      <c r="AP113" s="205">
        <f t="shared" si="423"/>
        <v>11090</v>
      </c>
    </row>
    <row r="114" spans="1:42" x14ac:dyDescent="0.25">
      <c r="A114" s="202">
        <v>121</v>
      </c>
      <c r="B114" s="203" t="s">
        <v>283</v>
      </c>
      <c r="C114" s="204" t="s">
        <v>284</v>
      </c>
      <c r="D114" s="203" t="s">
        <v>23</v>
      </c>
      <c r="E114" s="205">
        <f>IFERROR(VLOOKUP(A114,Estimate!A:Q,17,FALSE)," ")</f>
        <v>2270</v>
      </c>
      <c r="F114" s="206">
        <v>2</v>
      </c>
      <c r="G114" s="206">
        <v>2</v>
      </c>
      <c r="H114" s="207">
        <v>2435</v>
      </c>
      <c r="I114" s="207">
        <v>4870</v>
      </c>
      <c r="J114" s="207">
        <v>4870</v>
      </c>
      <c r="K114" s="206"/>
      <c r="L114" s="206"/>
      <c r="M114" s="208">
        <f t="shared" si="408"/>
        <v>0</v>
      </c>
      <c r="N114" s="206"/>
      <c r="O114" s="208">
        <f t="shared" si="409"/>
        <v>0</v>
      </c>
      <c r="P114" s="206"/>
      <c r="Q114" s="208">
        <f t="shared" ref="Q114:S114" si="468">IFERROR(P114/$G114," ")</f>
        <v>0</v>
      </c>
      <c r="R114" s="206"/>
      <c r="S114" s="208">
        <f t="shared" si="468"/>
        <v>0</v>
      </c>
      <c r="T114" s="206"/>
      <c r="U114" s="208">
        <f t="shared" ref="U114:W114" si="469">IFERROR(T114/$G114," ")</f>
        <v>0</v>
      </c>
      <c r="V114" s="206">
        <v>2</v>
      </c>
      <c r="W114" s="208">
        <f t="shared" si="469"/>
        <v>1</v>
      </c>
      <c r="X114" s="206">
        <v>2</v>
      </c>
      <c r="Y114" s="208">
        <f t="shared" ref="Y114:AA114" si="470">IFERROR(X114/$G114," ")</f>
        <v>1</v>
      </c>
      <c r="Z114" s="206">
        <v>2</v>
      </c>
      <c r="AA114" s="208">
        <f t="shared" si="470"/>
        <v>1</v>
      </c>
      <c r="AB114" s="206">
        <v>2</v>
      </c>
      <c r="AC114" s="208">
        <f t="shared" ref="AC114:AE114" si="471">IFERROR(AB114/$G114," ")</f>
        <v>1</v>
      </c>
      <c r="AD114" s="206">
        <v>2</v>
      </c>
      <c r="AE114" s="208">
        <f t="shared" si="471"/>
        <v>1</v>
      </c>
      <c r="AF114" s="203"/>
      <c r="AG114" s="205">
        <f t="shared" si="414"/>
        <v>0</v>
      </c>
      <c r="AH114" s="205">
        <f t="shared" si="415"/>
        <v>0</v>
      </c>
      <c r="AI114" s="205">
        <f t="shared" si="416"/>
        <v>0</v>
      </c>
      <c r="AJ114" s="205">
        <f t="shared" si="417"/>
        <v>0</v>
      </c>
      <c r="AK114" s="205">
        <f t="shared" si="418"/>
        <v>0</v>
      </c>
      <c r="AL114" s="205">
        <f t="shared" si="419"/>
        <v>4870</v>
      </c>
      <c r="AM114" s="205">
        <f t="shared" si="420"/>
        <v>4870</v>
      </c>
      <c r="AN114" s="205">
        <f t="shared" si="421"/>
        <v>4870</v>
      </c>
      <c r="AO114" s="205">
        <f t="shared" si="422"/>
        <v>4870</v>
      </c>
      <c r="AP114" s="205">
        <f t="shared" si="423"/>
        <v>4870</v>
      </c>
    </row>
    <row r="115" spans="1:42" x14ac:dyDescent="0.25">
      <c r="A115" s="202">
        <v>122</v>
      </c>
      <c r="B115" s="203" t="s">
        <v>285</v>
      </c>
      <c r="C115" s="204" t="s">
        <v>1259</v>
      </c>
      <c r="D115" s="203" t="s">
        <v>23</v>
      </c>
      <c r="E115" s="205">
        <f>IFERROR(VLOOKUP(A115,Estimate!A:Q,17,FALSE)," ")</f>
        <v>3117.6134293429345</v>
      </c>
      <c r="F115" s="206">
        <v>1</v>
      </c>
      <c r="G115" s="206">
        <v>1</v>
      </c>
      <c r="H115" s="207">
        <v>5695.71</v>
      </c>
      <c r="I115" s="207">
        <v>5695.71</v>
      </c>
      <c r="J115" s="207">
        <v>5695.71</v>
      </c>
      <c r="K115" s="206"/>
      <c r="L115" s="206"/>
      <c r="M115" s="208">
        <f t="shared" si="408"/>
        <v>0</v>
      </c>
      <c r="N115" s="206"/>
      <c r="O115" s="208">
        <f t="shared" si="409"/>
        <v>0</v>
      </c>
      <c r="P115" s="206"/>
      <c r="Q115" s="208">
        <f t="shared" ref="Q115:S115" si="472">IFERROR(P115/$G115," ")</f>
        <v>0</v>
      </c>
      <c r="R115" s="206"/>
      <c r="S115" s="208">
        <f t="shared" si="472"/>
        <v>0</v>
      </c>
      <c r="T115" s="206"/>
      <c r="U115" s="208">
        <f t="shared" ref="U115:W115" si="473">IFERROR(T115/$G115," ")</f>
        <v>0</v>
      </c>
      <c r="V115" s="206"/>
      <c r="W115" s="208">
        <f t="shared" si="473"/>
        <v>0</v>
      </c>
      <c r="X115" s="206"/>
      <c r="Y115" s="208">
        <f t="shared" ref="Y115:AA115" si="474">IFERROR(X115/$G115," ")</f>
        <v>0</v>
      </c>
      <c r="Z115" s="206">
        <v>1</v>
      </c>
      <c r="AA115" s="208">
        <f t="shared" si="474"/>
        <v>1</v>
      </c>
      <c r="AB115" s="206">
        <v>1</v>
      </c>
      <c r="AC115" s="208">
        <f t="shared" ref="AC115:AE115" si="475">IFERROR(AB115/$G115," ")</f>
        <v>1</v>
      </c>
      <c r="AD115" s="206">
        <v>1</v>
      </c>
      <c r="AE115" s="208">
        <f t="shared" si="475"/>
        <v>1</v>
      </c>
      <c r="AF115" s="203"/>
      <c r="AG115" s="205">
        <f t="shared" si="414"/>
        <v>0</v>
      </c>
      <c r="AH115" s="205">
        <f t="shared" si="415"/>
        <v>0</v>
      </c>
      <c r="AI115" s="205">
        <f t="shared" si="416"/>
        <v>0</v>
      </c>
      <c r="AJ115" s="205">
        <f t="shared" si="417"/>
        <v>0</v>
      </c>
      <c r="AK115" s="205">
        <f t="shared" si="418"/>
        <v>0</v>
      </c>
      <c r="AL115" s="205">
        <f t="shared" si="419"/>
        <v>0</v>
      </c>
      <c r="AM115" s="205">
        <f t="shared" si="420"/>
        <v>0</v>
      </c>
      <c r="AN115" s="205">
        <f t="shared" si="421"/>
        <v>5695.71</v>
      </c>
      <c r="AO115" s="205">
        <f t="shared" si="422"/>
        <v>5695.71</v>
      </c>
      <c r="AP115" s="205">
        <f t="shared" si="423"/>
        <v>5695.71</v>
      </c>
    </row>
    <row r="116" spans="1:42" x14ac:dyDescent="0.25">
      <c r="A116" s="202">
        <v>124</v>
      </c>
      <c r="B116" s="203" t="s">
        <v>288</v>
      </c>
      <c r="C116" s="204" t="s">
        <v>1283</v>
      </c>
      <c r="D116" s="206" t="s">
        <v>23</v>
      </c>
      <c r="E116" s="205">
        <f>IFERROR(VLOOKUP(A116,Estimate!A:Q,17,FALSE)," ")</f>
        <v>8991.2997299729977</v>
      </c>
      <c r="F116" s="206">
        <v>18</v>
      </c>
      <c r="G116" s="206">
        <v>18</v>
      </c>
      <c r="H116" s="207">
        <v>1370</v>
      </c>
      <c r="I116" s="207">
        <v>24660</v>
      </c>
      <c r="J116" s="207">
        <v>24660</v>
      </c>
      <c r="K116" s="206"/>
      <c r="L116" s="206"/>
      <c r="M116" s="208">
        <f t="shared" si="408"/>
        <v>0</v>
      </c>
      <c r="N116" s="206"/>
      <c r="O116" s="208">
        <f t="shared" si="409"/>
        <v>0</v>
      </c>
      <c r="P116" s="206"/>
      <c r="Q116" s="208">
        <f t="shared" ref="Q116:S116" si="476">IFERROR(P116/$G116," ")</f>
        <v>0</v>
      </c>
      <c r="R116" s="206"/>
      <c r="S116" s="208">
        <f t="shared" si="476"/>
        <v>0</v>
      </c>
      <c r="T116" s="206"/>
      <c r="U116" s="208">
        <f t="shared" ref="U116:W116" si="477">IFERROR(T116/$G116," ")</f>
        <v>0</v>
      </c>
      <c r="V116" s="206"/>
      <c r="W116" s="208">
        <f t="shared" si="477"/>
        <v>0</v>
      </c>
      <c r="X116" s="206"/>
      <c r="Y116" s="208">
        <f t="shared" ref="Y116:AA116" si="478">IFERROR(X116/$G116," ")</f>
        <v>0</v>
      </c>
      <c r="Z116" s="206"/>
      <c r="AA116" s="208">
        <f t="shared" si="478"/>
        <v>0</v>
      </c>
      <c r="AB116" s="206">
        <v>18</v>
      </c>
      <c r="AC116" s="208">
        <f t="shared" ref="AC116:AE116" si="479">IFERROR(AB116/$G116," ")</f>
        <v>1</v>
      </c>
      <c r="AD116" s="206">
        <v>18</v>
      </c>
      <c r="AE116" s="208">
        <f t="shared" si="479"/>
        <v>1</v>
      </c>
      <c r="AF116" s="203"/>
      <c r="AG116" s="205">
        <f t="shared" si="414"/>
        <v>0</v>
      </c>
      <c r="AH116" s="205">
        <f t="shared" si="415"/>
        <v>0</v>
      </c>
      <c r="AI116" s="205">
        <f t="shared" si="416"/>
        <v>0</v>
      </c>
      <c r="AJ116" s="205">
        <f t="shared" si="417"/>
        <v>0</v>
      </c>
      <c r="AK116" s="205">
        <f t="shared" si="418"/>
        <v>0</v>
      </c>
      <c r="AL116" s="205">
        <f t="shared" si="419"/>
        <v>0</v>
      </c>
      <c r="AM116" s="205">
        <f t="shared" si="420"/>
        <v>0</v>
      </c>
      <c r="AN116" s="205">
        <f t="shared" si="421"/>
        <v>0</v>
      </c>
      <c r="AO116" s="205">
        <f t="shared" si="422"/>
        <v>24660</v>
      </c>
      <c r="AP116" s="205">
        <f t="shared" si="423"/>
        <v>24660</v>
      </c>
    </row>
    <row r="117" spans="1:42" x14ac:dyDescent="0.25">
      <c r="A117" s="202">
        <v>125</v>
      </c>
      <c r="B117" s="203" t="s">
        <v>290</v>
      </c>
      <c r="C117" s="204" t="s">
        <v>1284</v>
      </c>
      <c r="D117" s="206" t="s">
        <v>23</v>
      </c>
      <c r="E117" s="205">
        <f>IFERROR(VLOOKUP(A117,Estimate!A:Q,17,FALSE)," ")</f>
        <v>3303.3303330333033</v>
      </c>
      <c r="F117" s="206">
        <v>1</v>
      </c>
      <c r="G117" s="206">
        <v>1</v>
      </c>
      <c r="H117" s="207">
        <v>5510</v>
      </c>
      <c r="I117" s="207">
        <v>5510</v>
      </c>
      <c r="J117" s="207">
        <v>5510</v>
      </c>
      <c r="K117" s="206"/>
      <c r="L117" s="206"/>
      <c r="M117" s="208">
        <f t="shared" si="408"/>
        <v>0</v>
      </c>
      <c r="N117" s="206"/>
      <c r="O117" s="208">
        <f t="shared" si="409"/>
        <v>0</v>
      </c>
      <c r="P117" s="206"/>
      <c r="Q117" s="208">
        <f t="shared" ref="Q117:S117" si="480">IFERROR(P117/$G117," ")</f>
        <v>0</v>
      </c>
      <c r="R117" s="206"/>
      <c r="S117" s="208">
        <f t="shared" si="480"/>
        <v>0</v>
      </c>
      <c r="T117" s="206"/>
      <c r="U117" s="208">
        <f t="shared" ref="U117:W117" si="481">IFERROR(T117/$G117," ")</f>
        <v>0</v>
      </c>
      <c r="V117" s="206"/>
      <c r="W117" s="208">
        <f t="shared" si="481"/>
        <v>0</v>
      </c>
      <c r="X117" s="206"/>
      <c r="Y117" s="208">
        <f t="shared" ref="Y117:AA117" si="482">IFERROR(X117/$G117," ")</f>
        <v>0</v>
      </c>
      <c r="Z117" s="206">
        <v>1</v>
      </c>
      <c r="AA117" s="208">
        <f t="shared" si="482"/>
        <v>1</v>
      </c>
      <c r="AB117" s="206">
        <v>1</v>
      </c>
      <c r="AC117" s="208">
        <f t="shared" ref="AC117:AE117" si="483">IFERROR(AB117/$G117," ")</f>
        <v>1</v>
      </c>
      <c r="AD117" s="206">
        <v>1</v>
      </c>
      <c r="AE117" s="208">
        <f t="shared" si="483"/>
        <v>1</v>
      </c>
      <c r="AF117" s="203"/>
      <c r="AG117" s="205">
        <f t="shared" si="414"/>
        <v>0</v>
      </c>
      <c r="AH117" s="205">
        <f t="shared" si="415"/>
        <v>0</v>
      </c>
      <c r="AI117" s="205">
        <f t="shared" si="416"/>
        <v>0</v>
      </c>
      <c r="AJ117" s="205">
        <f t="shared" si="417"/>
        <v>0</v>
      </c>
      <c r="AK117" s="205">
        <f t="shared" si="418"/>
        <v>0</v>
      </c>
      <c r="AL117" s="205">
        <f t="shared" si="419"/>
        <v>0</v>
      </c>
      <c r="AM117" s="205">
        <f t="shared" si="420"/>
        <v>0</v>
      </c>
      <c r="AN117" s="205">
        <f t="shared" si="421"/>
        <v>5510</v>
      </c>
      <c r="AO117" s="205">
        <f t="shared" si="422"/>
        <v>5510</v>
      </c>
      <c r="AP117" s="205">
        <f t="shared" si="423"/>
        <v>5510</v>
      </c>
    </row>
    <row r="118" spans="1:42" x14ac:dyDescent="0.25">
      <c r="A118" s="202">
        <v>126</v>
      </c>
      <c r="B118" s="203" t="s">
        <v>292</v>
      </c>
      <c r="C118" s="204" t="s">
        <v>1285</v>
      </c>
      <c r="D118" s="206" t="s">
        <v>23</v>
      </c>
      <c r="E118" s="205">
        <f>IFERROR(VLOOKUP(A118,Estimate!A:Q,17,FALSE)," ")</f>
        <v>2641.590909090909</v>
      </c>
      <c r="F118" s="206">
        <v>1</v>
      </c>
      <c r="G118" s="206">
        <v>1</v>
      </c>
      <c r="H118" s="207">
        <v>4240</v>
      </c>
      <c r="I118" s="207">
        <v>4240</v>
      </c>
      <c r="J118" s="207">
        <v>4240</v>
      </c>
      <c r="K118" s="206"/>
      <c r="L118" s="206"/>
      <c r="M118" s="208">
        <f t="shared" si="408"/>
        <v>0</v>
      </c>
      <c r="N118" s="206"/>
      <c r="O118" s="208">
        <f t="shared" si="409"/>
        <v>0</v>
      </c>
      <c r="P118" s="206"/>
      <c r="Q118" s="208">
        <f t="shared" ref="Q118:S118" si="484">IFERROR(P118/$G118," ")</f>
        <v>0</v>
      </c>
      <c r="R118" s="206"/>
      <c r="S118" s="208">
        <f t="shared" si="484"/>
        <v>0</v>
      </c>
      <c r="T118" s="206"/>
      <c r="U118" s="208">
        <f t="shared" ref="U118:W118" si="485">IFERROR(T118/$G118," ")</f>
        <v>0</v>
      </c>
      <c r="V118" s="206"/>
      <c r="W118" s="208">
        <f t="shared" si="485"/>
        <v>0</v>
      </c>
      <c r="X118" s="206"/>
      <c r="Y118" s="208">
        <f t="shared" ref="Y118:AA118" si="486">IFERROR(X118/$G118," ")</f>
        <v>0</v>
      </c>
      <c r="Z118" s="206"/>
      <c r="AA118" s="208">
        <f t="shared" si="486"/>
        <v>0</v>
      </c>
      <c r="AB118" s="206">
        <v>1</v>
      </c>
      <c r="AC118" s="208">
        <f t="shared" ref="AC118:AE118" si="487">IFERROR(AB118/$G118," ")</f>
        <v>1</v>
      </c>
      <c r="AD118" s="206">
        <v>1</v>
      </c>
      <c r="AE118" s="208">
        <f t="shared" si="487"/>
        <v>1</v>
      </c>
      <c r="AF118" s="203"/>
      <c r="AG118" s="205">
        <f t="shared" si="414"/>
        <v>0</v>
      </c>
      <c r="AH118" s="205">
        <f t="shared" si="415"/>
        <v>0</v>
      </c>
      <c r="AI118" s="205">
        <f t="shared" si="416"/>
        <v>0</v>
      </c>
      <c r="AJ118" s="205">
        <f t="shared" si="417"/>
        <v>0</v>
      </c>
      <c r="AK118" s="205">
        <f t="shared" si="418"/>
        <v>0</v>
      </c>
      <c r="AL118" s="205">
        <f t="shared" si="419"/>
        <v>0</v>
      </c>
      <c r="AM118" s="205">
        <f t="shared" si="420"/>
        <v>0</v>
      </c>
      <c r="AN118" s="205">
        <f t="shared" si="421"/>
        <v>0</v>
      </c>
      <c r="AO118" s="205">
        <f t="shared" si="422"/>
        <v>4240</v>
      </c>
      <c r="AP118" s="205">
        <f t="shared" si="423"/>
        <v>4240</v>
      </c>
    </row>
    <row r="119" spans="1:42" x14ac:dyDescent="0.25">
      <c r="A119" s="202">
        <v>127</v>
      </c>
      <c r="B119" s="203" t="s">
        <v>294</v>
      </c>
      <c r="C119" s="204" t="s">
        <v>295</v>
      </c>
      <c r="D119" s="203" t="s">
        <v>45</v>
      </c>
      <c r="E119" s="205">
        <f>IFERROR(VLOOKUP(A119,Estimate!A:Q,17,FALSE)," ")</f>
        <v>3181.7675555555556</v>
      </c>
      <c r="F119" s="206">
        <v>2.4</v>
      </c>
      <c r="G119" s="206">
        <v>2.4</v>
      </c>
      <c r="H119" s="207">
        <v>8940</v>
      </c>
      <c r="I119" s="207">
        <v>21456</v>
      </c>
      <c r="J119" s="207">
        <v>21456</v>
      </c>
      <c r="K119" s="206"/>
      <c r="L119" s="206"/>
      <c r="M119" s="208">
        <f t="shared" si="408"/>
        <v>0</v>
      </c>
      <c r="N119" s="206"/>
      <c r="O119" s="208">
        <f t="shared" si="409"/>
        <v>0</v>
      </c>
      <c r="P119" s="206"/>
      <c r="Q119" s="208">
        <f t="shared" ref="Q119:S119" si="488">IFERROR(P119/$G119," ")</f>
        <v>0</v>
      </c>
      <c r="R119" s="206"/>
      <c r="S119" s="208">
        <f t="shared" si="488"/>
        <v>0</v>
      </c>
      <c r="T119" s="206"/>
      <c r="U119" s="208">
        <f t="shared" ref="U119:W119" si="489">IFERROR(T119/$G119," ")</f>
        <v>0</v>
      </c>
      <c r="V119" s="206"/>
      <c r="W119" s="208">
        <f t="shared" si="489"/>
        <v>0</v>
      </c>
      <c r="X119" s="206"/>
      <c r="Y119" s="208">
        <f t="shared" ref="Y119:AA119" si="490">IFERROR(X119/$G119," ")</f>
        <v>0</v>
      </c>
      <c r="Z119" s="206"/>
      <c r="AA119" s="208">
        <f t="shared" si="490"/>
        <v>0</v>
      </c>
      <c r="AB119" s="206">
        <v>1</v>
      </c>
      <c r="AC119" s="208">
        <f t="shared" ref="AC119:AE119" si="491">IFERROR(AB119/$G119," ")</f>
        <v>0.41666666666666669</v>
      </c>
      <c r="AD119" s="206">
        <v>1</v>
      </c>
      <c r="AE119" s="208">
        <f t="shared" si="491"/>
        <v>0.41666666666666669</v>
      </c>
      <c r="AF119" s="203"/>
      <c r="AG119" s="205">
        <f t="shared" si="414"/>
        <v>0</v>
      </c>
      <c r="AH119" s="205">
        <f t="shared" si="415"/>
        <v>0</v>
      </c>
      <c r="AI119" s="205">
        <f t="shared" si="416"/>
        <v>0</v>
      </c>
      <c r="AJ119" s="205">
        <f t="shared" si="417"/>
        <v>0</v>
      </c>
      <c r="AK119" s="205">
        <f t="shared" si="418"/>
        <v>0</v>
      </c>
      <c r="AL119" s="205">
        <f t="shared" si="419"/>
        <v>0</v>
      </c>
      <c r="AM119" s="205">
        <f t="shared" si="420"/>
        <v>0</v>
      </c>
      <c r="AN119" s="205">
        <f t="shared" si="421"/>
        <v>0</v>
      </c>
      <c r="AO119" s="205">
        <f t="shared" si="422"/>
        <v>8940</v>
      </c>
      <c r="AP119" s="205">
        <f t="shared" si="423"/>
        <v>8940</v>
      </c>
    </row>
    <row r="120" spans="1:42" x14ac:dyDescent="0.25">
      <c r="A120" s="202">
        <v>128</v>
      </c>
      <c r="B120" s="203" t="s">
        <v>296</v>
      </c>
      <c r="C120" s="204" t="s">
        <v>297</v>
      </c>
      <c r="D120" s="203" t="s">
        <v>247</v>
      </c>
      <c r="E120" s="205">
        <f>IFERROR(VLOOKUP(A120,Estimate!A:Q,17,FALSE)," ")</f>
        <v>1238.7488748874887</v>
      </c>
      <c r="F120" s="206">
        <v>1</v>
      </c>
      <c r="G120" s="206">
        <v>1</v>
      </c>
      <c r="H120" s="207">
        <v>2000</v>
      </c>
      <c r="I120" s="207">
        <v>2000</v>
      </c>
      <c r="J120" s="207">
        <v>2000</v>
      </c>
      <c r="K120" s="206"/>
      <c r="L120" s="206"/>
      <c r="M120" s="208">
        <f t="shared" si="408"/>
        <v>0</v>
      </c>
      <c r="N120" s="206"/>
      <c r="O120" s="208">
        <f t="shared" si="409"/>
        <v>0</v>
      </c>
      <c r="P120" s="206"/>
      <c r="Q120" s="208">
        <f t="shared" ref="Q120:S120" si="492">IFERROR(P120/$G120," ")</f>
        <v>0</v>
      </c>
      <c r="R120" s="206"/>
      <c r="S120" s="208">
        <f t="shared" si="492"/>
        <v>0</v>
      </c>
      <c r="T120" s="206"/>
      <c r="U120" s="208">
        <f t="shared" ref="U120:W120" si="493">IFERROR(T120/$G120," ")</f>
        <v>0</v>
      </c>
      <c r="V120" s="206"/>
      <c r="W120" s="208">
        <f t="shared" si="493"/>
        <v>0</v>
      </c>
      <c r="X120" s="206"/>
      <c r="Y120" s="208">
        <f t="shared" ref="Y120:AA120" si="494">IFERROR(X120/$G120," ")</f>
        <v>0</v>
      </c>
      <c r="Z120" s="206"/>
      <c r="AA120" s="208">
        <f t="shared" si="494"/>
        <v>0</v>
      </c>
      <c r="AB120" s="206"/>
      <c r="AC120" s="208">
        <f t="shared" ref="AC120:AE120" si="495">IFERROR(AB120/$G120," ")</f>
        <v>0</v>
      </c>
      <c r="AD120" s="206">
        <v>1</v>
      </c>
      <c r="AE120" s="208">
        <f t="shared" si="495"/>
        <v>1</v>
      </c>
      <c r="AF120" s="203"/>
      <c r="AG120" s="205">
        <f t="shared" si="414"/>
        <v>0</v>
      </c>
      <c r="AH120" s="205">
        <f t="shared" si="415"/>
        <v>0</v>
      </c>
      <c r="AI120" s="205">
        <f t="shared" si="416"/>
        <v>0</v>
      </c>
      <c r="AJ120" s="205">
        <f t="shared" si="417"/>
        <v>0</v>
      </c>
      <c r="AK120" s="205">
        <f t="shared" si="418"/>
        <v>0</v>
      </c>
      <c r="AL120" s="205">
        <f t="shared" si="419"/>
        <v>0</v>
      </c>
      <c r="AM120" s="205">
        <f t="shared" si="420"/>
        <v>0</v>
      </c>
      <c r="AN120" s="205">
        <f t="shared" si="421"/>
        <v>0</v>
      </c>
      <c r="AO120" s="205">
        <f t="shared" si="422"/>
        <v>0</v>
      </c>
      <c r="AP120" s="205">
        <f t="shared" si="423"/>
        <v>2000</v>
      </c>
    </row>
    <row r="121" spans="1:42" x14ac:dyDescent="0.25">
      <c r="A121" s="202"/>
      <c r="B121" s="203" t="s">
        <v>643</v>
      </c>
      <c r="C121" s="204" t="s">
        <v>643</v>
      </c>
      <c r="D121" s="203" t="s">
        <v>643</v>
      </c>
      <c r="E121" s="205"/>
      <c r="F121" s="206" t="s">
        <v>643</v>
      </c>
      <c r="G121" s="206" t="s">
        <v>643</v>
      </c>
      <c r="H121" s="207" t="s">
        <v>643</v>
      </c>
      <c r="I121" s="207" t="s">
        <v>643</v>
      </c>
      <c r="J121" s="207" t="s">
        <v>643</v>
      </c>
      <c r="K121" s="206"/>
      <c r="L121" s="206" t="s">
        <v>643</v>
      </c>
      <c r="M121" s="206"/>
      <c r="N121" s="206" t="s">
        <v>643</v>
      </c>
      <c r="O121" s="206"/>
      <c r="P121" s="206" t="s">
        <v>643</v>
      </c>
      <c r="Q121" s="206"/>
      <c r="R121" s="206" t="s">
        <v>643</v>
      </c>
      <c r="S121" s="206"/>
      <c r="T121" s="206" t="s">
        <v>643</v>
      </c>
      <c r="U121" s="206"/>
      <c r="V121" s="206" t="s">
        <v>643</v>
      </c>
      <c r="W121" s="206"/>
      <c r="X121" s="206" t="s">
        <v>643</v>
      </c>
      <c r="Y121" s="206"/>
      <c r="Z121" s="206" t="s">
        <v>643</v>
      </c>
      <c r="AA121" s="206"/>
      <c r="AB121" s="206" t="s">
        <v>643</v>
      </c>
      <c r="AC121" s="206"/>
      <c r="AD121" s="206" t="s">
        <v>643</v>
      </c>
      <c r="AE121" s="206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</row>
    <row r="122" spans="1:42" x14ac:dyDescent="0.25">
      <c r="A122" s="213" t="s">
        <v>643</v>
      </c>
      <c r="B122" s="213" t="s">
        <v>643</v>
      </c>
      <c r="C122" s="214" t="s">
        <v>1260</v>
      </c>
      <c r="D122" s="213" t="s">
        <v>643</v>
      </c>
      <c r="E122" s="215">
        <f>SUM(E6:E120)</f>
        <v>1047448.2044609351</v>
      </c>
      <c r="F122" s="216" t="s">
        <v>643</v>
      </c>
      <c r="G122" s="216" t="s">
        <v>643</v>
      </c>
      <c r="H122" s="217" t="s">
        <v>643</v>
      </c>
      <c r="I122" s="217">
        <v>1368949.41</v>
      </c>
      <c r="J122" s="217">
        <v>1368949.41</v>
      </c>
      <c r="K122" s="216"/>
      <c r="L122" s="216" t="s">
        <v>643</v>
      </c>
      <c r="M122" s="216"/>
      <c r="N122" s="216" t="s">
        <v>643</v>
      </c>
      <c r="O122" s="216"/>
      <c r="P122" s="216" t="s">
        <v>643</v>
      </c>
      <c r="Q122" s="216"/>
      <c r="R122" s="216" t="s">
        <v>643</v>
      </c>
      <c r="S122" s="216"/>
      <c r="T122" s="216" t="s">
        <v>643</v>
      </c>
      <c r="U122" s="216"/>
      <c r="V122" s="216" t="s">
        <v>643</v>
      </c>
      <c r="W122" s="216"/>
      <c r="X122" s="216" t="s">
        <v>643</v>
      </c>
      <c r="Y122" s="216"/>
      <c r="Z122" s="216" t="s">
        <v>643</v>
      </c>
      <c r="AA122" s="216"/>
      <c r="AB122" s="216" t="s">
        <v>643</v>
      </c>
      <c r="AC122" s="216"/>
      <c r="AD122" s="216" t="s">
        <v>643</v>
      </c>
      <c r="AE122" s="216"/>
      <c r="AF122" s="216" t="s">
        <v>643</v>
      </c>
      <c r="AG122" s="216">
        <f>SUM(AG6:AG120)</f>
        <v>243615.49619999999</v>
      </c>
      <c r="AH122" s="216">
        <f t="shared" ref="AH122:AP122" si="496">SUM(AH6:AH120)</f>
        <v>797937.18000000017</v>
      </c>
      <c r="AI122" s="216">
        <f t="shared" si="496"/>
        <v>907815.22620000015</v>
      </c>
      <c r="AJ122" s="216">
        <f t="shared" si="496"/>
        <v>1009691.8962000003</v>
      </c>
      <c r="AK122" s="216">
        <f t="shared" si="496"/>
        <v>1079972.1662000003</v>
      </c>
      <c r="AL122" s="216">
        <f t="shared" si="496"/>
        <v>1139547.4440000004</v>
      </c>
      <c r="AM122" s="216">
        <f t="shared" si="496"/>
        <v>1161845.6055000003</v>
      </c>
      <c r="AN122" s="216">
        <f t="shared" si="496"/>
        <v>1310547.8100000003</v>
      </c>
      <c r="AO122" s="216">
        <f t="shared" si="496"/>
        <v>1353086.1100000003</v>
      </c>
      <c r="AP122" s="216">
        <f t="shared" si="496"/>
        <v>1355086.1100000003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1F7D-55A4-4432-AD75-2BC10BC6C873}">
  <dimension ref="A1:BS63"/>
  <sheetViews>
    <sheetView tabSelected="1" zoomScale="85" zoomScaleNormal="85" workbookViewId="0">
      <pane xSplit="9" ySplit="2" topLeftCell="BE33" activePane="bottomRight" state="frozen"/>
      <selection pane="topRight" activeCell="N1" sqref="N1"/>
      <selection pane="bottomLeft" activeCell="A3" sqref="A3"/>
      <selection pane="bottomRight" activeCell="G63" sqref="G63"/>
    </sheetView>
  </sheetViews>
  <sheetFormatPr defaultColWidth="9.140625" defaultRowHeight="15" x14ac:dyDescent="0.25"/>
  <cols>
    <col min="1" max="1" width="9.140625" style="101"/>
    <col min="2" max="2" width="32.85546875" style="161" customWidth="1"/>
    <col min="3" max="3" width="9.42578125" style="162" customWidth="1"/>
    <col min="4" max="4" width="10.42578125" style="98" bestFit="1" customWidth="1"/>
    <col min="5" max="5" width="14" style="98" customWidth="1"/>
    <col min="6" max="6" width="11.140625" style="98" bestFit="1" customWidth="1"/>
    <col min="7" max="7" width="10.5703125" style="98" customWidth="1"/>
    <col min="8" max="8" width="13.28515625" style="98" bestFit="1" customWidth="1"/>
    <col min="9" max="9" width="13.28515625" style="223" bestFit="1" customWidth="1"/>
    <col min="10" max="10" width="9.85546875" style="98" bestFit="1" customWidth="1"/>
    <col min="11" max="11" width="11.140625" style="98" bestFit="1" customWidth="1"/>
    <col min="12" max="12" width="10" style="98" bestFit="1" customWidth="1"/>
    <col min="13" max="14" width="13.28515625" style="98" bestFit="1" customWidth="1"/>
    <col min="15" max="15" width="10.140625" style="98" customWidth="1"/>
    <col min="16" max="16" width="9.5703125" style="98" customWidth="1"/>
    <col min="17" max="17" width="10.42578125" style="98" customWidth="1"/>
    <col min="18" max="18" width="11.140625" style="98" customWidth="1"/>
    <col min="19" max="19" width="8.42578125" style="98" customWidth="1"/>
    <col min="20" max="20" width="10.140625" style="98" customWidth="1"/>
    <col min="21" max="21" width="9.5703125" style="98" customWidth="1"/>
    <col min="22" max="22" width="10.42578125" style="98" customWidth="1"/>
    <col min="23" max="23" width="9.5703125" style="98" customWidth="1"/>
    <col min="24" max="24" width="9" style="98" customWidth="1"/>
    <col min="25" max="25" width="9.85546875" style="98" customWidth="1"/>
    <col min="26" max="26" width="9.5703125" style="98" customWidth="1"/>
    <col min="27" max="27" width="10.42578125" style="98" customWidth="1"/>
    <col min="28" max="28" width="9.5703125" style="98" customWidth="1"/>
    <col min="29" max="29" width="10.140625" style="98" customWidth="1"/>
    <col min="30" max="31" width="9.5703125" style="98" customWidth="1"/>
    <col min="32" max="32" width="11.140625" style="98" customWidth="1"/>
    <col min="33" max="33" width="9.5703125" style="98" customWidth="1"/>
    <col min="34" max="35" width="10.140625" style="98" customWidth="1"/>
    <col min="36" max="36" width="9.85546875" style="98" customWidth="1"/>
    <col min="37" max="37" width="10.140625" style="98" customWidth="1"/>
    <col min="38" max="38" width="9.5703125" style="98" customWidth="1"/>
    <col min="39" max="39" width="9.85546875" style="98" customWidth="1"/>
    <col min="40" max="40" width="10.140625" style="98" customWidth="1"/>
    <col min="41" max="41" width="9.5703125" style="98" customWidth="1"/>
    <col min="42" max="42" width="10.140625" style="98" customWidth="1"/>
    <col min="43" max="43" width="9.5703125" style="98" customWidth="1"/>
    <col min="44" max="44" width="10.42578125" style="98" customWidth="1"/>
    <col min="45" max="45" width="9.5703125" style="98" customWidth="1"/>
    <col min="46" max="46" width="10.42578125" style="98" customWidth="1"/>
    <col min="47" max="47" width="10.140625" style="98" customWidth="1"/>
    <col min="48" max="48" width="9.5703125" style="98" customWidth="1"/>
    <col min="49" max="49" width="10.42578125" style="98" customWidth="1"/>
    <col min="50" max="50" width="9.5703125" style="98" customWidth="1"/>
    <col min="51" max="51" width="10.42578125" style="98" customWidth="1"/>
    <col min="52" max="52" width="10.140625" style="98" customWidth="1"/>
    <col min="53" max="53" width="9.5703125" style="98" customWidth="1"/>
    <col min="54" max="54" width="10.42578125" style="98" customWidth="1"/>
    <col min="55" max="55" width="9.5703125" style="98" customWidth="1"/>
    <col min="56" max="56" width="10.42578125" style="98" customWidth="1"/>
    <col min="57" max="57" width="10.140625" style="98" customWidth="1"/>
    <col min="58" max="58" width="9.5703125" style="98" customWidth="1"/>
    <col min="59" max="59" width="10.42578125" style="98" customWidth="1"/>
    <col min="60" max="60" width="9.5703125" style="98" bestFit="1" customWidth="1"/>
    <col min="61" max="61" width="10.42578125" style="98" bestFit="1" customWidth="1"/>
    <col min="62" max="62" width="10.140625" style="98" bestFit="1" customWidth="1"/>
    <col min="63" max="63" width="9.5703125" style="98" customWidth="1"/>
    <col min="64" max="64" width="10.42578125" style="98" bestFit="1" customWidth="1"/>
    <col min="65" max="65" width="9.5703125" style="98" bestFit="1" customWidth="1"/>
    <col min="66" max="66" width="10.42578125" style="98" bestFit="1" customWidth="1"/>
    <col min="67" max="67" width="10.140625" style="98" bestFit="1" customWidth="1"/>
    <col min="68" max="68" width="9.5703125" style="98" customWidth="1"/>
    <col min="69" max="69" width="10.42578125" style="98" bestFit="1" customWidth="1"/>
    <col min="70" max="70" width="9.140625" style="98"/>
    <col min="71" max="71" width="10.5703125" style="98" bestFit="1" customWidth="1"/>
    <col min="72" max="16384" width="9.140625" style="98"/>
  </cols>
  <sheetData>
    <row r="1" spans="1:71" s="161" customFormat="1" ht="30" x14ac:dyDescent="0.25">
      <c r="A1" s="165" t="s">
        <v>673</v>
      </c>
      <c r="B1" s="164" t="s">
        <v>298</v>
      </c>
      <c r="C1" s="164" t="s">
        <v>6</v>
      </c>
      <c r="D1" s="164" t="s">
        <v>3</v>
      </c>
      <c r="E1" s="165" t="s">
        <v>1296</v>
      </c>
      <c r="F1" s="165" t="s">
        <v>1297</v>
      </c>
      <c r="G1" s="164" t="s">
        <v>1298</v>
      </c>
      <c r="H1" s="165" t="s">
        <v>1299</v>
      </c>
      <c r="I1" s="164" t="s">
        <v>1300</v>
      </c>
      <c r="J1" s="226"/>
      <c r="K1" s="227"/>
      <c r="L1" s="227"/>
      <c r="M1" s="227">
        <v>40787</v>
      </c>
      <c r="N1" s="227"/>
      <c r="O1" s="226"/>
      <c r="P1" s="227"/>
      <c r="Q1" s="227"/>
      <c r="R1" s="227">
        <v>40817</v>
      </c>
      <c r="S1" s="227"/>
      <c r="T1" s="226"/>
      <c r="U1" s="227"/>
      <c r="V1" s="227"/>
      <c r="W1" s="227">
        <v>40848</v>
      </c>
      <c r="X1" s="227"/>
      <c r="Y1" s="226"/>
      <c r="Z1" s="227"/>
      <c r="AA1" s="227"/>
      <c r="AB1" s="227">
        <v>40878</v>
      </c>
      <c r="AC1" s="227"/>
      <c r="AD1" s="226"/>
      <c r="AE1" s="227"/>
      <c r="AF1" s="227"/>
      <c r="AG1" s="227">
        <v>40909</v>
      </c>
      <c r="AH1" s="227"/>
      <c r="AI1" s="226"/>
      <c r="AJ1" s="227"/>
      <c r="AK1" s="227"/>
      <c r="AL1" s="227">
        <v>40940</v>
      </c>
      <c r="AM1" s="227"/>
      <c r="AN1" s="226"/>
      <c r="AO1" s="227"/>
      <c r="AP1" s="227"/>
      <c r="AQ1" s="227">
        <v>40969</v>
      </c>
      <c r="AR1" s="227"/>
      <c r="AS1" s="226"/>
      <c r="AT1" s="227"/>
      <c r="AU1" s="227"/>
      <c r="AV1" s="227">
        <v>41000</v>
      </c>
      <c r="AW1" s="227"/>
      <c r="AX1" s="226"/>
      <c r="AY1" s="227"/>
      <c r="AZ1" s="227"/>
      <c r="BA1" s="227">
        <v>41030</v>
      </c>
      <c r="BB1" s="227"/>
      <c r="BC1" s="226"/>
      <c r="BD1" s="227"/>
      <c r="BE1" s="227"/>
      <c r="BF1" s="227">
        <v>41061</v>
      </c>
      <c r="BG1" s="227"/>
      <c r="BH1" s="226"/>
      <c r="BI1" s="227"/>
      <c r="BJ1" s="227"/>
      <c r="BK1" s="227">
        <v>41091</v>
      </c>
      <c r="BL1" s="227"/>
      <c r="BM1" s="226"/>
      <c r="BN1" s="227"/>
      <c r="BO1" s="227"/>
      <c r="BP1" s="227">
        <v>41214</v>
      </c>
      <c r="BQ1" s="228"/>
    </row>
    <row r="2" spans="1:71" x14ac:dyDescent="0.25">
      <c r="A2" s="189" t="s">
        <v>643</v>
      </c>
      <c r="B2" s="183" t="s">
        <v>1301</v>
      </c>
      <c r="C2" s="229" t="s">
        <v>1302</v>
      </c>
      <c r="D2" s="184" t="s">
        <v>643</v>
      </c>
      <c r="E2" s="184"/>
      <c r="F2" s="230">
        <v>0</v>
      </c>
      <c r="G2" s="189" t="s">
        <v>1303</v>
      </c>
      <c r="H2" s="189" t="s">
        <v>1304</v>
      </c>
      <c r="I2" s="184"/>
      <c r="J2" s="231" t="s">
        <v>1305</v>
      </c>
      <c r="K2" s="189" t="s">
        <v>1306</v>
      </c>
      <c r="L2" s="189" t="s">
        <v>1303</v>
      </c>
      <c r="M2" s="232" t="s">
        <v>1304</v>
      </c>
      <c r="N2" s="232" t="s">
        <v>1307</v>
      </c>
      <c r="O2" s="233" t="s">
        <v>1305</v>
      </c>
      <c r="P2" s="189" t="s">
        <v>1306</v>
      </c>
      <c r="Q2" s="232" t="s">
        <v>1303</v>
      </c>
      <c r="R2" s="232" t="s">
        <v>1304</v>
      </c>
      <c r="S2" s="232" t="s">
        <v>1307</v>
      </c>
      <c r="T2" s="233" t="s">
        <v>1305</v>
      </c>
      <c r="U2" s="189" t="s">
        <v>1306</v>
      </c>
      <c r="V2" s="232" t="s">
        <v>1303</v>
      </c>
      <c r="W2" s="232" t="s">
        <v>1304</v>
      </c>
      <c r="X2" s="232" t="s">
        <v>1307</v>
      </c>
      <c r="Y2" s="233" t="s">
        <v>1305</v>
      </c>
      <c r="Z2" s="189" t="s">
        <v>1306</v>
      </c>
      <c r="AA2" s="232" t="s">
        <v>1303</v>
      </c>
      <c r="AB2" s="232" t="s">
        <v>1304</v>
      </c>
      <c r="AC2" s="232" t="s">
        <v>1307</v>
      </c>
      <c r="AD2" s="233" t="s">
        <v>1305</v>
      </c>
      <c r="AE2" s="189" t="s">
        <v>1306</v>
      </c>
      <c r="AF2" s="232" t="s">
        <v>1303</v>
      </c>
      <c r="AG2" s="232" t="s">
        <v>1304</v>
      </c>
      <c r="AH2" s="232" t="s">
        <v>1307</v>
      </c>
      <c r="AI2" s="233" t="s">
        <v>1305</v>
      </c>
      <c r="AJ2" s="189" t="s">
        <v>1306</v>
      </c>
      <c r="AK2" s="232" t="s">
        <v>1303</v>
      </c>
      <c r="AL2" s="232" t="s">
        <v>1304</v>
      </c>
      <c r="AM2" s="232" t="s">
        <v>1307</v>
      </c>
      <c r="AN2" s="233" t="s">
        <v>1305</v>
      </c>
      <c r="AO2" s="189" t="s">
        <v>1306</v>
      </c>
      <c r="AP2" s="232" t="s">
        <v>1303</v>
      </c>
      <c r="AQ2" s="232" t="s">
        <v>1304</v>
      </c>
      <c r="AR2" s="232" t="s">
        <v>1307</v>
      </c>
      <c r="AS2" s="233" t="s">
        <v>1305</v>
      </c>
      <c r="AT2" s="189" t="s">
        <v>1306</v>
      </c>
      <c r="AU2" s="232" t="s">
        <v>1303</v>
      </c>
      <c r="AV2" s="232" t="s">
        <v>1304</v>
      </c>
      <c r="AW2" s="232" t="s">
        <v>1307</v>
      </c>
      <c r="AX2" s="233" t="s">
        <v>1305</v>
      </c>
      <c r="AY2" s="189" t="s">
        <v>1306</v>
      </c>
      <c r="AZ2" s="232" t="s">
        <v>1303</v>
      </c>
      <c r="BA2" s="232" t="s">
        <v>1304</v>
      </c>
      <c r="BB2" s="232" t="s">
        <v>1307</v>
      </c>
      <c r="BC2" s="233" t="s">
        <v>1305</v>
      </c>
      <c r="BD2" s="189" t="s">
        <v>1306</v>
      </c>
      <c r="BE2" s="232" t="s">
        <v>1303</v>
      </c>
      <c r="BF2" s="232" t="s">
        <v>1304</v>
      </c>
      <c r="BG2" s="232" t="s">
        <v>1307</v>
      </c>
      <c r="BH2" s="233" t="s">
        <v>1305</v>
      </c>
      <c r="BI2" s="189" t="s">
        <v>1306</v>
      </c>
      <c r="BJ2" s="232" t="s">
        <v>1303</v>
      </c>
      <c r="BK2" s="232" t="s">
        <v>1304</v>
      </c>
      <c r="BL2" s="232" t="s">
        <v>1307</v>
      </c>
      <c r="BM2" s="233" t="s">
        <v>1305</v>
      </c>
      <c r="BN2" s="189" t="s">
        <v>1306</v>
      </c>
      <c r="BO2" s="232" t="s">
        <v>1303</v>
      </c>
      <c r="BP2" s="232" t="s">
        <v>1304</v>
      </c>
      <c r="BQ2" s="234" t="s">
        <v>1307</v>
      </c>
    </row>
    <row r="3" spans="1:71" x14ac:dyDescent="0.25">
      <c r="A3" s="101">
        <v>11</v>
      </c>
      <c r="B3" s="161" t="s">
        <v>1308</v>
      </c>
      <c r="C3" s="235">
        <v>124</v>
      </c>
      <c r="D3" s="98" t="s">
        <v>1309</v>
      </c>
      <c r="E3" s="190">
        <v>22940</v>
      </c>
      <c r="F3" s="235">
        <v>185</v>
      </c>
      <c r="G3" s="225">
        <v>121</v>
      </c>
      <c r="H3" s="237">
        <v>23188.920000000002</v>
      </c>
      <c r="I3" s="224">
        <v>185.69421487603304</v>
      </c>
      <c r="J3" s="238">
        <v>12</v>
      </c>
      <c r="K3" s="239">
        <v>2220</v>
      </c>
      <c r="L3" s="225">
        <v>0</v>
      </c>
      <c r="M3" s="236">
        <v>720</v>
      </c>
      <c r="N3" s="237">
        <v>0</v>
      </c>
      <c r="O3" s="238">
        <v>24</v>
      </c>
      <c r="P3" s="239">
        <v>4440</v>
      </c>
      <c r="Q3" s="225">
        <v>38</v>
      </c>
      <c r="R3" s="236">
        <v>7669.1</v>
      </c>
      <c r="S3" s="237">
        <v>7030</v>
      </c>
      <c r="T3" s="238">
        <v>56</v>
      </c>
      <c r="U3" s="239">
        <v>10360</v>
      </c>
      <c r="V3" s="225">
        <v>62</v>
      </c>
      <c r="W3" s="236">
        <v>12165</v>
      </c>
      <c r="X3" s="237">
        <v>11470</v>
      </c>
      <c r="Y3" s="238">
        <v>68</v>
      </c>
      <c r="Z3" s="239">
        <v>12580</v>
      </c>
      <c r="AA3" s="225">
        <v>70</v>
      </c>
      <c r="AB3" s="236">
        <v>13592.52</v>
      </c>
      <c r="AC3" s="237">
        <v>12950</v>
      </c>
      <c r="AD3" s="238">
        <v>84</v>
      </c>
      <c r="AE3" s="239">
        <v>15540</v>
      </c>
      <c r="AF3" s="225">
        <v>70</v>
      </c>
      <c r="AG3" s="236">
        <v>13592.52</v>
      </c>
      <c r="AH3" s="237">
        <v>12950</v>
      </c>
      <c r="AI3" s="238">
        <v>96</v>
      </c>
      <c r="AJ3" s="239">
        <v>17760</v>
      </c>
      <c r="AK3" s="225">
        <v>81</v>
      </c>
      <c r="AL3" s="236">
        <v>15710.37</v>
      </c>
      <c r="AM3" s="237">
        <v>14985</v>
      </c>
      <c r="AN3" s="238">
        <v>104</v>
      </c>
      <c r="AO3" s="239">
        <v>19240</v>
      </c>
      <c r="AP3" s="225">
        <v>100</v>
      </c>
      <c r="AQ3" s="236">
        <v>19270.52</v>
      </c>
      <c r="AR3" s="237">
        <v>18500</v>
      </c>
      <c r="AS3" s="238">
        <v>124</v>
      </c>
      <c r="AT3" s="239">
        <v>22940</v>
      </c>
      <c r="AU3" s="225">
        <v>121</v>
      </c>
      <c r="AV3" s="236">
        <v>20342.920000000002</v>
      </c>
      <c r="AW3" s="237">
        <v>22385</v>
      </c>
      <c r="AX3" s="238">
        <v>124</v>
      </c>
      <c r="AY3" s="239">
        <v>22940</v>
      </c>
      <c r="AZ3" s="225">
        <v>121</v>
      </c>
      <c r="BA3" s="236">
        <v>20567.320000000003</v>
      </c>
      <c r="BB3" s="237">
        <v>22385</v>
      </c>
      <c r="BC3" s="238">
        <v>124</v>
      </c>
      <c r="BD3" s="239">
        <v>22940</v>
      </c>
      <c r="BE3" s="225">
        <v>121</v>
      </c>
      <c r="BF3" s="236">
        <v>23188.920000000002</v>
      </c>
      <c r="BG3" s="237">
        <v>22385</v>
      </c>
      <c r="BH3" s="238">
        <v>124</v>
      </c>
      <c r="BI3" s="239">
        <v>22940</v>
      </c>
      <c r="BJ3" s="225">
        <v>121</v>
      </c>
      <c r="BK3" s="236">
        <v>23188.920000000002</v>
      </c>
      <c r="BL3" s="237">
        <v>22385</v>
      </c>
      <c r="BM3" s="238">
        <v>124</v>
      </c>
      <c r="BN3" s="239">
        <v>22940</v>
      </c>
      <c r="BO3" s="225">
        <v>121</v>
      </c>
      <c r="BP3" s="236">
        <v>23188.920000000002</v>
      </c>
      <c r="BQ3" s="248">
        <v>22940</v>
      </c>
      <c r="BS3" s="192"/>
    </row>
    <row r="4" spans="1:71" x14ac:dyDescent="0.25">
      <c r="A4" s="101">
        <v>13</v>
      </c>
      <c r="B4" s="161" t="s">
        <v>1310</v>
      </c>
      <c r="C4" s="235">
        <v>1</v>
      </c>
      <c r="D4" s="98" t="s">
        <v>1311</v>
      </c>
      <c r="E4" s="190">
        <v>33460</v>
      </c>
      <c r="F4" s="235">
        <v>33460</v>
      </c>
      <c r="G4" s="225">
        <v>1</v>
      </c>
      <c r="H4" s="237">
        <v>5728.34</v>
      </c>
      <c r="I4" s="224">
        <v>6448</v>
      </c>
      <c r="J4" s="238">
        <v>0.1</v>
      </c>
      <c r="K4" s="239">
        <v>3346</v>
      </c>
      <c r="L4" s="225">
        <v>0.1</v>
      </c>
      <c r="M4" s="236">
        <v>0</v>
      </c>
      <c r="N4" s="237">
        <v>3346</v>
      </c>
      <c r="O4" s="238">
        <v>0.2</v>
      </c>
      <c r="P4" s="239">
        <v>6692</v>
      </c>
      <c r="Q4" s="225">
        <v>0.25</v>
      </c>
      <c r="R4" s="236">
        <v>1600</v>
      </c>
      <c r="S4" s="237">
        <v>8365</v>
      </c>
      <c r="T4" s="238">
        <v>0.4</v>
      </c>
      <c r="U4" s="239">
        <v>13384</v>
      </c>
      <c r="V4" s="225">
        <v>0.4</v>
      </c>
      <c r="W4" s="236">
        <v>2769.54</v>
      </c>
      <c r="X4" s="237">
        <v>13384</v>
      </c>
      <c r="Y4" s="238">
        <v>0.6</v>
      </c>
      <c r="Z4" s="239">
        <v>20076</v>
      </c>
      <c r="AA4" s="225">
        <v>0.4</v>
      </c>
      <c r="AB4" s="236">
        <v>2769.54</v>
      </c>
      <c r="AC4" s="237">
        <v>13384</v>
      </c>
      <c r="AD4" s="238">
        <v>0.7</v>
      </c>
      <c r="AE4" s="239">
        <v>23422</v>
      </c>
      <c r="AF4" s="225">
        <v>0.75</v>
      </c>
      <c r="AG4" s="236">
        <v>4151.4399999999996</v>
      </c>
      <c r="AH4" s="237">
        <v>25095</v>
      </c>
      <c r="AI4" s="238">
        <v>0.9</v>
      </c>
      <c r="AJ4" s="239">
        <v>30114</v>
      </c>
      <c r="AK4" s="225">
        <v>0.75</v>
      </c>
      <c r="AL4" s="236">
        <v>4151.4399999999996</v>
      </c>
      <c r="AM4" s="237">
        <v>25095</v>
      </c>
      <c r="AN4" s="238">
        <v>1</v>
      </c>
      <c r="AO4" s="239">
        <v>33460</v>
      </c>
      <c r="AP4" s="225">
        <v>1</v>
      </c>
      <c r="AQ4" s="236">
        <v>5728.34</v>
      </c>
      <c r="AR4" s="237">
        <v>33460</v>
      </c>
      <c r="AS4" s="238">
        <v>1</v>
      </c>
      <c r="AT4" s="239">
        <v>33460</v>
      </c>
      <c r="AU4" s="225">
        <v>1</v>
      </c>
      <c r="AV4" s="236">
        <v>5728.34</v>
      </c>
      <c r="AW4" s="237">
        <v>33460</v>
      </c>
      <c r="AX4" s="238">
        <v>1</v>
      </c>
      <c r="AY4" s="239">
        <v>33460</v>
      </c>
      <c r="AZ4" s="225">
        <v>1</v>
      </c>
      <c r="BA4" s="236">
        <v>5728.34</v>
      </c>
      <c r="BB4" s="237">
        <v>33460</v>
      </c>
      <c r="BC4" s="238">
        <v>1</v>
      </c>
      <c r="BD4" s="239">
        <v>33460</v>
      </c>
      <c r="BE4" s="225">
        <v>1</v>
      </c>
      <c r="BF4" s="236">
        <v>5728.34</v>
      </c>
      <c r="BG4" s="237">
        <v>33460</v>
      </c>
      <c r="BH4" s="238">
        <v>1</v>
      </c>
      <c r="BI4" s="239">
        <v>33460</v>
      </c>
      <c r="BJ4" s="225">
        <v>1</v>
      </c>
      <c r="BK4" s="236">
        <v>5728.34</v>
      </c>
      <c r="BL4" s="237">
        <v>33460</v>
      </c>
      <c r="BM4" s="238">
        <v>1</v>
      </c>
      <c r="BN4" s="239">
        <v>33460</v>
      </c>
      <c r="BO4" s="225">
        <v>1</v>
      </c>
      <c r="BP4" s="236">
        <v>5728.34</v>
      </c>
      <c r="BQ4" s="248">
        <v>33460</v>
      </c>
      <c r="BS4" s="192"/>
    </row>
    <row r="5" spans="1:71" x14ac:dyDescent="0.25">
      <c r="A5" s="101">
        <v>15</v>
      </c>
      <c r="B5" s="161" t="s">
        <v>1312</v>
      </c>
      <c r="C5" s="235">
        <v>18</v>
      </c>
      <c r="D5" s="98" t="s">
        <v>1309</v>
      </c>
      <c r="E5" s="190">
        <v>4455</v>
      </c>
      <c r="F5" s="235">
        <v>247.5</v>
      </c>
      <c r="G5" s="225">
        <v>3.5</v>
      </c>
      <c r="H5" s="237">
        <v>857.5</v>
      </c>
      <c r="I5" s="224">
        <v>245.14285714285714</v>
      </c>
      <c r="J5" s="238">
        <v>0</v>
      </c>
      <c r="K5" s="239">
        <v>0</v>
      </c>
      <c r="L5" s="225">
        <v>0</v>
      </c>
      <c r="M5" s="236">
        <v>0</v>
      </c>
      <c r="N5" s="237">
        <v>0</v>
      </c>
      <c r="O5" s="238">
        <v>0</v>
      </c>
      <c r="P5" s="239">
        <v>0</v>
      </c>
      <c r="Q5" s="225">
        <v>0</v>
      </c>
      <c r="R5" s="236">
        <v>0</v>
      </c>
      <c r="S5" s="237">
        <v>0</v>
      </c>
      <c r="T5" s="238">
        <v>0</v>
      </c>
      <c r="U5" s="239">
        <v>0</v>
      </c>
      <c r="V5" s="225">
        <v>0</v>
      </c>
      <c r="W5" s="236">
        <v>130</v>
      </c>
      <c r="X5" s="237">
        <v>0</v>
      </c>
      <c r="Y5" s="238">
        <v>0</v>
      </c>
      <c r="Z5" s="239">
        <v>0</v>
      </c>
      <c r="AA5" s="225">
        <v>0</v>
      </c>
      <c r="AB5" s="236">
        <v>130</v>
      </c>
      <c r="AC5" s="237">
        <v>0</v>
      </c>
      <c r="AD5" s="238">
        <v>18</v>
      </c>
      <c r="AE5" s="239">
        <v>4455</v>
      </c>
      <c r="AF5" s="225">
        <v>0</v>
      </c>
      <c r="AG5" s="236">
        <v>130</v>
      </c>
      <c r="AH5" s="237">
        <v>0</v>
      </c>
      <c r="AI5" s="238">
        <v>18</v>
      </c>
      <c r="AJ5" s="239">
        <v>4455</v>
      </c>
      <c r="AK5" s="225">
        <v>0</v>
      </c>
      <c r="AL5" s="236">
        <v>130</v>
      </c>
      <c r="AM5" s="237">
        <v>0</v>
      </c>
      <c r="AN5" s="238">
        <v>18</v>
      </c>
      <c r="AO5" s="239">
        <v>4455</v>
      </c>
      <c r="AP5" s="225">
        <v>0</v>
      </c>
      <c r="AQ5" s="236">
        <v>130</v>
      </c>
      <c r="AR5" s="237">
        <v>0</v>
      </c>
      <c r="AS5" s="238">
        <v>18</v>
      </c>
      <c r="AT5" s="239">
        <v>4455</v>
      </c>
      <c r="AU5" s="225">
        <v>3.5</v>
      </c>
      <c r="AV5" s="236">
        <v>857.5</v>
      </c>
      <c r="AW5" s="237">
        <v>866.25</v>
      </c>
      <c r="AX5" s="238">
        <v>18</v>
      </c>
      <c r="AY5" s="239">
        <v>4455</v>
      </c>
      <c r="AZ5" s="225">
        <v>3.5</v>
      </c>
      <c r="BA5" s="236">
        <v>857.5</v>
      </c>
      <c r="BB5" s="237">
        <v>866.25</v>
      </c>
      <c r="BC5" s="238">
        <v>18</v>
      </c>
      <c r="BD5" s="239">
        <v>4455</v>
      </c>
      <c r="BE5" s="225">
        <v>3.5</v>
      </c>
      <c r="BF5" s="236">
        <v>857.5</v>
      </c>
      <c r="BG5" s="237">
        <v>866.25</v>
      </c>
      <c r="BH5" s="238">
        <v>18</v>
      </c>
      <c r="BI5" s="239">
        <v>4455</v>
      </c>
      <c r="BJ5" s="225">
        <v>3.5</v>
      </c>
      <c r="BK5" s="236">
        <v>857.5</v>
      </c>
      <c r="BL5" s="237">
        <v>866.25</v>
      </c>
      <c r="BM5" s="238">
        <v>18</v>
      </c>
      <c r="BN5" s="239">
        <v>4455</v>
      </c>
      <c r="BO5" s="225">
        <v>3.5</v>
      </c>
      <c r="BP5" s="236">
        <v>857.5</v>
      </c>
      <c r="BQ5" s="248">
        <v>4455</v>
      </c>
      <c r="BS5" s="192"/>
    </row>
    <row r="6" spans="1:71" x14ac:dyDescent="0.25">
      <c r="A6" s="101">
        <v>22</v>
      </c>
      <c r="B6" s="161" t="s">
        <v>1313</v>
      </c>
      <c r="C6" s="235">
        <v>1</v>
      </c>
      <c r="D6" s="98" t="s">
        <v>1311</v>
      </c>
      <c r="E6" s="190">
        <v>20750</v>
      </c>
      <c r="F6" s="235">
        <v>20750</v>
      </c>
      <c r="G6" s="225">
        <v>1</v>
      </c>
      <c r="H6" s="237">
        <v>13933.58</v>
      </c>
      <c r="I6" s="224">
        <v>13934</v>
      </c>
      <c r="J6" s="238">
        <v>0</v>
      </c>
      <c r="K6" s="239">
        <v>0</v>
      </c>
      <c r="L6" s="225">
        <v>0</v>
      </c>
      <c r="M6" s="236">
        <v>0</v>
      </c>
      <c r="N6" s="237">
        <v>0</v>
      </c>
      <c r="O6" s="238">
        <v>0.5</v>
      </c>
      <c r="P6" s="239">
        <v>10375</v>
      </c>
      <c r="Q6" s="225">
        <v>0.25</v>
      </c>
      <c r="R6" s="236">
        <v>3641.7499999999995</v>
      </c>
      <c r="S6" s="237">
        <v>5187.5</v>
      </c>
      <c r="T6" s="238">
        <v>1</v>
      </c>
      <c r="U6" s="239">
        <v>20750</v>
      </c>
      <c r="V6" s="225">
        <v>1</v>
      </c>
      <c r="W6" s="236">
        <v>13933.58</v>
      </c>
      <c r="X6" s="237">
        <v>20750</v>
      </c>
      <c r="Y6" s="238">
        <v>1</v>
      </c>
      <c r="Z6" s="239">
        <v>20750</v>
      </c>
      <c r="AA6" s="225"/>
      <c r="AB6" s="236">
        <v>13933.58</v>
      </c>
      <c r="AC6" s="237">
        <v>0</v>
      </c>
      <c r="AD6" s="238">
        <v>1</v>
      </c>
      <c r="AE6" s="239">
        <v>20750</v>
      </c>
      <c r="AF6" s="225"/>
      <c r="AG6" s="236">
        <v>13933.58</v>
      </c>
      <c r="AH6" s="237">
        <v>0</v>
      </c>
      <c r="AI6" s="238">
        <v>1</v>
      </c>
      <c r="AJ6" s="239">
        <v>20750</v>
      </c>
      <c r="AK6" s="225"/>
      <c r="AL6" s="236">
        <v>13933.58</v>
      </c>
      <c r="AM6" s="237">
        <v>0</v>
      </c>
      <c r="AN6" s="238">
        <v>1</v>
      </c>
      <c r="AO6" s="239">
        <v>20750</v>
      </c>
      <c r="AP6" s="225"/>
      <c r="AQ6" s="236">
        <v>13933.58</v>
      </c>
      <c r="AR6" s="237">
        <v>0</v>
      </c>
      <c r="AS6" s="238">
        <v>1</v>
      </c>
      <c r="AT6" s="239">
        <v>20750</v>
      </c>
      <c r="AU6" s="225">
        <v>1</v>
      </c>
      <c r="AV6" s="236">
        <v>13933.58</v>
      </c>
      <c r="AW6" s="237">
        <v>20750</v>
      </c>
      <c r="AX6" s="238">
        <v>1</v>
      </c>
      <c r="AY6" s="239">
        <v>20750</v>
      </c>
      <c r="AZ6" s="225">
        <v>1</v>
      </c>
      <c r="BA6" s="236">
        <v>13933.58</v>
      </c>
      <c r="BB6" s="237">
        <v>20750</v>
      </c>
      <c r="BC6" s="238">
        <v>1</v>
      </c>
      <c r="BD6" s="239">
        <v>20750</v>
      </c>
      <c r="BE6" s="225">
        <v>1</v>
      </c>
      <c r="BF6" s="236">
        <v>13933.58</v>
      </c>
      <c r="BG6" s="237">
        <v>20750</v>
      </c>
      <c r="BH6" s="238">
        <v>1</v>
      </c>
      <c r="BI6" s="239">
        <v>20750</v>
      </c>
      <c r="BJ6" s="225">
        <v>1</v>
      </c>
      <c r="BK6" s="236">
        <v>13933.58</v>
      </c>
      <c r="BL6" s="237">
        <v>20750</v>
      </c>
      <c r="BM6" s="238">
        <v>1</v>
      </c>
      <c r="BN6" s="239">
        <v>20750</v>
      </c>
      <c r="BO6" s="225">
        <v>1</v>
      </c>
      <c r="BP6" s="236">
        <v>13933.58</v>
      </c>
      <c r="BQ6" s="248">
        <v>20750</v>
      </c>
      <c r="BS6" s="192"/>
    </row>
    <row r="7" spans="1:71" x14ac:dyDescent="0.25">
      <c r="A7" s="101">
        <v>31</v>
      </c>
      <c r="B7" s="161" t="s">
        <v>1314</v>
      </c>
      <c r="C7" s="235">
        <v>720</v>
      </c>
      <c r="D7" s="98" t="s">
        <v>706</v>
      </c>
      <c r="E7" s="190">
        <v>7979.770777077707</v>
      </c>
      <c r="F7" s="235">
        <v>11.083014968163482</v>
      </c>
      <c r="G7" s="225">
        <v>730</v>
      </c>
      <c r="H7" s="237">
        <v>72746.429999999993</v>
      </c>
      <c r="I7" s="224">
        <v>99.652054794520552</v>
      </c>
      <c r="J7" s="238">
        <v>700</v>
      </c>
      <c r="K7" s="239">
        <v>7758.1104777144374</v>
      </c>
      <c r="L7" s="225">
        <v>650</v>
      </c>
      <c r="M7" s="236">
        <v>65243.680000000008</v>
      </c>
      <c r="N7" s="237">
        <v>7203.9597293062634</v>
      </c>
      <c r="O7" s="238">
        <v>700</v>
      </c>
      <c r="P7" s="239">
        <v>7758.1104777144374</v>
      </c>
      <c r="Q7" s="225">
        <v>700</v>
      </c>
      <c r="R7" s="236">
        <v>70756.180000000008</v>
      </c>
      <c r="S7" s="237">
        <v>7758.1104777144374</v>
      </c>
      <c r="T7" s="238">
        <v>700</v>
      </c>
      <c r="U7" s="239">
        <v>7758.1104777144374</v>
      </c>
      <c r="V7" s="225">
        <v>700</v>
      </c>
      <c r="W7" s="236">
        <v>70756.180000000008</v>
      </c>
      <c r="X7" s="237">
        <v>7758.1104777144374</v>
      </c>
      <c r="Y7" s="238">
        <v>700</v>
      </c>
      <c r="Z7" s="239">
        <v>7758.1104777144374</v>
      </c>
      <c r="AA7" s="225">
        <v>700</v>
      </c>
      <c r="AB7" s="236">
        <v>70756.180000000008</v>
      </c>
      <c r="AC7" s="237">
        <v>7758.1104777144374</v>
      </c>
      <c r="AD7" s="238">
        <v>700</v>
      </c>
      <c r="AE7" s="239">
        <v>7758.1104777144374</v>
      </c>
      <c r="AF7" s="225">
        <v>700</v>
      </c>
      <c r="AG7" s="236">
        <v>70756.180000000008</v>
      </c>
      <c r="AH7" s="237">
        <v>7758.1104777144374</v>
      </c>
      <c r="AI7" s="238">
        <v>700</v>
      </c>
      <c r="AJ7" s="239">
        <v>7758.1104777144374</v>
      </c>
      <c r="AK7" s="225">
        <v>720</v>
      </c>
      <c r="AL7" s="236">
        <v>71161.180000000008</v>
      </c>
      <c r="AM7" s="237">
        <v>7979.770777077707</v>
      </c>
      <c r="AN7" s="238">
        <v>720</v>
      </c>
      <c r="AO7" s="239">
        <v>7979.770777077707</v>
      </c>
      <c r="AP7" s="225">
        <v>720</v>
      </c>
      <c r="AQ7" s="236">
        <v>71161.180000000008</v>
      </c>
      <c r="AR7" s="237">
        <v>7979.770777077707</v>
      </c>
      <c r="AS7" s="238">
        <v>720</v>
      </c>
      <c r="AT7" s="239">
        <v>7979.770777077707</v>
      </c>
      <c r="AU7" s="225">
        <v>730</v>
      </c>
      <c r="AV7" s="236">
        <v>71161.180000000008</v>
      </c>
      <c r="AW7" s="237">
        <v>8090.6009267593417</v>
      </c>
      <c r="AX7" s="238">
        <v>720</v>
      </c>
      <c r="AY7" s="239">
        <v>7979.770777077707</v>
      </c>
      <c r="AZ7" s="225">
        <v>730</v>
      </c>
      <c r="BA7" s="236">
        <v>72746.429999999993</v>
      </c>
      <c r="BB7" s="237">
        <v>8090.6009267593417</v>
      </c>
      <c r="BC7" s="238">
        <v>720</v>
      </c>
      <c r="BD7" s="239">
        <v>7979.770777077707</v>
      </c>
      <c r="BE7" s="225">
        <v>730</v>
      </c>
      <c r="BF7" s="236">
        <v>72746.429999999993</v>
      </c>
      <c r="BG7" s="237">
        <v>8090.6009267593417</v>
      </c>
      <c r="BH7" s="238">
        <v>720</v>
      </c>
      <c r="BI7" s="239">
        <v>7979.770777077707</v>
      </c>
      <c r="BJ7" s="225">
        <v>730</v>
      </c>
      <c r="BK7" s="236">
        <v>72746.429999999993</v>
      </c>
      <c r="BL7" s="237">
        <v>8090.6009267593417</v>
      </c>
      <c r="BM7" s="238">
        <v>720</v>
      </c>
      <c r="BN7" s="239">
        <v>7979.770777077707</v>
      </c>
      <c r="BO7" s="225">
        <v>730</v>
      </c>
      <c r="BP7" s="236">
        <v>72746.429999999993</v>
      </c>
      <c r="BQ7" s="248">
        <v>7979.770777077707</v>
      </c>
      <c r="BS7" s="192"/>
    </row>
    <row r="8" spans="1:71" x14ac:dyDescent="0.25">
      <c r="A8" s="101">
        <v>41</v>
      </c>
      <c r="B8" s="161" t="s">
        <v>1315</v>
      </c>
      <c r="C8" s="235">
        <v>1</v>
      </c>
      <c r="D8" s="98" t="s">
        <v>1311</v>
      </c>
      <c r="E8" s="190">
        <v>15900</v>
      </c>
      <c r="F8" s="235">
        <v>15900</v>
      </c>
      <c r="G8" s="225">
        <v>1</v>
      </c>
      <c r="H8" s="237">
        <v>5217.4750000000004</v>
      </c>
      <c r="I8" s="224">
        <v>5217</v>
      </c>
      <c r="J8" s="238">
        <v>0</v>
      </c>
      <c r="K8" s="239">
        <v>0</v>
      </c>
      <c r="L8" s="225">
        <v>0</v>
      </c>
      <c r="M8" s="236">
        <v>0</v>
      </c>
      <c r="N8" s="237">
        <v>0</v>
      </c>
      <c r="O8" s="238">
        <v>0.5</v>
      </c>
      <c r="P8" s="239">
        <v>7950</v>
      </c>
      <c r="Q8" s="225">
        <v>0.5</v>
      </c>
      <c r="R8" s="236">
        <v>2852.4749999999999</v>
      </c>
      <c r="S8" s="237">
        <v>7950</v>
      </c>
      <c r="T8" s="238">
        <v>1</v>
      </c>
      <c r="U8" s="239">
        <v>15900</v>
      </c>
      <c r="V8" s="225">
        <v>1</v>
      </c>
      <c r="W8" s="236">
        <v>5217.4750000000004</v>
      </c>
      <c r="X8" s="237">
        <v>15900</v>
      </c>
      <c r="Y8" s="238">
        <v>1</v>
      </c>
      <c r="Z8" s="239">
        <v>15900</v>
      </c>
      <c r="AA8" s="225">
        <v>1</v>
      </c>
      <c r="AB8" s="236">
        <v>5217.4750000000004</v>
      </c>
      <c r="AC8" s="237">
        <v>15900</v>
      </c>
      <c r="AD8" s="238">
        <v>1</v>
      </c>
      <c r="AE8" s="239">
        <v>15900</v>
      </c>
      <c r="AF8" s="225">
        <v>1</v>
      </c>
      <c r="AG8" s="236">
        <v>5217.4750000000004</v>
      </c>
      <c r="AH8" s="237">
        <v>15900</v>
      </c>
      <c r="AI8" s="238">
        <v>1</v>
      </c>
      <c r="AJ8" s="239">
        <v>15900</v>
      </c>
      <c r="AK8" s="225">
        <v>1</v>
      </c>
      <c r="AL8" s="236">
        <v>5217.4750000000004</v>
      </c>
      <c r="AM8" s="237">
        <v>15900</v>
      </c>
      <c r="AN8" s="238">
        <v>1</v>
      </c>
      <c r="AO8" s="239">
        <v>15900</v>
      </c>
      <c r="AP8" s="225">
        <v>1</v>
      </c>
      <c r="AQ8" s="236">
        <v>5217.4750000000004</v>
      </c>
      <c r="AR8" s="237">
        <v>15900</v>
      </c>
      <c r="AS8" s="238">
        <v>1</v>
      </c>
      <c r="AT8" s="239">
        <v>15900</v>
      </c>
      <c r="AU8" s="225">
        <v>1</v>
      </c>
      <c r="AV8" s="236">
        <v>5217.4750000000004</v>
      </c>
      <c r="AW8" s="237">
        <v>15900</v>
      </c>
      <c r="AX8" s="238">
        <v>1</v>
      </c>
      <c r="AY8" s="239">
        <v>15900</v>
      </c>
      <c r="AZ8" s="225">
        <v>1</v>
      </c>
      <c r="BA8" s="236">
        <v>5217.4750000000004</v>
      </c>
      <c r="BB8" s="237">
        <v>15900</v>
      </c>
      <c r="BC8" s="238">
        <v>1</v>
      </c>
      <c r="BD8" s="239">
        <v>15900</v>
      </c>
      <c r="BE8" s="225">
        <v>1</v>
      </c>
      <c r="BF8" s="236">
        <v>5217.4750000000004</v>
      </c>
      <c r="BG8" s="237">
        <v>15900</v>
      </c>
      <c r="BH8" s="238">
        <v>1</v>
      </c>
      <c r="BI8" s="239">
        <v>15900</v>
      </c>
      <c r="BJ8" s="225">
        <v>1</v>
      </c>
      <c r="BK8" s="236">
        <v>5217.4750000000004</v>
      </c>
      <c r="BL8" s="237">
        <v>15900</v>
      </c>
      <c r="BM8" s="238">
        <v>1</v>
      </c>
      <c r="BN8" s="239">
        <v>15900</v>
      </c>
      <c r="BO8" s="225">
        <v>1</v>
      </c>
      <c r="BP8" s="236">
        <v>5217.4750000000004</v>
      </c>
      <c r="BQ8" s="248">
        <v>15900</v>
      </c>
      <c r="BS8" s="192"/>
    </row>
    <row r="9" spans="1:71" x14ac:dyDescent="0.25">
      <c r="A9" s="101">
        <v>53</v>
      </c>
      <c r="B9" s="161" t="s">
        <v>1316</v>
      </c>
      <c r="C9" s="235">
        <v>2265</v>
      </c>
      <c r="D9" s="98" t="s">
        <v>706</v>
      </c>
      <c r="E9" s="190">
        <v>62682.624869953317</v>
      </c>
      <c r="F9" s="235">
        <v>27.674448066204555</v>
      </c>
      <c r="G9" s="225">
        <v>2265</v>
      </c>
      <c r="H9" s="237">
        <v>43727.489650000025</v>
      </c>
      <c r="I9" s="224">
        <v>19.305518763796911</v>
      </c>
      <c r="J9" s="238">
        <v>200</v>
      </c>
      <c r="K9" s="239">
        <v>5534.8896132409109</v>
      </c>
      <c r="L9" s="225">
        <v>60</v>
      </c>
      <c r="M9" s="236">
        <v>1276.8</v>
      </c>
      <c r="N9" s="237">
        <v>1660.4668839722733</v>
      </c>
      <c r="O9" s="238">
        <v>1800</v>
      </c>
      <c r="P9" s="239">
        <v>49814.006519168201</v>
      </c>
      <c r="Q9" s="225">
        <v>1580</v>
      </c>
      <c r="R9" s="236">
        <v>30926.475000000002</v>
      </c>
      <c r="S9" s="237">
        <v>43725.627944603199</v>
      </c>
      <c r="T9" s="238">
        <v>1800</v>
      </c>
      <c r="U9" s="239">
        <v>49814.006519168201</v>
      </c>
      <c r="V9" s="225">
        <v>1730</v>
      </c>
      <c r="W9" s="236">
        <v>33731.475000000006</v>
      </c>
      <c r="X9" s="237">
        <v>47876.79515453388</v>
      </c>
      <c r="Y9" s="238">
        <v>1800</v>
      </c>
      <c r="Z9" s="239">
        <v>49814.006519168201</v>
      </c>
      <c r="AA9" s="225">
        <v>1730</v>
      </c>
      <c r="AB9" s="236">
        <v>33731.475000000006</v>
      </c>
      <c r="AC9" s="237">
        <v>47876.79515453388</v>
      </c>
      <c r="AD9" s="238">
        <v>2050</v>
      </c>
      <c r="AE9" s="239">
        <v>56732.618535719339</v>
      </c>
      <c r="AF9" s="225">
        <v>1980</v>
      </c>
      <c r="AG9" s="236">
        <v>38619.589650000016</v>
      </c>
      <c r="AH9" s="237">
        <v>54795.407171085018</v>
      </c>
      <c r="AI9" s="238">
        <v>2265</v>
      </c>
      <c r="AJ9" s="239">
        <v>62682.624869953317</v>
      </c>
      <c r="AK9" s="225">
        <v>2060</v>
      </c>
      <c r="AL9" s="236">
        <v>40212.489650000025</v>
      </c>
      <c r="AM9" s="237">
        <v>57009.36301638138</v>
      </c>
      <c r="AN9" s="238">
        <v>2265</v>
      </c>
      <c r="AO9" s="239">
        <v>62682.624869953317</v>
      </c>
      <c r="AP9" s="225">
        <v>2060</v>
      </c>
      <c r="AQ9" s="236">
        <v>40527.489650000025</v>
      </c>
      <c r="AR9" s="237">
        <v>57009.36301638138</v>
      </c>
      <c r="AS9" s="238">
        <v>2265</v>
      </c>
      <c r="AT9" s="239">
        <v>62682.624869953317</v>
      </c>
      <c r="AU9" s="225">
        <v>2265</v>
      </c>
      <c r="AV9" s="236">
        <v>42327.489650000025</v>
      </c>
      <c r="AW9" s="237">
        <v>62682.624869953317</v>
      </c>
      <c r="AX9" s="238">
        <v>2265</v>
      </c>
      <c r="AY9" s="239">
        <v>62682.624869953317</v>
      </c>
      <c r="AZ9" s="225">
        <v>2265</v>
      </c>
      <c r="BA9" s="236">
        <v>43727.489650000025</v>
      </c>
      <c r="BB9" s="237">
        <v>62682.624869953317</v>
      </c>
      <c r="BC9" s="238">
        <v>2265</v>
      </c>
      <c r="BD9" s="239">
        <v>62682.624869953317</v>
      </c>
      <c r="BE9" s="225">
        <v>2265</v>
      </c>
      <c r="BF9" s="236">
        <v>43727.489650000025</v>
      </c>
      <c r="BG9" s="237">
        <v>62682.624869953317</v>
      </c>
      <c r="BH9" s="238">
        <v>2265</v>
      </c>
      <c r="BI9" s="239">
        <v>62682.624869953317</v>
      </c>
      <c r="BJ9" s="225">
        <v>2265</v>
      </c>
      <c r="BK9" s="236">
        <v>43727.489650000025</v>
      </c>
      <c r="BL9" s="237">
        <v>62682.624869953317</v>
      </c>
      <c r="BM9" s="238">
        <v>2265</v>
      </c>
      <c r="BN9" s="239">
        <v>62682.624869953317</v>
      </c>
      <c r="BO9" s="225">
        <v>2265</v>
      </c>
      <c r="BP9" s="236">
        <v>43727.489650000025</v>
      </c>
      <c r="BQ9" s="248">
        <v>62682.624869953317</v>
      </c>
      <c r="BS9" s="192"/>
    </row>
    <row r="10" spans="1:71" x14ac:dyDescent="0.25">
      <c r="A10" s="101">
        <v>55</v>
      </c>
      <c r="B10" s="161" t="s">
        <v>1317</v>
      </c>
      <c r="C10" s="235">
        <v>410</v>
      </c>
      <c r="D10" s="98" t="s">
        <v>706</v>
      </c>
      <c r="E10" s="190">
        <v>6310.5310531053119</v>
      </c>
      <c r="F10" s="235">
        <v>15.391539153915394</v>
      </c>
      <c r="G10" s="225">
        <v>0</v>
      </c>
      <c r="H10" s="237">
        <v>0</v>
      </c>
      <c r="I10" s="224">
        <v>0</v>
      </c>
      <c r="J10" s="238">
        <v>0</v>
      </c>
      <c r="K10" s="239">
        <v>0</v>
      </c>
      <c r="L10" s="225">
        <v>0</v>
      </c>
      <c r="M10" s="236">
        <v>0</v>
      </c>
      <c r="N10" s="237">
        <v>0</v>
      </c>
      <c r="O10" s="238">
        <v>0</v>
      </c>
      <c r="P10" s="239">
        <v>0</v>
      </c>
      <c r="Q10" s="225">
        <v>0</v>
      </c>
      <c r="R10" s="236">
        <v>0</v>
      </c>
      <c r="S10" s="237">
        <v>0</v>
      </c>
      <c r="T10" s="238">
        <v>0</v>
      </c>
      <c r="U10" s="239">
        <v>0</v>
      </c>
      <c r="V10" s="225">
        <v>0</v>
      </c>
      <c r="W10" s="236">
        <v>0</v>
      </c>
      <c r="X10" s="237">
        <v>0</v>
      </c>
      <c r="Y10" s="238">
        <v>0</v>
      </c>
      <c r="Z10" s="239">
        <v>0</v>
      </c>
      <c r="AA10" s="225">
        <v>0</v>
      </c>
      <c r="AB10" s="236">
        <v>0</v>
      </c>
      <c r="AC10" s="237">
        <v>0</v>
      </c>
      <c r="AD10" s="238">
        <v>0</v>
      </c>
      <c r="AE10" s="239">
        <v>0</v>
      </c>
      <c r="AF10" s="225">
        <v>0</v>
      </c>
      <c r="AG10" s="236">
        <v>0</v>
      </c>
      <c r="AH10" s="237">
        <v>0</v>
      </c>
      <c r="AI10" s="238">
        <v>410</v>
      </c>
      <c r="AJ10" s="239">
        <v>6310.5310531053119</v>
      </c>
      <c r="AK10" s="225">
        <v>0</v>
      </c>
      <c r="AL10" s="236">
        <v>0</v>
      </c>
      <c r="AM10" s="237">
        <v>0</v>
      </c>
      <c r="AN10" s="238">
        <v>410</v>
      </c>
      <c r="AO10" s="239">
        <v>6310.5310531053119</v>
      </c>
      <c r="AP10" s="225">
        <v>0</v>
      </c>
      <c r="AQ10" s="236">
        <v>0</v>
      </c>
      <c r="AR10" s="237">
        <v>0</v>
      </c>
      <c r="AS10" s="238">
        <v>410</v>
      </c>
      <c r="AT10" s="239">
        <v>6310.5310531053119</v>
      </c>
      <c r="AU10" s="225">
        <v>0</v>
      </c>
      <c r="AV10" s="236">
        <v>0</v>
      </c>
      <c r="AW10" s="237">
        <v>0</v>
      </c>
      <c r="AX10" s="238">
        <v>410</v>
      </c>
      <c r="AY10" s="239">
        <v>6310.5310531053119</v>
      </c>
      <c r="AZ10" s="225">
        <v>0</v>
      </c>
      <c r="BA10" s="236">
        <v>0</v>
      </c>
      <c r="BB10" s="237">
        <v>0</v>
      </c>
      <c r="BC10" s="238">
        <v>410</v>
      </c>
      <c r="BD10" s="239">
        <v>6310.5310531053119</v>
      </c>
      <c r="BE10" s="225">
        <v>0</v>
      </c>
      <c r="BF10" s="236">
        <v>0</v>
      </c>
      <c r="BG10" s="237">
        <v>0</v>
      </c>
      <c r="BH10" s="238">
        <v>410</v>
      </c>
      <c r="BI10" s="239">
        <v>6310.5310531053119</v>
      </c>
      <c r="BJ10" s="225">
        <v>0</v>
      </c>
      <c r="BK10" s="236">
        <v>0</v>
      </c>
      <c r="BL10" s="237">
        <v>0</v>
      </c>
      <c r="BM10" s="238">
        <v>410</v>
      </c>
      <c r="BN10" s="239">
        <v>6310.5310531053119</v>
      </c>
      <c r="BO10" s="225">
        <v>0</v>
      </c>
      <c r="BP10" s="236">
        <v>0</v>
      </c>
      <c r="BQ10" s="248">
        <v>6310.5310531053119</v>
      </c>
      <c r="BS10" s="192"/>
    </row>
    <row r="11" spans="1:71" x14ac:dyDescent="0.25">
      <c r="A11" s="101">
        <v>61</v>
      </c>
      <c r="B11" s="161" t="s">
        <v>1318</v>
      </c>
      <c r="C11" s="235">
        <v>11813</v>
      </c>
      <c r="D11" s="98" t="s">
        <v>708</v>
      </c>
      <c r="E11" s="190">
        <v>13464</v>
      </c>
      <c r="F11" s="235">
        <v>1.1397612799458223</v>
      </c>
      <c r="G11" s="225">
        <v>11813</v>
      </c>
      <c r="H11" s="237">
        <v>26831.599999999999</v>
      </c>
      <c r="I11" s="224">
        <v>2.2713959197494287</v>
      </c>
      <c r="J11" s="238">
        <v>4000</v>
      </c>
      <c r="K11" s="239">
        <v>4559.045119783289</v>
      </c>
      <c r="L11" s="225">
        <v>0</v>
      </c>
      <c r="M11" s="236">
        <v>0</v>
      </c>
      <c r="N11" s="237">
        <v>0</v>
      </c>
      <c r="O11" s="238">
        <v>11813</v>
      </c>
      <c r="P11" s="239">
        <v>13464</v>
      </c>
      <c r="Q11" s="225">
        <v>11813</v>
      </c>
      <c r="R11" s="236">
        <v>26831.599999999999</v>
      </c>
      <c r="S11" s="237">
        <v>13464</v>
      </c>
      <c r="T11" s="238">
        <v>11813</v>
      </c>
      <c r="U11" s="239">
        <v>13464</v>
      </c>
      <c r="V11" s="225">
        <v>11813</v>
      </c>
      <c r="W11" s="236">
        <v>26831.599999999999</v>
      </c>
      <c r="X11" s="237">
        <v>13464</v>
      </c>
      <c r="Y11" s="238">
        <v>11813</v>
      </c>
      <c r="Z11" s="239">
        <v>13464</v>
      </c>
      <c r="AA11" s="225">
        <v>11813</v>
      </c>
      <c r="AB11" s="236">
        <v>26831.599999999999</v>
      </c>
      <c r="AC11" s="237">
        <v>13464</v>
      </c>
      <c r="AD11" s="238">
        <v>11813</v>
      </c>
      <c r="AE11" s="239">
        <v>13464</v>
      </c>
      <c r="AF11" s="225">
        <v>11813</v>
      </c>
      <c r="AG11" s="236">
        <v>26831.599999999999</v>
      </c>
      <c r="AH11" s="237">
        <v>13464</v>
      </c>
      <c r="AI11" s="238">
        <v>11813</v>
      </c>
      <c r="AJ11" s="239">
        <v>13464</v>
      </c>
      <c r="AK11" s="225">
        <v>11813</v>
      </c>
      <c r="AL11" s="236">
        <v>26831.599999999999</v>
      </c>
      <c r="AM11" s="237">
        <v>13464</v>
      </c>
      <c r="AN11" s="238">
        <v>11813</v>
      </c>
      <c r="AO11" s="239">
        <v>13464</v>
      </c>
      <c r="AP11" s="225">
        <v>11813</v>
      </c>
      <c r="AQ11" s="236">
        <v>26831.599999999999</v>
      </c>
      <c r="AR11" s="237">
        <v>13464</v>
      </c>
      <c r="AS11" s="238">
        <v>11813</v>
      </c>
      <c r="AT11" s="239">
        <v>13464</v>
      </c>
      <c r="AU11" s="225">
        <v>11813</v>
      </c>
      <c r="AV11" s="236">
        <v>26831.599999999999</v>
      </c>
      <c r="AW11" s="237">
        <v>13464</v>
      </c>
      <c r="AX11" s="238">
        <v>11813</v>
      </c>
      <c r="AY11" s="239">
        <v>13464</v>
      </c>
      <c r="AZ11" s="225">
        <v>11813</v>
      </c>
      <c r="BA11" s="236">
        <v>26831.599999999999</v>
      </c>
      <c r="BB11" s="237">
        <v>13464</v>
      </c>
      <c r="BC11" s="238">
        <v>11813</v>
      </c>
      <c r="BD11" s="239">
        <v>13464</v>
      </c>
      <c r="BE11" s="225">
        <v>11813</v>
      </c>
      <c r="BF11" s="236">
        <v>26831.599999999999</v>
      </c>
      <c r="BG11" s="237">
        <v>13464</v>
      </c>
      <c r="BH11" s="238">
        <v>11813</v>
      </c>
      <c r="BI11" s="239">
        <v>13464</v>
      </c>
      <c r="BJ11" s="225">
        <v>11813</v>
      </c>
      <c r="BK11" s="236">
        <v>26831.599999999999</v>
      </c>
      <c r="BL11" s="237">
        <v>13464</v>
      </c>
      <c r="BM11" s="238">
        <v>11813</v>
      </c>
      <c r="BN11" s="239">
        <v>13464</v>
      </c>
      <c r="BO11" s="225">
        <v>11813</v>
      </c>
      <c r="BP11" s="236">
        <v>26831.599999999999</v>
      </c>
      <c r="BQ11" s="248">
        <v>13464</v>
      </c>
      <c r="BS11" s="192"/>
    </row>
    <row r="12" spans="1:71" x14ac:dyDescent="0.25">
      <c r="A12" s="101">
        <v>62</v>
      </c>
      <c r="B12" s="161" t="s">
        <v>1319</v>
      </c>
      <c r="C12" s="235">
        <v>8796</v>
      </c>
      <c r="D12" s="98" t="s">
        <v>54</v>
      </c>
      <c r="E12" s="190">
        <v>128112.86317732719</v>
      </c>
      <c r="F12" s="235">
        <v>14.564900315748885</v>
      </c>
      <c r="G12" s="225">
        <v>8796</v>
      </c>
      <c r="H12" s="237">
        <v>159414.46999999991</v>
      </c>
      <c r="I12" s="224">
        <v>18.123465211459756</v>
      </c>
      <c r="J12" s="238">
        <v>1000</v>
      </c>
      <c r="K12" s="239">
        <v>14564.900315748884</v>
      </c>
      <c r="L12" s="225">
        <v>56</v>
      </c>
      <c r="M12" s="236">
        <v>1127.92</v>
      </c>
      <c r="N12" s="237">
        <v>815.63441768193752</v>
      </c>
      <c r="O12" s="238">
        <v>6196</v>
      </c>
      <c r="P12" s="239">
        <v>90244.122356380089</v>
      </c>
      <c r="Q12" s="225">
        <v>6180</v>
      </c>
      <c r="R12" s="236">
        <v>114398.01000000001</v>
      </c>
      <c r="S12" s="237">
        <v>90011.08395132811</v>
      </c>
      <c r="T12" s="238">
        <v>6196</v>
      </c>
      <c r="U12" s="239">
        <v>90244.122356380089</v>
      </c>
      <c r="V12" s="225">
        <v>7370</v>
      </c>
      <c r="W12" s="236">
        <v>134531.66</v>
      </c>
      <c r="X12" s="237">
        <v>107343.31532706929</v>
      </c>
      <c r="Y12" s="238">
        <v>6196</v>
      </c>
      <c r="Z12" s="239">
        <v>90244.122356380089</v>
      </c>
      <c r="AA12" s="225">
        <v>7580</v>
      </c>
      <c r="AB12" s="236">
        <v>138382.37</v>
      </c>
      <c r="AC12" s="237">
        <v>110401.94439337654</v>
      </c>
      <c r="AD12" s="238">
        <v>8000</v>
      </c>
      <c r="AE12" s="239">
        <v>116519.20252599107</v>
      </c>
      <c r="AF12" s="225">
        <v>8635</v>
      </c>
      <c r="AG12" s="236">
        <v>152631.495</v>
      </c>
      <c r="AH12" s="237">
        <v>125767.91422649162</v>
      </c>
      <c r="AI12" s="238">
        <v>8796</v>
      </c>
      <c r="AJ12" s="239">
        <v>128112.86317732719</v>
      </c>
      <c r="AK12" s="225">
        <v>8796</v>
      </c>
      <c r="AL12" s="236">
        <v>158813.51999999993</v>
      </c>
      <c r="AM12" s="237">
        <v>128112.86317732719</v>
      </c>
      <c r="AN12" s="238">
        <v>8796</v>
      </c>
      <c r="AO12" s="239">
        <v>128112.86317732719</v>
      </c>
      <c r="AP12" s="225">
        <v>8796</v>
      </c>
      <c r="AQ12" s="236">
        <v>158990.26999999993</v>
      </c>
      <c r="AR12" s="237">
        <v>128112.86317732719</v>
      </c>
      <c r="AS12" s="238">
        <v>8796</v>
      </c>
      <c r="AT12" s="239">
        <v>128112.86317732719</v>
      </c>
      <c r="AU12" s="225">
        <v>8796</v>
      </c>
      <c r="AV12" s="236">
        <v>159414.46999999991</v>
      </c>
      <c r="AW12" s="237">
        <v>128112.86317732719</v>
      </c>
      <c r="AX12" s="238">
        <v>8796</v>
      </c>
      <c r="AY12" s="239">
        <v>128112.86317732719</v>
      </c>
      <c r="AZ12" s="225">
        <v>8796</v>
      </c>
      <c r="BA12" s="236">
        <v>159414.46999999991</v>
      </c>
      <c r="BB12" s="237">
        <v>128112.86317732719</v>
      </c>
      <c r="BC12" s="238">
        <v>8796</v>
      </c>
      <c r="BD12" s="239">
        <v>128112.86317732719</v>
      </c>
      <c r="BE12" s="225">
        <v>8796</v>
      </c>
      <c r="BF12" s="236">
        <v>159414.46999999991</v>
      </c>
      <c r="BG12" s="237">
        <v>128112.86317732719</v>
      </c>
      <c r="BH12" s="238">
        <v>8796</v>
      </c>
      <c r="BI12" s="239">
        <v>128112.86317732719</v>
      </c>
      <c r="BJ12" s="225">
        <v>8796</v>
      </c>
      <c r="BK12" s="236">
        <v>159414.46999999991</v>
      </c>
      <c r="BL12" s="237">
        <v>128112.86317732719</v>
      </c>
      <c r="BM12" s="238">
        <v>8796</v>
      </c>
      <c r="BN12" s="239">
        <v>128112.86317732719</v>
      </c>
      <c r="BO12" s="225">
        <v>8796</v>
      </c>
      <c r="BP12" s="236">
        <v>159414.46999999991</v>
      </c>
      <c r="BQ12" s="248">
        <v>128112.86317732719</v>
      </c>
      <c r="BS12" s="192"/>
    </row>
    <row r="13" spans="1:71" x14ac:dyDescent="0.25">
      <c r="A13" s="101">
        <v>63</v>
      </c>
      <c r="B13" s="161" t="s">
        <v>1320</v>
      </c>
      <c r="C13" s="235">
        <v>23626</v>
      </c>
      <c r="D13" s="98" t="s">
        <v>708</v>
      </c>
      <c r="E13" s="190">
        <v>10504.963555555556</v>
      </c>
      <c r="F13" s="235">
        <v>0.44463572147445846</v>
      </c>
      <c r="G13" s="225">
        <v>23626</v>
      </c>
      <c r="H13" s="237">
        <v>7087.5150000000003</v>
      </c>
      <c r="I13" s="224">
        <v>0.30000846525014813</v>
      </c>
      <c r="J13" s="238">
        <v>4000</v>
      </c>
      <c r="K13" s="239">
        <v>1778.5428858978339</v>
      </c>
      <c r="L13" s="225">
        <v>0</v>
      </c>
      <c r="M13" s="236">
        <v>0</v>
      </c>
      <c r="N13" s="237">
        <v>0</v>
      </c>
      <c r="O13" s="238">
        <v>18760</v>
      </c>
      <c r="P13" s="239">
        <v>8341.3661348608402</v>
      </c>
      <c r="Q13" s="225">
        <v>18760</v>
      </c>
      <c r="R13" s="236">
        <v>3453.6</v>
      </c>
      <c r="S13" s="237">
        <v>8341.3661348608402</v>
      </c>
      <c r="T13" s="238">
        <v>18760</v>
      </c>
      <c r="U13" s="239">
        <v>8341.3661348608402</v>
      </c>
      <c r="V13" s="225">
        <v>18760</v>
      </c>
      <c r="W13" s="236">
        <v>3453.6</v>
      </c>
      <c r="X13" s="237">
        <v>8341.3661348608402</v>
      </c>
      <c r="Y13" s="238">
        <v>18760</v>
      </c>
      <c r="Z13" s="239">
        <v>8341.3661348608402</v>
      </c>
      <c r="AA13" s="225">
        <v>18760</v>
      </c>
      <c r="AB13" s="236">
        <v>3453.6</v>
      </c>
      <c r="AC13" s="237">
        <v>8341.3661348608402</v>
      </c>
      <c r="AD13" s="238">
        <v>21190</v>
      </c>
      <c r="AE13" s="239">
        <v>9421.8309380437749</v>
      </c>
      <c r="AF13" s="225">
        <v>21190</v>
      </c>
      <c r="AG13" s="236">
        <v>5602.8150000000005</v>
      </c>
      <c r="AH13" s="237">
        <v>9421.8309380437749</v>
      </c>
      <c r="AI13" s="238">
        <v>23626</v>
      </c>
      <c r="AJ13" s="239">
        <v>10504.963555555556</v>
      </c>
      <c r="AK13" s="225">
        <v>21190</v>
      </c>
      <c r="AL13" s="236">
        <v>5602.8150000000005</v>
      </c>
      <c r="AM13" s="237">
        <v>9421.8309380437749</v>
      </c>
      <c r="AN13" s="238">
        <v>23626</v>
      </c>
      <c r="AO13" s="239">
        <v>10504.963555555556</v>
      </c>
      <c r="AP13" s="225">
        <v>23626</v>
      </c>
      <c r="AQ13" s="236">
        <v>7087.5150000000003</v>
      </c>
      <c r="AR13" s="237">
        <v>10504.963555555556</v>
      </c>
      <c r="AS13" s="238">
        <v>23626</v>
      </c>
      <c r="AT13" s="239">
        <v>10504.963555555556</v>
      </c>
      <c r="AU13" s="225">
        <v>23626</v>
      </c>
      <c r="AV13" s="236">
        <v>7087.5150000000003</v>
      </c>
      <c r="AW13" s="237">
        <v>10504.963555555556</v>
      </c>
      <c r="AX13" s="238">
        <v>23626</v>
      </c>
      <c r="AY13" s="239">
        <v>10504.963555555556</v>
      </c>
      <c r="AZ13" s="225">
        <v>23626</v>
      </c>
      <c r="BA13" s="236">
        <v>7087.5150000000003</v>
      </c>
      <c r="BB13" s="237">
        <v>10504.963555555556</v>
      </c>
      <c r="BC13" s="238">
        <v>23626</v>
      </c>
      <c r="BD13" s="239">
        <v>10504.963555555556</v>
      </c>
      <c r="BE13" s="225">
        <v>23626</v>
      </c>
      <c r="BF13" s="236">
        <v>7087.5150000000003</v>
      </c>
      <c r="BG13" s="237">
        <v>10504.963555555556</v>
      </c>
      <c r="BH13" s="238">
        <v>23626</v>
      </c>
      <c r="BI13" s="239">
        <v>10504.963555555556</v>
      </c>
      <c r="BJ13" s="225">
        <v>23626</v>
      </c>
      <c r="BK13" s="236">
        <v>7087.5150000000003</v>
      </c>
      <c r="BL13" s="237">
        <v>10504.963555555556</v>
      </c>
      <c r="BM13" s="238">
        <v>23626</v>
      </c>
      <c r="BN13" s="239">
        <v>10504.963555555556</v>
      </c>
      <c r="BO13" s="225">
        <v>23626</v>
      </c>
      <c r="BP13" s="236">
        <v>7087.5150000000003</v>
      </c>
      <c r="BQ13" s="248">
        <v>10504.963555555556</v>
      </c>
      <c r="BS13" s="192"/>
    </row>
    <row r="14" spans="1:71" ht="30" x14ac:dyDescent="0.25">
      <c r="A14" s="101">
        <v>64</v>
      </c>
      <c r="B14" s="161" t="s">
        <v>1321</v>
      </c>
      <c r="C14" s="235">
        <v>20421</v>
      </c>
      <c r="D14" s="98" t="s">
        <v>708</v>
      </c>
      <c r="E14" s="190">
        <v>145692.19308</v>
      </c>
      <c r="F14" s="235">
        <v>7.1344299045100632</v>
      </c>
      <c r="G14" s="225">
        <v>20421</v>
      </c>
      <c r="H14" s="237">
        <v>131081.82</v>
      </c>
      <c r="I14" s="224">
        <v>6.4189804612898484</v>
      </c>
      <c r="J14" s="238">
        <v>0</v>
      </c>
      <c r="K14" s="239">
        <v>0</v>
      </c>
      <c r="L14" s="225">
        <v>0</v>
      </c>
      <c r="M14" s="236">
        <v>0</v>
      </c>
      <c r="N14" s="237">
        <v>0</v>
      </c>
      <c r="O14" s="238">
        <v>9380</v>
      </c>
      <c r="P14" s="239">
        <v>66920.952504304398</v>
      </c>
      <c r="Q14" s="225">
        <v>9380</v>
      </c>
      <c r="R14" s="236">
        <v>69005.5</v>
      </c>
      <c r="S14" s="237">
        <v>66920.952504304398</v>
      </c>
      <c r="T14" s="238">
        <v>9380</v>
      </c>
      <c r="U14" s="239">
        <v>66920.952504304398</v>
      </c>
      <c r="V14" s="225">
        <v>9380</v>
      </c>
      <c r="W14" s="236">
        <v>69005.5</v>
      </c>
      <c r="X14" s="237">
        <v>66920.952504304398</v>
      </c>
      <c r="Y14" s="238">
        <v>18760</v>
      </c>
      <c r="Z14" s="239">
        <v>133841.9050086088</v>
      </c>
      <c r="AA14" s="225">
        <v>18760</v>
      </c>
      <c r="AB14" s="236">
        <v>125506.06</v>
      </c>
      <c r="AC14" s="237">
        <v>133841.9050086088</v>
      </c>
      <c r="AD14" s="238">
        <v>18760</v>
      </c>
      <c r="AE14" s="239">
        <v>133841.9050086088</v>
      </c>
      <c r="AF14" s="225"/>
      <c r="AG14" s="236">
        <v>125506.06</v>
      </c>
      <c r="AH14" s="237">
        <v>0</v>
      </c>
      <c r="AI14" s="238">
        <v>18760</v>
      </c>
      <c r="AJ14" s="239">
        <v>133841.9050086088</v>
      </c>
      <c r="AK14" s="225"/>
      <c r="AL14" s="236">
        <v>125506.06</v>
      </c>
      <c r="AM14" s="237">
        <v>0</v>
      </c>
      <c r="AN14" s="238">
        <v>20421</v>
      </c>
      <c r="AO14" s="239">
        <v>145692.19308</v>
      </c>
      <c r="AP14" s="225"/>
      <c r="AQ14" s="236">
        <v>125506.06</v>
      </c>
      <c r="AR14" s="237">
        <v>0</v>
      </c>
      <c r="AS14" s="238">
        <v>20421</v>
      </c>
      <c r="AT14" s="239">
        <v>145692.19308</v>
      </c>
      <c r="AU14" s="225">
        <v>20421</v>
      </c>
      <c r="AV14" s="236">
        <v>125506.06</v>
      </c>
      <c r="AW14" s="237">
        <v>145692.19308</v>
      </c>
      <c r="AX14" s="238">
        <v>20421</v>
      </c>
      <c r="AY14" s="239">
        <v>145692.19308</v>
      </c>
      <c r="AZ14" s="225">
        <v>20421</v>
      </c>
      <c r="BA14" s="236">
        <v>131081.82</v>
      </c>
      <c r="BB14" s="237">
        <v>145692.19308</v>
      </c>
      <c r="BC14" s="238">
        <v>20421</v>
      </c>
      <c r="BD14" s="239">
        <v>145692.19308</v>
      </c>
      <c r="BE14" s="225">
        <v>20421</v>
      </c>
      <c r="BF14" s="236">
        <v>131081.82</v>
      </c>
      <c r="BG14" s="237">
        <v>145692.19308</v>
      </c>
      <c r="BH14" s="238">
        <v>20421</v>
      </c>
      <c r="BI14" s="239">
        <v>145692.19308</v>
      </c>
      <c r="BJ14" s="225">
        <v>20421</v>
      </c>
      <c r="BK14" s="236">
        <v>131081.82</v>
      </c>
      <c r="BL14" s="237">
        <v>145692.19308</v>
      </c>
      <c r="BM14" s="238">
        <v>20421</v>
      </c>
      <c r="BN14" s="239">
        <v>145692.19308</v>
      </c>
      <c r="BO14" s="225">
        <v>20421</v>
      </c>
      <c r="BP14" s="236">
        <v>131081.82</v>
      </c>
      <c r="BQ14" s="248">
        <v>145692.19308</v>
      </c>
      <c r="BS14" s="192"/>
    </row>
    <row r="15" spans="1:71" x14ac:dyDescent="0.25">
      <c r="A15" s="101">
        <v>65</v>
      </c>
      <c r="B15" s="161" t="s">
        <v>1322</v>
      </c>
      <c r="C15" s="235">
        <v>195</v>
      </c>
      <c r="D15" s="98" t="s">
        <v>54</v>
      </c>
      <c r="E15" s="190">
        <v>58305</v>
      </c>
      <c r="F15" s="235">
        <v>299</v>
      </c>
      <c r="G15" s="225">
        <v>267.39999999999998</v>
      </c>
      <c r="H15" s="237">
        <v>80088.974000000002</v>
      </c>
      <c r="I15" s="224">
        <v>299.51009723261035</v>
      </c>
      <c r="J15" s="238">
        <v>0</v>
      </c>
      <c r="K15" s="239">
        <v>0</v>
      </c>
      <c r="L15" s="225">
        <v>0</v>
      </c>
      <c r="M15" s="236">
        <v>0</v>
      </c>
      <c r="N15" s="237">
        <v>0</v>
      </c>
      <c r="O15" s="238">
        <v>0</v>
      </c>
      <c r="P15" s="239">
        <v>0</v>
      </c>
      <c r="Q15" s="225">
        <v>0</v>
      </c>
      <c r="R15" s="236">
        <v>0</v>
      </c>
      <c r="S15" s="237">
        <v>0</v>
      </c>
      <c r="T15" s="238">
        <v>0</v>
      </c>
      <c r="U15" s="239">
        <v>0</v>
      </c>
      <c r="V15" s="225">
        <v>0</v>
      </c>
      <c r="W15" s="236">
        <v>0</v>
      </c>
      <c r="X15" s="237">
        <v>0</v>
      </c>
      <c r="Y15" s="238">
        <v>0</v>
      </c>
      <c r="Z15" s="239">
        <v>0</v>
      </c>
      <c r="AA15" s="225">
        <v>0</v>
      </c>
      <c r="AB15" s="236">
        <v>0</v>
      </c>
      <c r="AC15" s="237">
        <v>0</v>
      </c>
      <c r="AD15" s="238">
        <v>0</v>
      </c>
      <c r="AE15" s="239">
        <v>0</v>
      </c>
      <c r="AF15" s="225">
        <v>0</v>
      </c>
      <c r="AG15" s="236">
        <v>0</v>
      </c>
      <c r="AH15" s="237">
        <v>0</v>
      </c>
      <c r="AI15" s="238">
        <v>0</v>
      </c>
      <c r="AJ15" s="239">
        <v>0</v>
      </c>
      <c r="AK15" s="225">
        <v>0</v>
      </c>
      <c r="AL15" s="236">
        <v>0</v>
      </c>
      <c r="AM15" s="237">
        <v>0</v>
      </c>
      <c r="AN15" s="238">
        <v>0</v>
      </c>
      <c r="AO15" s="239">
        <v>0</v>
      </c>
      <c r="AP15" s="225">
        <v>0</v>
      </c>
      <c r="AQ15" s="236">
        <v>0</v>
      </c>
      <c r="AR15" s="237">
        <v>0</v>
      </c>
      <c r="AS15" s="238">
        <v>195</v>
      </c>
      <c r="AT15" s="239">
        <v>58305</v>
      </c>
      <c r="AU15" s="225">
        <v>267.39999999999998</v>
      </c>
      <c r="AV15" s="236">
        <v>0</v>
      </c>
      <c r="AW15" s="237">
        <v>79952.599999999991</v>
      </c>
      <c r="AX15" s="238">
        <v>195</v>
      </c>
      <c r="AY15" s="239">
        <v>58305</v>
      </c>
      <c r="AZ15" s="225">
        <v>267.39999999999998</v>
      </c>
      <c r="BA15" s="236">
        <v>80088.974000000002</v>
      </c>
      <c r="BB15" s="237">
        <v>79952.599999999991</v>
      </c>
      <c r="BC15" s="238">
        <v>195</v>
      </c>
      <c r="BD15" s="239">
        <v>58305</v>
      </c>
      <c r="BE15" s="225">
        <v>267.39999999999998</v>
      </c>
      <c r="BF15" s="236">
        <v>80088.974000000002</v>
      </c>
      <c r="BG15" s="237">
        <v>79952.599999999991</v>
      </c>
      <c r="BH15" s="238">
        <v>195</v>
      </c>
      <c r="BI15" s="239">
        <v>58305</v>
      </c>
      <c r="BJ15" s="225">
        <v>267.39999999999998</v>
      </c>
      <c r="BK15" s="236">
        <v>80088.974000000002</v>
      </c>
      <c r="BL15" s="237">
        <v>79952.599999999991</v>
      </c>
      <c r="BM15" s="238">
        <v>195</v>
      </c>
      <c r="BN15" s="239">
        <v>58305</v>
      </c>
      <c r="BO15" s="225">
        <v>267.39999999999998</v>
      </c>
      <c r="BP15" s="236">
        <v>80088.974000000002</v>
      </c>
      <c r="BQ15" s="248">
        <v>58305</v>
      </c>
      <c r="BS15" s="192"/>
    </row>
    <row r="16" spans="1:71" x14ac:dyDescent="0.25">
      <c r="A16" s="101">
        <v>66</v>
      </c>
      <c r="B16" s="161" t="s">
        <v>1323</v>
      </c>
      <c r="C16" s="235">
        <v>1</v>
      </c>
      <c r="D16" s="98" t="s">
        <v>1311</v>
      </c>
      <c r="E16" s="190">
        <v>8808</v>
      </c>
      <c r="F16" s="235">
        <v>8808</v>
      </c>
      <c r="G16" s="225">
        <v>1</v>
      </c>
      <c r="H16" s="237">
        <v>2580</v>
      </c>
      <c r="I16" s="224">
        <v>2580</v>
      </c>
      <c r="J16" s="238">
        <v>0</v>
      </c>
      <c r="K16" s="239">
        <v>0</v>
      </c>
      <c r="L16" s="225">
        <v>0</v>
      </c>
      <c r="M16" s="236">
        <v>0</v>
      </c>
      <c r="N16" s="237">
        <v>0</v>
      </c>
      <c r="O16" s="238">
        <v>0</v>
      </c>
      <c r="P16" s="239">
        <v>0</v>
      </c>
      <c r="Q16" s="225">
        <v>0</v>
      </c>
      <c r="R16" s="236">
        <v>0</v>
      </c>
      <c r="S16" s="237">
        <v>0</v>
      </c>
      <c r="T16" s="238">
        <v>0</v>
      </c>
      <c r="U16" s="239">
        <v>0</v>
      </c>
      <c r="V16" s="225">
        <v>0</v>
      </c>
      <c r="W16" s="236">
        <v>0</v>
      </c>
      <c r="X16" s="237">
        <v>0</v>
      </c>
      <c r="Y16" s="238">
        <v>0</v>
      </c>
      <c r="Z16" s="239">
        <v>0</v>
      </c>
      <c r="AA16" s="225">
        <v>0</v>
      </c>
      <c r="AB16" s="236">
        <v>0</v>
      </c>
      <c r="AC16" s="237">
        <v>0</v>
      </c>
      <c r="AD16" s="238">
        <v>1</v>
      </c>
      <c r="AE16" s="239">
        <v>8808</v>
      </c>
      <c r="AF16" s="225">
        <v>0</v>
      </c>
      <c r="AG16" s="236">
        <v>0</v>
      </c>
      <c r="AH16" s="237">
        <v>0</v>
      </c>
      <c r="AI16" s="238">
        <v>1</v>
      </c>
      <c r="AJ16" s="239">
        <v>8808</v>
      </c>
      <c r="AK16" s="225">
        <v>1</v>
      </c>
      <c r="AL16" s="236">
        <v>2580</v>
      </c>
      <c r="AM16" s="237">
        <v>8808</v>
      </c>
      <c r="AN16" s="238">
        <v>1</v>
      </c>
      <c r="AO16" s="239">
        <v>8808</v>
      </c>
      <c r="AP16" s="225">
        <v>1</v>
      </c>
      <c r="AQ16" s="236">
        <v>2580</v>
      </c>
      <c r="AR16" s="237">
        <v>8808</v>
      </c>
      <c r="AS16" s="238">
        <v>1</v>
      </c>
      <c r="AT16" s="239">
        <v>8808</v>
      </c>
      <c r="AU16" s="225">
        <v>1</v>
      </c>
      <c r="AV16" s="236">
        <v>2580</v>
      </c>
      <c r="AW16" s="237">
        <v>8808</v>
      </c>
      <c r="AX16" s="238">
        <v>1</v>
      </c>
      <c r="AY16" s="239">
        <v>8808</v>
      </c>
      <c r="AZ16" s="225">
        <v>1</v>
      </c>
      <c r="BA16" s="236">
        <v>2580</v>
      </c>
      <c r="BB16" s="237">
        <v>8808</v>
      </c>
      <c r="BC16" s="238">
        <v>1</v>
      </c>
      <c r="BD16" s="239">
        <v>8808</v>
      </c>
      <c r="BE16" s="225">
        <v>1</v>
      </c>
      <c r="BF16" s="236">
        <v>2580</v>
      </c>
      <c r="BG16" s="237">
        <v>8808</v>
      </c>
      <c r="BH16" s="238">
        <v>1</v>
      </c>
      <c r="BI16" s="239">
        <v>8808</v>
      </c>
      <c r="BJ16" s="225">
        <v>1</v>
      </c>
      <c r="BK16" s="236">
        <v>2580</v>
      </c>
      <c r="BL16" s="237">
        <v>8808</v>
      </c>
      <c r="BM16" s="238">
        <v>1</v>
      </c>
      <c r="BN16" s="239">
        <v>8808</v>
      </c>
      <c r="BO16" s="225">
        <v>1</v>
      </c>
      <c r="BP16" s="236">
        <v>2580</v>
      </c>
      <c r="BQ16" s="248">
        <v>8808</v>
      </c>
      <c r="BS16" s="192"/>
    </row>
    <row r="17" spans="1:71" x14ac:dyDescent="0.25">
      <c r="A17" s="101">
        <v>67</v>
      </c>
      <c r="B17" s="161" t="s">
        <v>1324</v>
      </c>
      <c r="C17" s="235">
        <v>1</v>
      </c>
      <c r="D17" s="98" t="s">
        <v>1311</v>
      </c>
      <c r="E17" s="190">
        <v>11229.5</v>
      </c>
      <c r="F17" s="235">
        <v>11229.5</v>
      </c>
      <c r="G17" s="225">
        <v>1</v>
      </c>
      <c r="H17" s="237">
        <v>6897.4000000000024</v>
      </c>
      <c r="I17" s="224">
        <v>22190</v>
      </c>
      <c r="J17" s="238">
        <v>0.5</v>
      </c>
      <c r="K17" s="239">
        <v>5614.75</v>
      </c>
      <c r="L17" s="225">
        <v>0.5</v>
      </c>
      <c r="M17" s="236">
        <v>0</v>
      </c>
      <c r="N17" s="237">
        <v>5614.75</v>
      </c>
      <c r="O17" s="238">
        <v>0.5</v>
      </c>
      <c r="P17" s="239">
        <v>5614.75</v>
      </c>
      <c r="Q17" s="225">
        <v>0.55000000000000004</v>
      </c>
      <c r="R17" s="236">
        <v>0</v>
      </c>
      <c r="S17" s="237">
        <v>6176.2250000000004</v>
      </c>
      <c r="T17" s="238">
        <v>0.5</v>
      </c>
      <c r="U17" s="239">
        <v>5614.75</v>
      </c>
      <c r="V17" s="225">
        <v>0.55000000000000004</v>
      </c>
      <c r="W17" s="236">
        <v>810</v>
      </c>
      <c r="X17" s="237">
        <v>6176.2250000000004</v>
      </c>
      <c r="Y17" s="238">
        <v>1</v>
      </c>
      <c r="Z17" s="239">
        <v>11229.5</v>
      </c>
      <c r="AA17" s="225">
        <v>0.75</v>
      </c>
      <c r="AB17" s="236">
        <v>4862.5</v>
      </c>
      <c r="AC17" s="237">
        <v>8422.125</v>
      </c>
      <c r="AD17" s="238">
        <v>1</v>
      </c>
      <c r="AE17" s="239">
        <v>11229.5</v>
      </c>
      <c r="AF17" s="225">
        <v>1</v>
      </c>
      <c r="AG17" s="236">
        <v>6261.1000000000013</v>
      </c>
      <c r="AH17" s="237">
        <v>11229.5</v>
      </c>
      <c r="AI17" s="238">
        <v>1</v>
      </c>
      <c r="AJ17" s="239">
        <v>11229.5</v>
      </c>
      <c r="AK17" s="225">
        <v>1</v>
      </c>
      <c r="AL17" s="236">
        <v>6826.7000000000016</v>
      </c>
      <c r="AM17" s="237">
        <v>11229.5</v>
      </c>
      <c r="AN17" s="238">
        <v>1</v>
      </c>
      <c r="AO17" s="239">
        <v>11229.5</v>
      </c>
      <c r="AP17" s="225">
        <v>1</v>
      </c>
      <c r="AQ17" s="236">
        <v>6897.4000000000024</v>
      </c>
      <c r="AR17" s="237">
        <v>11229.5</v>
      </c>
      <c r="AS17" s="238">
        <v>1</v>
      </c>
      <c r="AT17" s="239">
        <v>11229.5</v>
      </c>
      <c r="AU17" s="225">
        <v>1</v>
      </c>
      <c r="AV17" s="236">
        <v>6897.4000000000024</v>
      </c>
      <c r="AW17" s="237">
        <v>11229.5</v>
      </c>
      <c r="AX17" s="238">
        <v>1</v>
      </c>
      <c r="AY17" s="239">
        <v>11229.5</v>
      </c>
      <c r="AZ17" s="225">
        <v>1</v>
      </c>
      <c r="BA17" s="236">
        <v>6897.4000000000024</v>
      </c>
      <c r="BB17" s="237">
        <v>11229.5</v>
      </c>
      <c r="BC17" s="238">
        <v>1</v>
      </c>
      <c r="BD17" s="239">
        <v>11229.5</v>
      </c>
      <c r="BE17" s="225">
        <v>1</v>
      </c>
      <c r="BF17" s="236">
        <v>6897.4000000000024</v>
      </c>
      <c r="BG17" s="237">
        <v>11229.5</v>
      </c>
      <c r="BH17" s="238">
        <v>1</v>
      </c>
      <c r="BI17" s="239">
        <v>11229.5</v>
      </c>
      <c r="BJ17" s="225">
        <v>1</v>
      </c>
      <c r="BK17" s="236">
        <v>6897.4000000000024</v>
      </c>
      <c r="BL17" s="237">
        <v>11229.5</v>
      </c>
      <c r="BM17" s="238">
        <v>1</v>
      </c>
      <c r="BN17" s="239">
        <v>11229.5</v>
      </c>
      <c r="BO17" s="225">
        <v>1</v>
      </c>
      <c r="BP17" s="236">
        <v>6897.4000000000024</v>
      </c>
      <c r="BQ17" s="248">
        <v>11229.5</v>
      </c>
      <c r="BS17" s="192"/>
    </row>
    <row r="18" spans="1:71" x14ac:dyDescent="0.25">
      <c r="A18" s="101">
        <v>68</v>
      </c>
      <c r="B18" s="161" t="s">
        <v>1325</v>
      </c>
      <c r="C18" s="235">
        <v>1893</v>
      </c>
      <c r="D18" s="98" t="s">
        <v>708</v>
      </c>
      <c r="E18" s="190">
        <v>30573.155506224692</v>
      </c>
      <c r="F18" s="235">
        <v>16.150636823150919</v>
      </c>
      <c r="G18" s="225">
        <v>1893</v>
      </c>
      <c r="H18" s="237">
        <v>47892.130000000019</v>
      </c>
      <c r="I18" s="224">
        <v>25.299524564183834</v>
      </c>
      <c r="J18" s="238">
        <v>0</v>
      </c>
      <c r="K18" s="239">
        <v>0</v>
      </c>
      <c r="L18" s="225">
        <v>0</v>
      </c>
      <c r="M18" s="236">
        <v>225</v>
      </c>
      <c r="N18" s="237">
        <v>0</v>
      </c>
      <c r="O18" s="238">
        <v>350</v>
      </c>
      <c r="P18" s="239">
        <v>5652.7228881028213</v>
      </c>
      <c r="Q18" s="225">
        <v>655</v>
      </c>
      <c r="R18" s="236">
        <v>16695.645</v>
      </c>
      <c r="S18" s="237">
        <v>10578.667119163852</v>
      </c>
      <c r="T18" s="238">
        <v>1893</v>
      </c>
      <c r="U18" s="239">
        <v>30573.155506224688</v>
      </c>
      <c r="V18" s="225">
        <v>1893</v>
      </c>
      <c r="W18" s="236">
        <v>47297.130000000019</v>
      </c>
      <c r="X18" s="237">
        <v>30573.155506224688</v>
      </c>
      <c r="Y18" s="238">
        <v>1893</v>
      </c>
      <c r="Z18" s="239">
        <v>30573.155506224688</v>
      </c>
      <c r="AA18" s="225">
        <v>1893</v>
      </c>
      <c r="AB18" s="236">
        <v>47297.130000000019</v>
      </c>
      <c r="AC18" s="237">
        <v>30573.155506224688</v>
      </c>
      <c r="AD18" s="238">
        <v>1893</v>
      </c>
      <c r="AE18" s="239">
        <v>30573.155506224688</v>
      </c>
      <c r="AF18" s="225">
        <v>1893</v>
      </c>
      <c r="AG18" s="236">
        <v>47297.130000000019</v>
      </c>
      <c r="AH18" s="237">
        <v>30573.155506224688</v>
      </c>
      <c r="AI18" s="238">
        <v>1893</v>
      </c>
      <c r="AJ18" s="239">
        <v>30573.155506224688</v>
      </c>
      <c r="AK18" s="225">
        <v>1893</v>
      </c>
      <c r="AL18" s="236">
        <v>47297.130000000019</v>
      </c>
      <c r="AM18" s="237">
        <v>30573.155506224688</v>
      </c>
      <c r="AN18" s="238">
        <v>1893</v>
      </c>
      <c r="AO18" s="239">
        <v>30573.155506224688</v>
      </c>
      <c r="AP18" s="225">
        <v>1893</v>
      </c>
      <c r="AQ18" s="236">
        <v>47892.130000000019</v>
      </c>
      <c r="AR18" s="237">
        <v>30573.155506224688</v>
      </c>
      <c r="AS18" s="238">
        <v>1893</v>
      </c>
      <c r="AT18" s="239">
        <v>30573.155506224688</v>
      </c>
      <c r="AU18" s="225">
        <v>1893</v>
      </c>
      <c r="AV18" s="236">
        <v>47892.130000000019</v>
      </c>
      <c r="AW18" s="237">
        <v>30573.155506224688</v>
      </c>
      <c r="AX18" s="238">
        <v>1893</v>
      </c>
      <c r="AY18" s="239">
        <v>30573.155506224688</v>
      </c>
      <c r="AZ18" s="225">
        <v>1893</v>
      </c>
      <c r="BA18" s="236">
        <v>47892.130000000019</v>
      </c>
      <c r="BB18" s="237">
        <v>30573.155506224688</v>
      </c>
      <c r="BC18" s="238">
        <v>1893</v>
      </c>
      <c r="BD18" s="239">
        <v>30573.155506224688</v>
      </c>
      <c r="BE18" s="225">
        <v>1893</v>
      </c>
      <c r="BF18" s="236">
        <v>47892.130000000019</v>
      </c>
      <c r="BG18" s="237">
        <v>30573.155506224688</v>
      </c>
      <c r="BH18" s="238">
        <v>1893</v>
      </c>
      <c r="BI18" s="239">
        <v>30573.155506224688</v>
      </c>
      <c r="BJ18" s="225">
        <v>1893</v>
      </c>
      <c r="BK18" s="236">
        <v>47892.130000000019</v>
      </c>
      <c r="BL18" s="237">
        <v>30573.155506224688</v>
      </c>
      <c r="BM18" s="238">
        <v>1893</v>
      </c>
      <c r="BN18" s="239">
        <v>30573.155506224688</v>
      </c>
      <c r="BO18" s="225">
        <v>1893</v>
      </c>
      <c r="BP18" s="236">
        <v>47892.130000000019</v>
      </c>
      <c r="BQ18" s="248">
        <v>30573.155506224692</v>
      </c>
      <c r="BS18" s="192"/>
    </row>
    <row r="19" spans="1:71" x14ac:dyDescent="0.25">
      <c r="A19" s="101">
        <v>71</v>
      </c>
      <c r="B19" s="161" t="s">
        <v>1326</v>
      </c>
      <c r="C19" s="235">
        <v>418</v>
      </c>
      <c r="D19" s="98" t="s">
        <v>687</v>
      </c>
      <c r="E19" s="190">
        <v>23438.71</v>
      </c>
      <c r="F19" s="235">
        <v>56.073468899521529</v>
      </c>
      <c r="G19" s="225">
        <v>418</v>
      </c>
      <c r="H19" s="237">
        <v>30901.95</v>
      </c>
      <c r="I19" s="224">
        <v>73.928229665071768</v>
      </c>
      <c r="J19" s="238">
        <v>0</v>
      </c>
      <c r="K19" s="239">
        <v>0</v>
      </c>
      <c r="L19" s="225">
        <v>0</v>
      </c>
      <c r="M19" s="236">
        <v>0</v>
      </c>
      <c r="N19" s="237">
        <v>0</v>
      </c>
      <c r="O19" s="238">
        <v>0</v>
      </c>
      <c r="P19" s="239">
        <v>0</v>
      </c>
      <c r="Q19" s="225">
        <v>0</v>
      </c>
      <c r="R19" s="236">
        <v>400</v>
      </c>
      <c r="S19" s="237">
        <v>0</v>
      </c>
      <c r="T19" s="238">
        <v>48</v>
      </c>
      <c r="U19" s="239">
        <v>2691.5265071770336</v>
      </c>
      <c r="V19" s="225">
        <v>48</v>
      </c>
      <c r="W19" s="236">
        <v>3520</v>
      </c>
      <c r="X19" s="237">
        <v>2691.5265071770336</v>
      </c>
      <c r="Y19" s="238">
        <v>233</v>
      </c>
      <c r="Z19" s="239">
        <v>13065.118253588516</v>
      </c>
      <c r="AA19" s="225">
        <v>48</v>
      </c>
      <c r="AB19" s="236">
        <v>3520</v>
      </c>
      <c r="AC19" s="237">
        <v>2691.5265071770336</v>
      </c>
      <c r="AD19" s="238">
        <v>418</v>
      </c>
      <c r="AE19" s="239">
        <v>23438.71</v>
      </c>
      <c r="AF19" s="225">
        <v>48</v>
      </c>
      <c r="AG19" s="236">
        <v>4081.2499999999995</v>
      </c>
      <c r="AH19" s="237">
        <v>2691.5265071770336</v>
      </c>
      <c r="AI19" s="238">
        <v>418</v>
      </c>
      <c r="AJ19" s="239">
        <v>23438.71</v>
      </c>
      <c r="AK19" s="225">
        <v>86</v>
      </c>
      <c r="AL19" s="236">
        <v>6346.9500000000007</v>
      </c>
      <c r="AM19" s="237">
        <v>4822.3183253588513</v>
      </c>
      <c r="AN19" s="238">
        <v>418</v>
      </c>
      <c r="AO19" s="239">
        <v>23438.71</v>
      </c>
      <c r="AP19" s="225">
        <v>418</v>
      </c>
      <c r="AQ19" s="236">
        <v>30901.95</v>
      </c>
      <c r="AR19" s="237">
        <v>23438.71</v>
      </c>
      <c r="AS19" s="238">
        <v>418</v>
      </c>
      <c r="AT19" s="239">
        <v>23438.71</v>
      </c>
      <c r="AU19" s="225">
        <v>418</v>
      </c>
      <c r="AV19" s="236">
        <v>30901.95</v>
      </c>
      <c r="AW19" s="237">
        <v>23438.71</v>
      </c>
      <c r="AX19" s="238">
        <v>418</v>
      </c>
      <c r="AY19" s="239">
        <v>23438.71</v>
      </c>
      <c r="AZ19" s="225">
        <v>418</v>
      </c>
      <c r="BA19" s="236">
        <v>30901.95</v>
      </c>
      <c r="BB19" s="237">
        <v>23438.71</v>
      </c>
      <c r="BC19" s="238">
        <v>418</v>
      </c>
      <c r="BD19" s="239">
        <v>23438.71</v>
      </c>
      <c r="BE19" s="225">
        <v>418</v>
      </c>
      <c r="BF19" s="236">
        <v>30901.95</v>
      </c>
      <c r="BG19" s="237">
        <v>23438.71</v>
      </c>
      <c r="BH19" s="238">
        <v>418</v>
      </c>
      <c r="BI19" s="239">
        <v>23438.71</v>
      </c>
      <c r="BJ19" s="225">
        <v>418</v>
      </c>
      <c r="BK19" s="236">
        <v>30901.95</v>
      </c>
      <c r="BL19" s="237">
        <v>23438.71</v>
      </c>
      <c r="BM19" s="238">
        <v>418</v>
      </c>
      <c r="BN19" s="239">
        <v>23438.71</v>
      </c>
      <c r="BO19" s="225">
        <v>418</v>
      </c>
      <c r="BP19" s="236">
        <v>30901.95</v>
      </c>
      <c r="BQ19" s="248">
        <v>23438.71</v>
      </c>
      <c r="BS19" s="192"/>
    </row>
    <row r="20" spans="1:71" x14ac:dyDescent="0.25">
      <c r="A20" s="101">
        <v>72</v>
      </c>
      <c r="B20" s="161" t="s">
        <v>1327</v>
      </c>
      <c r="C20" s="235">
        <v>35</v>
      </c>
      <c r="D20" s="98" t="s">
        <v>706</v>
      </c>
      <c r="E20" s="190">
        <v>21000</v>
      </c>
      <c r="F20" s="235">
        <v>600</v>
      </c>
      <c r="G20" s="225">
        <v>35</v>
      </c>
      <c r="H20" s="237">
        <v>6696.9850000000006</v>
      </c>
      <c r="I20" s="224">
        <v>191.34285714285716</v>
      </c>
      <c r="J20" s="238">
        <v>0</v>
      </c>
      <c r="K20" s="239">
        <v>0</v>
      </c>
      <c r="L20" s="225">
        <v>0</v>
      </c>
      <c r="M20" s="236">
        <v>0</v>
      </c>
      <c r="N20" s="237">
        <v>0</v>
      </c>
      <c r="O20" s="238">
        <v>0</v>
      </c>
      <c r="P20" s="239">
        <v>0</v>
      </c>
      <c r="Q20" s="225">
        <v>0</v>
      </c>
      <c r="R20" s="236">
        <v>0</v>
      </c>
      <c r="S20" s="237">
        <v>0</v>
      </c>
      <c r="T20" s="238">
        <v>20</v>
      </c>
      <c r="U20" s="239">
        <v>12000</v>
      </c>
      <c r="V20" s="225">
        <v>18</v>
      </c>
      <c r="W20" s="236">
        <v>3440.3250000000003</v>
      </c>
      <c r="X20" s="237">
        <v>10800</v>
      </c>
      <c r="Y20" s="238">
        <v>35</v>
      </c>
      <c r="Z20" s="239">
        <v>21000</v>
      </c>
      <c r="AA20" s="225">
        <v>25</v>
      </c>
      <c r="AB20" s="236">
        <v>4851.9850000000006</v>
      </c>
      <c r="AC20" s="237">
        <v>15000</v>
      </c>
      <c r="AD20" s="238">
        <v>35</v>
      </c>
      <c r="AE20" s="239">
        <v>21000</v>
      </c>
      <c r="AF20" s="225">
        <v>25</v>
      </c>
      <c r="AG20" s="236">
        <v>4851.9850000000006</v>
      </c>
      <c r="AH20" s="237">
        <v>15000</v>
      </c>
      <c r="AI20" s="238">
        <v>35</v>
      </c>
      <c r="AJ20" s="239">
        <v>21000</v>
      </c>
      <c r="AK20" s="225">
        <v>25</v>
      </c>
      <c r="AL20" s="236">
        <v>4851.9850000000006</v>
      </c>
      <c r="AM20" s="237">
        <v>15000</v>
      </c>
      <c r="AN20" s="238">
        <v>35</v>
      </c>
      <c r="AO20" s="239">
        <v>21000</v>
      </c>
      <c r="AP20" s="225">
        <v>25</v>
      </c>
      <c r="AQ20" s="236">
        <v>4851.9850000000006</v>
      </c>
      <c r="AR20" s="237">
        <v>15000</v>
      </c>
      <c r="AS20" s="238">
        <v>35</v>
      </c>
      <c r="AT20" s="239">
        <v>21000</v>
      </c>
      <c r="AU20" s="225">
        <v>35</v>
      </c>
      <c r="AV20" s="236">
        <v>4851.9850000000006</v>
      </c>
      <c r="AW20" s="237">
        <v>21000</v>
      </c>
      <c r="AX20" s="238">
        <v>35</v>
      </c>
      <c r="AY20" s="239">
        <v>21000</v>
      </c>
      <c r="AZ20" s="225">
        <v>35</v>
      </c>
      <c r="BA20" s="236">
        <v>4851.9850000000006</v>
      </c>
      <c r="BB20" s="237">
        <v>21000</v>
      </c>
      <c r="BC20" s="238">
        <v>35</v>
      </c>
      <c r="BD20" s="239">
        <v>21000</v>
      </c>
      <c r="BE20" s="225">
        <v>35</v>
      </c>
      <c r="BF20" s="236">
        <v>6696.9850000000006</v>
      </c>
      <c r="BG20" s="237">
        <v>21000</v>
      </c>
      <c r="BH20" s="238">
        <v>35</v>
      </c>
      <c r="BI20" s="239">
        <v>21000</v>
      </c>
      <c r="BJ20" s="225">
        <v>35</v>
      </c>
      <c r="BK20" s="236">
        <v>6696.9850000000006</v>
      </c>
      <c r="BL20" s="237">
        <v>21000</v>
      </c>
      <c r="BM20" s="238">
        <v>35</v>
      </c>
      <c r="BN20" s="239">
        <v>21000</v>
      </c>
      <c r="BO20" s="225">
        <v>35</v>
      </c>
      <c r="BP20" s="236">
        <v>6696.9850000000006</v>
      </c>
      <c r="BQ20" s="248">
        <v>21000</v>
      </c>
      <c r="BS20" s="192"/>
    </row>
    <row r="21" spans="1:71" x14ac:dyDescent="0.25">
      <c r="A21" s="101">
        <v>73</v>
      </c>
      <c r="B21" s="161" t="s">
        <v>1328</v>
      </c>
      <c r="C21" s="235">
        <v>517</v>
      </c>
      <c r="D21" s="98" t="s">
        <v>708</v>
      </c>
      <c r="E21" s="190">
        <v>15824.810860000003</v>
      </c>
      <c r="F21" s="235">
        <v>30.608918491295945</v>
      </c>
      <c r="G21" s="225">
        <v>517</v>
      </c>
      <c r="H21" s="237">
        <v>11570</v>
      </c>
      <c r="I21" s="224">
        <v>22.379110251450676</v>
      </c>
      <c r="J21" s="238">
        <v>0</v>
      </c>
      <c r="K21" s="239">
        <v>0</v>
      </c>
      <c r="L21" s="225">
        <v>0</v>
      </c>
      <c r="M21" s="236">
        <v>0</v>
      </c>
      <c r="N21" s="237">
        <v>0</v>
      </c>
      <c r="O21" s="238">
        <v>0</v>
      </c>
      <c r="P21" s="239">
        <v>0</v>
      </c>
      <c r="Q21" s="225">
        <v>0</v>
      </c>
      <c r="R21" s="236">
        <v>0</v>
      </c>
      <c r="S21" s="237">
        <v>0</v>
      </c>
      <c r="T21" s="238">
        <v>0</v>
      </c>
      <c r="U21" s="239">
        <v>0</v>
      </c>
      <c r="V21" s="225">
        <v>0</v>
      </c>
      <c r="W21" s="236">
        <v>0</v>
      </c>
      <c r="X21" s="237">
        <v>0</v>
      </c>
      <c r="Y21" s="238">
        <v>0</v>
      </c>
      <c r="Z21" s="239">
        <v>0</v>
      </c>
      <c r="AA21" s="225">
        <v>0</v>
      </c>
      <c r="AB21" s="236">
        <v>0</v>
      </c>
      <c r="AC21" s="237">
        <v>0</v>
      </c>
      <c r="AD21" s="238">
        <v>0</v>
      </c>
      <c r="AE21" s="239">
        <v>0</v>
      </c>
      <c r="AF21" s="225">
        <v>0</v>
      </c>
      <c r="AG21" s="236">
        <v>0</v>
      </c>
      <c r="AH21" s="237">
        <v>0</v>
      </c>
      <c r="AI21" s="238">
        <v>0</v>
      </c>
      <c r="AJ21" s="239">
        <v>0</v>
      </c>
      <c r="AK21" s="225"/>
      <c r="AL21" s="236">
        <v>0</v>
      </c>
      <c r="AM21" s="237">
        <v>0</v>
      </c>
      <c r="AN21" s="238">
        <v>517</v>
      </c>
      <c r="AO21" s="239">
        <v>15824.810860000003</v>
      </c>
      <c r="AP21" s="225">
        <v>160</v>
      </c>
      <c r="AQ21" s="236">
        <v>3600</v>
      </c>
      <c r="AR21" s="237">
        <v>4897.4269586073515</v>
      </c>
      <c r="AS21" s="238">
        <v>517</v>
      </c>
      <c r="AT21" s="239">
        <v>15824.810860000003</v>
      </c>
      <c r="AU21" s="225">
        <v>517</v>
      </c>
      <c r="AV21" s="236">
        <v>11570</v>
      </c>
      <c r="AW21" s="237">
        <v>15824.810860000003</v>
      </c>
      <c r="AX21" s="238">
        <v>517</v>
      </c>
      <c r="AY21" s="239">
        <v>15824.810860000003</v>
      </c>
      <c r="AZ21" s="225">
        <v>517</v>
      </c>
      <c r="BA21" s="236">
        <v>11570</v>
      </c>
      <c r="BB21" s="237">
        <v>15824.810860000003</v>
      </c>
      <c r="BC21" s="238">
        <v>517</v>
      </c>
      <c r="BD21" s="239">
        <v>15824.810860000003</v>
      </c>
      <c r="BE21" s="225">
        <v>517</v>
      </c>
      <c r="BF21" s="236">
        <v>11570</v>
      </c>
      <c r="BG21" s="237">
        <v>15824.810860000003</v>
      </c>
      <c r="BH21" s="238">
        <v>517</v>
      </c>
      <c r="BI21" s="239">
        <v>15824.810860000003</v>
      </c>
      <c r="BJ21" s="225">
        <v>517</v>
      </c>
      <c r="BK21" s="236">
        <v>11570</v>
      </c>
      <c r="BL21" s="237">
        <v>15824.810860000003</v>
      </c>
      <c r="BM21" s="238">
        <v>517</v>
      </c>
      <c r="BN21" s="239">
        <v>15824.810860000003</v>
      </c>
      <c r="BO21" s="225">
        <v>517</v>
      </c>
      <c r="BP21" s="236">
        <v>11570</v>
      </c>
      <c r="BQ21" s="248">
        <v>15824.810860000003</v>
      </c>
      <c r="BS21" s="192"/>
    </row>
    <row r="22" spans="1:71" x14ac:dyDescent="0.25">
      <c r="A22" s="101">
        <v>75</v>
      </c>
      <c r="B22" s="161" t="s">
        <v>1329</v>
      </c>
      <c r="C22" s="235">
        <v>83</v>
      </c>
      <c r="D22" s="98" t="s">
        <v>687</v>
      </c>
      <c r="E22" s="190">
        <v>3526</v>
      </c>
      <c r="F22" s="235">
        <v>42.481927710843372</v>
      </c>
      <c r="G22" s="225">
        <v>83</v>
      </c>
      <c r="H22" s="237">
        <v>4008.49</v>
      </c>
      <c r="I22" s="224">
        <v>48.289156626506021</v>
      </c>
      <c r="J22" s="238">
        <v>0</v>
      </c>
      <c r="K22" s="239">
        <v>0</v>
      </c>
      <c r="L22" s="225">
        <v>0</v>
      </c>
      <c r="M22" s="236">
        <v>0</v>
      </c>
      <c r="N22" s="237">
        <v>0</v>
      </c>
      <c r="O22" s="238">
        <v>0</v>
      </c>
      <c r="P22" s="239">
        <v>0</v>
      </c>
      <c r="Q22" s="225">
        <v>0</v>
      </c>
      <c r="R22" s="236">
        <v>0</v>
      </c>
      <c r="S22" s="237">
        <v>0</v>
      </c>
      <c r="T22" s="238">
        <v>6</v>
      </c>
      <c r="U22" s="239">
        <v>254.89156626506025</v>
      </c>
      <c r="V22" s="225">
        <v>6</v>
      </c>
      <c r="W22" s="236">
        <v>269.27999999999997</v>
      </c>
      <c r="X22" s="237">
        <v>254.89156626506025</v>
      </c>
      <c r="Y22" s="238">
        <v>6</v>
      </c>
      <c r="Z22" s="239">
        <v>254.89156626506025</v>
      </c>
      <c r="AA22" s="225">
        <v>6</v>
      </c>
      <c r="AB22" s="236">
        <v>269.27999999999997</v>
      </c>
      <c r="AC22" s="237">
        <v>254.89156626506025</v>
      </c>
      <c r="AD22" s="238">
        <v>83</v>
      </c>
      <c r="AE22" s="239">
        <v>3526</v>
      </c>
      <c r="AF22" s="225">
        <v>15</v>
      </c>
      <c r="AG22" s="236">
        <v>711.18</v>
      </c>
      <c r="AH22" s="237">
        <v>637.22891566265059</v>
      </c>
      <c r="AI22" s="238">
        <v>83</v>
      </c>
      <c r="AJ22" s="239">
        <v>3526</v>
      </c>
      <c r="AK22" s="225">
        <v>83</v>
      </c>
      <c r="AL22" s="236">
        <v>4008.49</v>
      </c>
      <c r="AM22" s="237">
        <v>3526</v>
      </c>
      <c r="AN22" s="238">
        <v>83</v>
      </c>
      <c r="AO22" s="239">
        <v>3526</v>
      </c>
      <c r="AP22" s="225">
        <v>83</v>
      </c>
      <c r="AQ22" s="236">
        <v>4008.49</v>
      </c>
      <c r="AR22" s="237">
        <v>3526</v>
      </c>
      <c r="AS22" s="238">
        <v>83</v>
      </c>
      <c r="AT22" s="239">
        <v>3526</v>
      </c>
      <c r="AU22" s="225">
        <v>83</v>
      </c>
      <c r="AV22" s="236">
        <v>4008.49</v>
      </c>
      <c r="AW22" s="237">
        <v>3526</v>
      </c>
      <c r="AX22" s="238">
        <v>83</v>
      </c>
      <c r="AY22" s="239">
        <v>3526</v>
      </c>
      <c r="AZ22" s="225">
        <v>83</v>
      </c>
      <c r="BA22" s="236">
        <v>4008.49</v>
      </c>
      <c r="BB22" s="237">
        <v>3526</v>
      </c>
      <c r="BC22" s="238">
        <v>83</v>
      </c>
      <c r="BD22" s="239">
        <v>3526</v>
      </c>
      <c r="BE22" s="225">
        <v>83</v>
      </c>
      <c r="BF22" s="236">
        <v>4008.49</v>
      </c>
      <c r="BG22" s="237">
        <v>3526</v>
      </c>
      <c r="BH22" s="238">
        <v>83</v>
      </c>
      <c r="BI22" s="239">
        <v>3526</v>
      </c>
      <c r="BJ22" s="225">
        <v>83</v>
      </c>
      <c r="BK22" s="236">
        <v>4008.49</v>
      </c>
      <c r="BL22" s="237">
        <v>3526</v>
      </c>
      <c r="BM22" s="238">
        <v>83</v>
      </c>
      <c r="BN22" s="239">
        <v>3526</v>
      </c>
      <c r="BO22" s="225">
        <v>83</v>
      </c>
      <c r="BP22" s="236">
        <v>4008.49</v>
      </c>
      <c r="BQ22" s="248">
        <v>3526</v>
      </c>
      <c r="BS22" s="192"/>
    </row>
    <row r="23" spans="1:71" x14ac:dyDescent="0.25">
      <c r="A23" s="101">
        <v>81</v>
      </c>
      <c r="B23" s="161" t="s">
        <v>1330</v>
      </c>
      <c r="C23" s="235">
        <v>102.48</v>
      </c>
      <c r="D23" s="98" t="s">
        <v>687</v>
      </c>
      <c r="E23" s="190">
        <v>41052.64432989691</v>
      </c>
      <c r="F23" s="235">
        <v>400.59176746581682</v>
      </c>
      <c r="G23" s="225">
        <v>102</v>
      </c>
      <c r="H23" s="237">
        <v>34010.799999999996</v>
      </c>
      <c r="I23" s="224">
        <v>327.85294117647061</v>
      </c>
      <c r="J23" s="238">
        <v>50</v>
      </c>
      <c r="K23" s="239">
        <v>20029.588373290841</v>
      </c>
      <c r="L23" s="225">
        <v>43.92</v>
      </c>
      <c r="M23" s="236">
        <v>14553.384999999998</v>
      </c>
      <c r="N23" s="237">
        <v>17593.990427098674</v>
      </c>
      <c r="O23" s="238">
        <v>102.48</v>
      </c>
      <c r="P23" s="239">
        <v>41052.64432989691</v>
      </c>
      <c r="Q23" s="225">
        <v>102.48</v>
      </c>
      <c r="R23" s="236">
        <v>32464.274999999994</v>
      </c>
      <c r="S23" s="237">
        <v>41052.64432989691</v>
      </c>
      <c r="T23" s="238">
        <v>102.48</v>
      </c>
      <c r="U23" s="239">
        <v>41052.64432989691</v>
      </c>
      <c r="V23" s="225">
        <v>102.48</v>
      </c>
      <c r="W23" s="236">
        <v>32464.274999999994</v>
      </c>
      <c r="X23" s="237">
        <v>41052.64432989691</v>
      </c>
      <c r="Y23" s="238">
        <v>102.48</v>
      </c>
      <c r="Z23" s="239">
        <v>41052.64432989691</v>
      </c>
      <c r="AA23" s="225">
        <v>102.48</v>
      </c>
      <c r="AB23" s="236">
        <v>32464.274999999994</v>
      </c>
      <c r="AC23" s="237">
        <v>41052.64432989691</v>
      </c>
      <c r="AD23" s="238">
        <v>102.48</v>
      </c>
      <c r="AE23" s="239">
        <v>41052.64432989691</v>
      </c>
      <c r="AF23" s="225">
        <v>102.48</v>
      </c>
      <c r="AG23" s="236">
        <v>33440.799999999996</v>
      </c>
      <c r="AH23" s="237">
        <v>41052.64432989691</v>
      </c>
      <c r="AI23" s="238">
        <v>102.48</v>
      </c>
      <c r="AJ23" s="239">
        <v>41052.64432989691</v>
      </c>
      <c r="AK23" s="225">
        <v>102.48</v>
      </c>
      <c r="AL23" s="236">
        <v>33440.799999999996</v>
      </c>
      <c r="AM23" s="237">
        <v>41052.64432989691</v>
      </c>
      <c r="AN23" s="238">
        <v>102.48</v>
      </c>
      <c r="AO23" s="239">
        <v>41052.64432989691</v>
      </c>
      <c r="AP23" s="225">
        <v>102.48</v>
      </c>
      <c r="AQ23" s="236">
        <v>33440.799999999996</v>
      </c>
      <c r="AR23" s="237">
        <v>41052.64432989691</v>
      </c>
      <c r="AS23" s="238">
        <v>102.48</v>
      </c>
      <c r="AT23" s="239">
        <v>41052.64432989691</v>
      </c>
      <c r="AU23" s="225">
        <v>102</v>
      </c>
      <c r="AV23" s="236">
        <v>33440.799999999996</v>
      </c>
      <c r="AW23" s="237">
        <v>40860.360281513313</v>
      </c>
      <c r="AX23" s="238">
        <v>102.48</v>
      </c>
      <c r="AY23" s="239">
        <v>41052.64432989691</v>
      </c>
      <c r="AZ23" s="225">
        <v>102</v>
      </c>
      <c r="BA23" s="236">
        <v>33440.799999999996</v>
      </c>
      <c r="BB23" s="237">
        <v>40860.360281513313</v>
      </c>
      <c r="BC23" s="238">
        <v>102.48</v>
      </c>
      <c r="BD23" s="239">
        <v>41052.64432989691</v>
      </c>
      <c r="BE23" s="225">
        <v>102</v>
      </c>
      <c r="BF23" s="236">
        <v>33440.799999999996</v>
      </c>
      <c r="BG23" s="237">
        <v>40860.360281513313</v>
      </c>
      <c r="BH23" s="238">
        <v>102.48</v>
      </c>
      <c r="BI23" s="239">
        <v>41052.64432989691</v>
      </c>
      <c r="BJ23" s="225">
        <v>102</v>
      </c>
      <c r="BK23" s="236">
        <v>33440.799999999996</v>
      </c>
      <c r="BL23" s="237">
        <v>40860.360281513313</v>
      </c>
      <c r="BM23" s="238">
        <v>102.48</v>
      </c>
      <c r="BN23" s="239">
        <v>41052.64432989691</v>
      </c>
      <c r="BO23" s="225">
        <v>102</v>
      </c>
      <c r="BP23" s="236">
        <v>34010.799999999996</v>
      </c>
      <c r="BQ23" s="248">
        <v>41052.64432989691</v>
      </c>
      <c r="BS23" s="192"/>
    </row>
    <row r="24" spans="1:71" x14ac:dyDescent="0.25">
      <c r="A24" s="101">
        <v>87</v>
      </c>
      <c r="B24" s="161" t="s">
        <v>1331</v>
      </c>
      <c r="C24" s="235">
        <v>1780</v>
      </c>
      <c r="D24" s="98" t="s">
        <v>687</v>
      </c>
      <c r="E24" s="190">
        <v>63795.659765976598</v>
      </c>
      <c r="F24" s="235">
        <v>35.840258295492468</v>
      </c>
      <c r="G24" s="225">
        <v>1780</v>
      </c>
      <c r="H24" s="237">
        <v>19291.025000000005</v>
      </c>
      <c r="I24" s="224">
        <v>10.837640449438203</v>
      </c>
      <c r="J24" s="238">
        <v>0</v>
      </c>
      <c r="K24" s="239">
        <v>0</v>
      </c>
      <c r="L24" s="225">
        <v>0</v>
      </c>
      <c r="M24" s="236">
        <v>0</v>
      </c>
      <c r="N24" s="237">
        <v>0</v>
      </c>
      <c r="O24" s="238">
        <v>500</v>
      </c>
      <c r="P24" s="239">
        <v>17920.129147746233</v>
      </c>
      <c r="Q24" s="225">
        <v>875</v>
      </c>
      <c r="R24" s="236">
        <v>9624.4650000000001</v>
      </c>
      <c r="S24" s="237">
        <v>31360.22600855591</v>
      </c>
      <c r="T24" s="238">
        <v>1410</v>
      </c>
      <c r="U24" s="239">
        <v>50534.764196644377</v>
      </c>
      <c r="V24" s="225">
        <v>930</v>
      </c>
      <c r="W24" s="236">
        <v>10214.465</v>
      </c>
      <c r="X24" s="237">
        <v>33331.440214807997</v>
      </c>
      <c r="Y24" s="238">
        <v>1780</v>
      </c>
      <c r="Z24" s="239">
        <v>63795.65976597659</v>
      </c>
      <c r="AA24" s="225">
        <v>930</v>
      </c>
      <c r="AB24" s="236">
        <v>10214.465</v>
      </c>
      <c r="AC24" s="237">
        <v>33331.440214807997</v>
      </c>
      <c r="AD24" s="238">
        <v>1780</v>
      </c>
      <c r="AE24" s="239">
        <v>63795.65976597659</v>
      </c>
      <c r="AF24" s="225">
        <v>1660</v>
      </c>
      <c r="AG24" s="236">
        <v>18262.525000000005</v>
      </c>
      <c r="AH24" s="237">
        <v>59494.828770517495</v>
      </c>
      <c r="AI24" s="238">
        <v>1780</v>
      </c>
      <c r="AJ24" s="239">
        <v>63795.65976597659</v>
      </c>
      <c r="AK24" s="225">
        <v>1660</v>
      </c>
      <c r="AL24" s="236">
        <v>18262.525000000005</v>
      </c>
      <c r="AM24" s="237">
        <v>59494.828770517495</v>
      </c>
      <c r="AN24" s="238">
        <v>1780</v>
      </c>
      <c r="AO24" s="239">
        <v>63795.65976597659</v>
      </c>
      <c r="AP24" s="225">
        <v>1780</v>
      </c>
      <c r="AQ24" s="236">
        <v>19291.025000000005</v>
      </c>
      <c r="AR24" s="237">
        <v>63795.65976597659</v>
      </c>
      <c r="AS24" s="238">
        <v>1780</v>
      </c>
      <c r="AT24" s="239">
        <v>63795.65976597659</v>
      </c>
      <c r="AU24" s="225">
        <v>1780</v>
      </c>
      <c r="AV24" s="236">
        <v>19291.025000000005</v>
      </c>
      <c r="AW24" s="237">
        <v>63795.65976597659</v>
      </c>
      <c r="AX24" s="238">
        <v>1780</v>
      </c>
      <c r="AY24" s="239">
        <v>63795.65976597659</v>
      </c>
      <c r="AZ24" s="225">
        <v>1780</v>
      </c>
      <c r="BA24" s="236">
        <v>19291.025000000005</v>
      </c>
      <c r="BB24" s="237">
        <v>63795.65976597659</v>
      </c>
      <c r="BC24" s="238">
        <v>1780</v>
      </c>
      <c r="BD24" s="239">
        <v>63795.65976597659</v>
      </c>
      <c r="BE24" s="225">
        <v>1780</v>
      </c>
      <c r="BF24" s="236">
        <v>19291.025000000005</v>
      </c>
      <c r="BG24" s="237">
        <v>63795.65976597659</v>
      </c>
      <c r="BH24" s="238">
        <v>1780</v>
      </c>
      <c r="BI24" s="239">
        <v>63795.65976597659</v>
      </c>
      <c r="BJ24" s="225">
        <v>1780</v>
      </c>
      <c r="BK24" s="236">
        <v>19291.025000000005</v>
      </c>
      <c r="BL24" s="237">
        <v>63795.65976597659</v>
      </c>
      <c r="BM24" s="238">
        <v>1780</v>
      </c>
      <c r="BN24" s="239">
        <v>63795.65976597659</v>
      </c>
      <c r="BO24" s="225">
        <v>1780</v>
      </c>
      <c r="BP24" s="236">
        <v>19291.025000000005</v>
      </c>
      <c r="BQ24" s="248">
        <v>63795.659765976598</v>
      </c>
      <c r="BS24" s="192"/>
    </row>
    <row r="25" spans="1:71" x14ac:dyDescent="0.25">
      <c r="A25" s="101">
        <v>103</v>
      </c>
      <c r="B25" s="161" t="s">
        <v>1332</v>
      </c>
      <c r="C25" s="235">
        <v>1</v>
      </c>
      <c r="D25" s="98" t="s">
        <v>1311</v>
      </c>
      <c r="E25" s="190">
        <v>13500</v>
      </c>
      <c r="F25" s="235">
        <v>13500</v>
      </c>
      <c r="G25" s="225">
        <v>1</v>
      </c>
      <c r="H25" s="237">
        <v>13840</v>
      </c>
      <c r="I25" s="224">
        <v>13840</v>
      </c>
      <c r="J25" s="238">
        <v>0</v>
      </c>
      <c r="K25" s="239">
        <v>0</v>
      </c>
      <c r="L25" s="225">
        <v>0</v>
      </c>
      <c r="M25" s="236">
        <v>0</v>
      </c>
      <c r="N25" s="237">
        <v>0</v>
      </c>
      <c r="O25" s="238">
        <v>0</v>
      </c>
      <c r="P25" s="239">
        <v>0</v>
      </c>
      <c r="Q25" s="225">
        <v>0</v>
      </c>
      <c r="R25" s="236">
        <v>0</v>
      </c>
      <c r="S25" s="237">
        <v>0</v>
      </c>
      <c r="T25" s="238">
        <v>0</v>
      </c>
      <c r="U25" s="239">
        <v>0</v>
      </c>
      <c r="V25" s="225">
        <v>0</v>
      </c>
      <c r="W25" s="236">
        <v>0</v>
      </c>
      <c r="X25" s="237">
        <v>0</v>
      </c>
      <c r="Y25" s="238">
        <v>1</v>
      </c>
      <c r="Z25" s="239">
        <v>13500</v>
      </c>
      <c r="AA25" s="225">
        <v>1</v>
      </c>
      <c r="AB25" s="236">
        <v>13840</v>
      </c>
      <c r="AC25" s="237">
        <v>13500</v>
      </c>
      <c r="AD25" s="238">
        <v>1</v>
      </c>
      <c r="AE25" s="239">
        <v>13500</v>
      </c>
      <c r="AF25" s="225">
        <v>1</v>
      </c>
      <c r="AG25" s="236">
        <v>13840</v>
      </c>
      <c r="AH25" s="237">
        <v>13500</v>
      </c>
      <c r="AI25" s="238">
        <v>1</v>
      </c>
      <c r="AJ25" s="239">
        <v>13500</v>
      </c>
      <c r="AK25" s="225">
        <v>1</v>
      </c>
      <c r="AL25" s="236">
        <v>13840</v>
      </c>
      <c r="AM25" s="237">
        <v>13500</v>
      </c>
      <c r="AN25" s="238">
        <v>1</v>
      </c>
      <c r="AO25" s="239">
        <v>13500</v>
      </c>
      <c r="AP25" s="225">
        <v>1</v>
      </c>
      <c r="AQ25" s="236">
        <v>13840</v>
      </c>
      <c r="AR25" s="237">
        <v>13500</v>
      </c>
      <c r="AS25" s="238">
        <v>1</v>
      </c>
      <c r="AT25" s="239">
        <v>13500</v>
      </c>
      <c r="AU25" s="225">
        <v>1</v>
      </c>
      <c r="AV25" s="236">
        <v>13840</v>
      </c>
      <c r="AW25" s="237">
        <v>13500</v>
      </c>
      <c r="AX25" s="238">
        <v>1</v>
      </c>
      <c r="AY25" s="239">
        <v>13500</v>
      </c>
      <c r="AZ25" s="225">
        <v>1</v>
      </c>
      <c r="BA25" s="236">
        <v>13840</v>
      </c>
      <c r="BB25" s="237">
        <v>13500</v>
      </c>
      <c r="BC25" s="238">
        <v>1</v>
      </c>
      <c r="BD25" s="239">
        <v>13500</v>
      </c>
      <c r="BE25" s="225">
        <v>1</v>
      </c>
      <c r="BF25" s="236">
        <v>13840</v>
      </c>
      <c r="BG25" s="237">
        <v>13500</v>
      </c>
      <c r="BH25" s="238">
        <v>1</v>
      </c>
      <c r="BI25" s="239">
        <v>13500</v>
      </c>
      <c r="BJ25" s="225">
        <v>1</v>
      </c>
      <c r="BK25" s="236">
        <v>13840</v>
      </c>
      <c r="BL25" s="237">
        <v>13500</v>
      </c>
      <c r="BM25" s="238">
        <v>1</v>
      </c>
      <c r="BN25" s="239">
        <v>13500</v>
      </c>
      <c r="BO25" s="225">
        <v>1</v>
      </c>
      <c r="BP25" s="236">
        <v>13840</v>
      </c>
      <c r="BQ25" s="248">
        <v>13500</v>
      </c>
      <c r="BS25" s="192"/>
    </row>
    <row r="26" spans="1:71" x14ac:dyDescent="0.25">
      <c r="A26" s="101">
        <v>121</v>
      </c>
      <c r="B26" s="161" t="s">
        <v>1333</v>
      </c>
      <c r="C26" s="235">
        <v>10200</v>
      </c>
      <c r="D26" s="98" t="s">
        <v>708</v>
      </c>
      <c r="E26" s="190">
        <v>27489</v>
      </c>
      <c r="F26" s="235">
        <v>2.6949999999999998</v>
      </c>
      <c r="G26" s="225">
        <v>0</v>
      </c>
      <c r="H26" s="237">
        <v>0</v>
      </c>
      <c r="I26" s="224">
        <v>0</v>
      </c>
      <c r="J26" s="238">
        <v>0</v>
      </c>
      <c r="K26" s="239">
        <v>0</v>
      </c>
      <c r="L26" s="225">
        <v>0</v>
      </c>
      <c r="M26" s="236">
        <v>0</v>
      </c>
      <c r="N26" s="237">
        <v>0</v>
      </c>
      <c r="O26" s="238">
        <v>0</v>
      </c>
      <c r="P26" s="239">
        <v>0</v>
      </c>
      <c r="Q26" s="225">
        <v>0</v>
      </c>
      <c r="R26" s="236">
        <v>0</v>
      </c>
      <c r="S26" s="237">
        <v>0</v>
      </c>
      <c r="T26" s="238">
        <v>0</v>
      </c>
      <c r="U26" s="239">
        <v>0</v>
      </c>
      <c r="V26" s="225">
        <v>0</v>
      </c>
      <c r="W26" s="236">
        <v>0</v>
      </c>
      <c r="X26" s="237">
        <v>0</v>
      </c>
      <c r="Y26" s="238">
        <v>0</v>
      </c>
      <c r="Z26" s="239">
        <v>0</v>
      </c>
      <c r="AA26" s="225"/>
      <c r="AB26" s="236">
        <v>0</v>
      </c>
      <c r="AC26" s="237">
        <v>0</v>
      </c>
      <c r="AD26" s="238">
        <v>10200</v>
      </c>
      <c r="AE26" s="239">
        <v>27489</v>
      </c>
      <c r="AF26" s="225">
        <v>0</v>
      </c>
      <c r="AG26" s="236">
        <v>0</v>
      </c>
      <c r="AH26" s="237">
        <v>0</v>
      </c>
      <c r="AI26" s="238">
        <v>10200</v>
      </c>
      <c r="AJ26" s="239">
        <v>27489</v>
      </c>
      <c r="AK26" s="225"/>
      <c r="AL26" s="236">
        <v>0</v>
      </c>
      <c r="AM26" s="237">
        <v>0</v>
      </c>
      <c r="AN26" s="238">
        <v>10200</v>
      </c>
      <c r="AO26" s="239">
        <v>27489</v>
      </c>
      <c r="AP26" s="225">
        <v>0</v>
      </c>
      <c r="AQ26" s="236">
        <v>0</v>
      </c>
      <c r="AR26" s="237">
        <v>0</v>
      </c>
      <c r="AS26" s="238">
        <v>10200</v>
      </c>
      <c r="AT26" s="239">
        <v>27489</v>
      </c>
      <c r="AU26" s="225">
        <v>0</v>
      </c>
      <c r="AV26" s="236">
        <v>0</v>
      </c>
      <c r="AW26" s="237">
        <v>0</v>
      </c>
      <c r="AX26" s="238">
        <v>10200</v>
      </c>
      <c r="AY26" s="239">
        <v>27489</v>
      </c>
      <c r="AZ26" s="225">
        <v>0</v>
      </c>
      <c r="BA26" s="236">
        <v>0</v>
      </c>
      <c r="BB26" s="237">
        <v>0</v>
      </c>
      <c r="BC26" s="238">
        <v>10200</v>
      </c>
      <c r="BD26" s="239">
        <v>27489</v>
      </c>
      <c r="BE26" s="225">
        <v>0</v>
      </c>
      <c r="BF26" s="236">
        <v>0</v>
      </c>
      <c r="BG26" s="237">
        <v>0</v>
      </c>
      <c r="BH26" s="238">
        <v>10200</v>
      </c>
      <c r="BI26" s="239">
        <v>27489</v>
      </c>
      <c r="BJ26" s="225">
        <v>0</v>
      </c>
      <c r="BK26" s="236">
        <v>0</v>
      </c>
      <c r="BL26" s="237">
        <v>0</v>
      </c>
      <c r="BM26" s="238">
        <v>10200</v>
      </c>
      <c r="BN26" s="239">
        <v>27489</v>
      </c>
      <c r="BO26" s="225">
        <v>0</v>
      </c>
      <c r="BP26" s="236">
        <v>0</v>
      </c>
      <c r="BQ26" s="248">
        <v>27489</v>
      </c>
      <c r="BS26" s="192"/>
    </row>
    <row r="27" spans="1:71" x14ac:dyDescent="0.25">
      <c r="A27" s="101">
        <v>141</v>
      </c>
      <c r="B27" s="161" t="s">
        <v>1334</v>
      </c>
      <c r="C27" s="235">
        <v>933</v>
      </c>
      <c r="D27" s="98" t="s">
        <v>1309</v>
      </c>
      <c r="E27" s="190">
        <v>27953.545454545456</v>
      </c>
      <c r="F27" s="235">
        <v>29.960927604014422</v>
      </c>
      <c r="G27" s="225">
        <v>110</v>
      </c>
      <c r="H27" s="237">
        <v>21548.605000000007</v>
      </c>
      <c r="I27" s="224">
        <v>56.863636363636367</v>
      </c>
      <c r="J27" s="238">
        <v>200</v>
      </c>
      <c r="K27" s="239">
        <v>5992.1855208028846</v>
      </c>
      <c r="L27" s="225">
        <v>45</v>
      </c>
      <c r="M27" s="236">
        <v>7903.41</v>
      </c>
      <c r="N27" s="237">
        <v>1348.241742180649</v>
      </c>
      <c r="O27" s="238">
        <v>400</v>
      </c>
      <c r="P27" s="239">
        <v>11984.371041605769</v>
      </c>
      <c r="Q27" s="225">
        <v>72</v>
      </c>
      <c r="R27" s="236">
        <v>15179.520000000002</v>
      </c>
      <c r="S27" s="237">
        <v>2157.1867874890386</v>
      </c>
      <c r="T27" s="238">
        <v>600</v>
      </c>
      <c r="U27" s="239">
        <v>17976.556562408652</v>
      </c>
      <c r="V27" s="225">
        <v>76</v>
      </c>
      <c r="W27" s="236">
        <v>15497.670000000002</v>
      </c>
      <c r="X27" s="237">
        <v>2277.0304979050961</v>
      </c>
      <c r="Y27" s="238">
        <v>800</v>
      </c>
      <c r="Z27" s="239">
        <v>23968.742083211539</v>
      </c>
      <c r="AA27" s="225">
        <v>76</v>
      </c>
      <c r="AB27" s="236">
        <v>15497.670000000002</v>
      </c>
      <c r="AC27" s="237">
        <v>2277.0304979050961</v>
      </c>
      <c r="AD27" s="238">
        <v>840</v>
      </c>
      <c r="AE27" s="239">
        <v>25167.179187372116</v>
      </c>
      <c r="AF27" s="225">
        <v>100</v>
      </c>
      <c r="AG27" s="236">
        <v>19127.455000000005</v>
      </c>
      <c r="AH27" s="237">
        <v>2996.0927604014423</v>
      </c>
      <c r="AI27" s="238">
        <v>880</v>
      </c>
      <c r="AJ27" s="239">
        <v>26365.616291532693</v>
      </c>
      <c r="AK27" s="225">
        <v>110</v>
      </c>
      <c r="AL27" s="236">
        <v>21548.605000000007</v>
      </c>
      <c r="AM27" s="237">
        <v>3295.7020364415866</v>
      </c>
      <c r="AN27" s="238">
        <v>920</v>
      </c>
      <c r="AO27" s="239">
        <v>27564.053395693267</v>
      </c>
      <c r="AP27" s="225">
        <v>110</v>
      </c>
      <c r="AQ27" s="236">
        <v>21548.605000000007</v>
      </c>
      <c r="AR27" s="237">
        <v>3295.7020364415866</v>
      </c>
      <c r="AS27" s="238">
        <v>933</v>
      </c>
      <c r="AT27" s="239">
        <v>27953.545454545456</v>
      </c>
      <c r="AU27" s="225">
        <v>110</v>
      </c>
      <c r="AV27" s="236">
        <v>21548.605000000007</v>
      </c>
      <c r="AW27" s="237">
        <v>3295.7020364415866</v>
      </c>
      <c r="AX27" s="238">
        <v>933</v>
      </c>
      <c r="AY27" s="239">
        <v>27953.545454545456</v>
      </c>
      <c r="AZ27" s="225">
        <v>110</v>
      </c>
      <c r="BA27" s="236">
        <v>21548.605000000007</v>
      </c>
      <c r="BB27" s="237">
        <v>3295.7020364415866</v>
      </c>
      <c r="BC27" s="238">
        <v>933</v>
      </c>
      <c r="BD27" s="239">
        <v>27953.545454545456</v>
      </c>
      <c r="BE27" s="225">
        <v>110</v>
      </c>
      <c r="BF27" s="236">
        <v>21548.605000000007</v>
      </c>
      <c r="BG27" s="237">
        <v>3295.7020364415866</v>
      </c>
      <c r="BH27" s="238">
        <v>933</v>
      </c>
      <c r="BI27" s="239">
        <v>27953.545454545456</v>
      </c>
      <c r="BJ27" s="225">
        <v>110</v>
      </c>
      <c r="BK27" s="236">
        <v>21548.605000000007</v>
      </c>
      <c r="BL27" s="237">
        <v>3295.7020364415866</v>
      </c>
      <c r="BM27" s="238">
        <v>933</v>
      </c>
      <c r="BN27" s="239">
        <v>27953.545454545456</v>
      </c>
      <c r="BO27" s="225">
        <v>110</v>
      </c>
      <c r="BP27" s="236">
        <v>21548.605000000007</v>
      </c>
      <c r="BQ27" s="248">
        <v>27953.545454545456</v>
      </c>
      <c r="BS27" s="192"/>
    </row>
    <row r="28" spans="1:71" x14ac:dyDescent="0.25">
      <c r="A28" s="101">
        <v>151</v>
      </c>
      <c r="B28" s="161" t="s">
        <v>1335</v>
      </c>
      <c r="C28" s="235">
        <v>560</v>
      </c>
      <c r="D28" s="98" t="s">
        <v>687</v>
      </c>
      <c r="E28" s="190">
        <v>16000</v>
      </c>
      <c r="F28" s="235">
        <v>28.571428571428573</v>
      </c>
      <c r="G28" s="225">
        <v>0</v>
      </c>
      <c r="H28" s="237">
        <v>0</v>
      </c>
      <c r="I28" s="224">
        <v>0</v>
      </c>
      <c r="J28" s="238">
        <v>560</v>
      </c>
      <c r="K28" s="239">
        <v>16000</v>
      </c>
      <c r="L28" s="225">
        <v>0</v>
      </c>
      <c r="M28" s="236">
        <v>0</v>
      </c>
      <c r="N28" s="237">
        <v>0</v>
      </c>
      <c r="O28" s="238">
        <v>560</v>
      </c>
      <c r="P28" s="239">
        <v>16000</v>
      </c>
      <c r="Q28" s="225">
        <v>0</v>
      </c>
      <c r="R28" s="236">
        <v>0</v>
      </c>
      <c r="S28" s="237">
        <v>0</v>
      </c>
      <c r="T28" s="238">
        <v>560</v>
      </c>
      <c r="U28" s="239">
        <v>16000</v>
      </c>
      <c r="V28" s="225">
        <v>0</v>
      </c>
      <c r="W28" s="236">
        <v>0</v>
      </c>
      <c r="X28" s="237">
        <v>0</v>
      </c>
      <c r="Y28" s="238">
        <v>560</v>
      </c>
      <c r="Z28" s="239">
        <v>16000</v>
      </c>
      <c r="AA28" s="225">
        <v>0</v>
      </c>
      <c r="AB28" s="236">
        <v>0</v>
      </c>
      <c r="AC28" s="237">
        <v>0</v>
      </c>
      <c r="AD28" s="238">
        <v>560</v>
      </c>
      <c r="AE28" s="239">
        <v>16000</v>
      </c>
      <c r="AF28" s="225">
        <v>0</v>
      </c>
      <c r="AG28" s="236">
        <v>0</v>
      </c>
      <c r="AH28" s="237">
        <v>0</v>
      </c>
      <c r="AI28" s="238">
        <v>560</v>
      </c>
      <c r="AJ28" s="239">
        <v>16000</v>
      </c>
      <c r="AK28" s="225"/>
      <c r="AL28" s="236">
        <v>0</v>
      </c>
      <c r="AM28" s="237">
        <v>0</v>
      </c>
      <c r="AN28" s="238">
        <v>560</v>
      </c>
      <c r="AO28" s="239">
        <v>16000</v>
      </c>
      <c r="AP28" s="225">
        <v>0</v>
      </c>
      <c r="AQ28" s="236">
        <v>0</v>
      </c>
      <c r="AR28" s="237">
        <v>0</v>
      </c>
      <c r="AS28" s="238">
        <v>560</v>
      </c>
      <c r="AT28" s="239">
        <v>16000</v>
      </c>
      <c r="AU28" s="225">
        <v>0</v>
      </c>
      <c r="AV28" s="236">
        <v>0</v>
      </c>
      <c r="AW28" s="237">
        <v>0</v>
      </c>
      <c r="AX28" s="238">
        <v>560</v>
      </c>
      <c r="AY28" s="239">
        <v>16000</v>
      </c>
      <c r="AZ28" s="225">
        <v>0</v>
      </c>
      <c r="BA28" s="236">
        <v>0</v>
      </c>
      <c r="BB28" s="237">
        <v>0</v>
      </c>
      <c r="BC28" s="238">
        <v>560</v>
      </c>
      <c r="BD28" s="239">
        <v>16000</v>
      </c>
      <c r="BE28" s="225">
        <v>0</v>
      </c>
      <c r="BF28" s="236">
        <v>0</v>
      </c>
      <c r="BG28" s="237">
        <v>0</v>
      </c>
      <c r="BH28" s="238">
        <v>560</v>
      </c>
      <c r="BI28" s="239">
        <v>16000</v>
      </c>
      <c r="BJ28" s="225">
        <v>0</v>
      </c>
      <c r="BK28" s="236">
        <v>0</v>
      </c>
      <c r="BL28" s="237">
        <v>0</v>
      </c>
      <c r="BM28" s="238">
        <v>560</v>
      </c>
      <c r="BN28" s="239">
        <v>16000</v>
      </c>
      <c r="BO28" s="225">
        <v>0</v>
      </c>
      <c r="BP28" s="236">
        <v>0</v>
      </c>
      <c r="BQ28" s="248">
        <v>16000</v>
      </c>
      <c r="BS28" s="192"/>
    </row>
    <row r="29" spans="1:71" x14ac:dyDescent="0.25">
      <c r="A29" s="101">
        <v>181</v>
      </c>
      <c r="B29" s="161" t="s">
        <v>1336</v>
      </c>
      <c r="C29" s="235">
        <v>214</v>
      </c>
      <c r="D29" s="98" t="s">
        <v>687</v>
      </c>
      <c r="E29" s="190">
        <v>64479.513745704469</v>
      </c>
      <c r="F29" s="235">
        <v>301.30613899861902</v>
      </c>
      <c r="G29" s="225">
        <v>214</v>
      </c>
      <c r="H29" s="237">
        <v>59053.170200000008</v>
      </c>
      <c r="I29" s="224">
        <v>275.94859813084111</v>
      </c>
      <c r="J29" s="238">
        <v>70</v>
      </c>
      <c r="K29" s="239">
        <v>21091.429729903331</v>
      </c>
      <c r="L29" s="225">
        <v>70</v>
      </c>
      <c r="M29" s="236">
        <v>19480.190000000002</v>
      </c>
      <c r="N29" s="237">
        <v>21091.429729903331</v>
      </c>
      <c r="O29" s="238">
        <v>160</v>
      </c>
      <c r="P29" s="239">
        <v>48208.982239779041</v>
      </c>
      <c r="Q29" s="225">
        <v>135</v>
      </c>
      <c r="R29" s="236">
        <v>38187.170000000013</v>
      </c>
      <c r="S29" s="237">
        <v>40676.328764813567</v>
      </c>
      <c r="T29" s="238">
        <v>214</v>
      </c>
      <c r="U29" s="239">
        <v>64479.513745704469</v>
      </c>
      <c r="V29" s="225">
        <v>154</v>
      </c>
      <c r="W29" s="236">
        <v>42587.170000000013</v>
      </c>
      <c r="X29" s="237">
        <v>46401.145405787327</v>
      </c>
      <c r="Y29" s="238">
        <v>214</v>
      </c>
      <c r="Z29" s="239">
        <v>64479.513745704469</v>
      </c>
      <c r="AA29" s="225">
        <v>206</v>
      </c>
      <c r="AB29" s="236">
        <v>56447.170000000013</v>
      </c>
      <c r="AC29" s="237">
        <v>62069.064633715519</v>
      </c>
      <c r="AD29" s="238">
        <v>214</v>
      </c>
      <c r="AE29" s="239">
        <v>64479.513745704469</v>
      </c>
      <c r="AF29" s="225">
        <v>206</v>
      </c>
      <c r="AG29" s="236">
        <v>56447.170000000013</v>
      </c>
      <c r="AH29" s="237">
        <v>62069.064633715519</v>
      </c>
      <c r="AI29" s="238">
        <v>214</v>
      </c>
      <c r="AJ29" s="239">
        <v>64479.513745704469</v>
      </c>
      <c r="AK29" s="225">
        <v>206</v>
      </c>
      <c r="AL29" s="236">
        <v>56447.170000000013</v>
      </c>
      <c r="AM29" s="237">
        <v>62069.064633715519</v>
      </c>
      <c r="AN29" s="238">
        <v>214</v>
      </c>
      <c r="AO29" s="239">
        <v>64479.513745704469</v>
      </c>
      <c r="AP29" s="225">
        <v>206</v>
      </c>
      <c r="AQ29" s="236">
        <v>56447.170000000013</v>
      </c>
      <c r="AR29" s="237">
        <v>62069.064633715519</v>
      </c>
      <c r="AS29" s="238">
        <v>214</v>
      </c>
      <c r="AT29" s="239">
        <v>64479.513745704469</v>
      </c>
      <c r="AU29" s="225">
        <v>214</v>
      </c>
      <c r="AV29" s="236">
        <v>56447.170000000013</v>
      </c>
      <c r="AW29" s="237">
        <v>64479.513745704469</v>
      </c>
      <c r="AX29" s="238">
        <v>214</v>
      </c>
      <c r="AY29" s="239">
        <v>64479.513745704469</v>
      </c>
      <c r="AZ29" s="225">
        <v>214</v>
      </c>
      <c r="BA29" s="236">
        <v>56447.170000000013</v>
      </c>
      <c r="BB29" s="237">
        <v>64479.513745704469</v>
      </c>
      <c r="BC29" s="238">
        <v>214</v>
      </c>
      <c r="BD29" s="239">
        <v>64479.513745704469</v>
      </c>
      <c r="BE29" s="225">
        <v>214</v>
      </c>
      <c r="BF29" s="236">
        <v>56447.170000000013</v>
      </c>
      <c r="BG29" s="237">
        <v>64479.513745704469</v>
      </c>
      <c r="BH29" s="238">
        <v>214</v>
      </c>
      <c r="BI29" s="239">
        <v>64479.513745704469</v>
      </c>
      <c r="BJ29" s="225">
        <v>214</v>
      </c>
      <c r="BK29" s="236">
        <v>59053.170200000008</v>
      </c>
      <c r="BL29" s="237">
        <v>64479.513745704469</v>
      </c>
      <c r="BM29" s="238">
        <v>214</v>
      </c>
      <c r="BN29" s="239">
        <v>64479.513745704469</v>
      </c>
      <c r="BO29" s="225">
        <v>214</v>
      </c>
      <c r="BP29" s="236">
        <v>59053.170200000008</v>
      </c>
      <c r="BQ29" s="248">
        <v>64479.513745704469</v>
      </c>
      <c r="BS29" s="192"/>
    </row>
    <row r="30" spans="1:71" x14ac:dyDescent="0.25">
      <c r="A30" s="101">
        <v>182</v>
      </c>
      <c r="B30" s="161" t="s">
        <v>1337</v>
      </c>
      <c r="C30" s="235">
        <v>57</v>
      </c>
      <c r="D30" s="98" t="s">
        <v>706</v>
      </c>
      <c r="E30" s="190">
        <v>9379.8000000000011</v>
      </c>
      <c r="F30" s="235">
        <v>164.55789473684212</v>
      </c>
      <c r="G30" s="225">
        <v>57</v>
      </c>
      <c r="H30" s="237">
        <v>11490</v>
      </c>
      <c r="I30" s="224">
        <v>338.03508771929825</v>
      </c>
      <c r="J30" s="238">
        <v>28</v>
      </c>
      <c r="K30" s="239">
        <v>4607.621052631579</v>
      </c>
      <c r="L30" s="225">
        <v>23</v>
      </c>
      <c r="M30" s="236">
        <v>0</v>
      </c>
      <c r="N30" s="237">
        <v>3784.8315789473686</v>
      </c>
      <c r="O30" s="238">
        <v>53</v>
      </c>
      <c r="P30" s="239">
        <v>8721.5684210526324</v>
      </c>
      <c r="Q30" s="225">
        <v>53</v>
      </c>
      <c r="R30" s="236">
        <v>0</v>
      </c>
      <c r="S30" s="237">
        <v>8721.5684210526324</v>
      </c>
      <c r="T30" s="238">
        <v>53</v>
      </c>
      <c r="U30" s="239">
        <v>8721.5684210526324</v>
      </c>
      <c r="V30" s="225">
        <v>53</v>
      </c>
      <c r="W30" s="236">
        <v>11490</v>
      </c>
      <c r="X30" s="237">
        <v>8721.5684210526324</v>
      </c>
      <c r="Y30" s="238">
        <v>53</v>
      </c>
      <c r="Z30" s="239">
        <v>8721.5684210526324</v>
      </c>
      <c r="AA30" s="225">
        <v>53</v>
      </c>
      <c r="AB30" s="236">
        <v>11490</v>
      </c>
      <c r="AC30" s="237">
        <v>8721.5684210526324</v>
      </c>
      <c r="AD30" s="238">
        <v>53</v>
      </c>
      <c r="AE30" s="239">
        <v>8721.5684210526324</v>
      </c>
      <c r="AF30" s="225">
        <v>53</v>
      </c>
      <c r="AG30" s="236">
        <v>11490</v>
      </c>
      <c r="AH30" s="237">
        <v>8721.5684210526324</v>
      </c>
      <c r="AI30" s="238">
        <v>53</v>
      </c>
      <c r="AJ30" s="239">
        <v>8721.5684210526324</v>
      </c>
      <c r="AK30" s="225">
        <v>53</v>
      </c>
      <c r="AL30" s="236">
        <v>11490</v>
      </c>
      <c r="AM30" s="237">
        <v>8721.5684210526324</v>
      </c>
      <c r="AN30" s="238">
        <v>53</v>
      </c>
      <c r="AO30" s="239">
        <v>8721.5684210526324</v>
      </c>
      <c r="AP30" s="225">
        <v>53</v>
      </c>
      <c r="AQ30" s="236">
        <v>11490</v>
      </c>
      <c r="AR30" s="237">
        <v>8721.5684210526324</v>
      </c>
      <c r="AS30" s="238">
        <v>57</v>
      </c>
      <c r="AT30" s="239">
        <v>9379.8000000000011</v>
      </c>
      <c r="AU30" s="225">
        <v>57</v>
      </c>
      <c r="AV30" s="236">
        <v>11490</v>
      </c>
      <c r="AW30" s="237">
        <v>9379.8000000000011</v>
      </c>
      <c r="AX30" s="238">
        <v>57</v>
      </c>
      <c r="AY30" s="239">
        <v>9379.8000000000011</v>
      </c>
      <c r="AZ30" s="225">
        <v>57</v>
      </c>
      <c r="BA30" s="236">
        <v>11490</v>
      </c>
      <c r="BB30" s="237">
        <v>9379.8000000000011</v>
      </c>
      <c r="BC30" s="238">
        <v>57</v>
      </c>
      <c r="BD30" s="239">
        <v>9379.8000000000011</v>
      </c>
      <c r="BE30" s="225">
        <v>57</v>
      </c>
      <c r="BF30" s="236">
        <v>11490</v>
      </c>
      <c r="BG30" s="237">
        <v>9379.8000000000011</v>
      </c>
      <c r="BH30" s="238">
        <v>57</v>
      </c>
      <c r="BI30" s="239">
        <v>9379.8000000000011</v>
      </c>
      <c r="BJ30" s="225">
        <v>57</v>
      </c>
      <c r="BK30" s="236">
        <v>11490</v>
      </c>
      <c r="BL30" s="237">
        <v>9379.8000000000011</v>
      </c>
      <c r="BM30" s="238">
        <v>57</v>
      </c>
      <c r="BN30" s="239">
        <v>9379.8000000000011</v>
      </c>
      <c r="BO30" s="225">
        <v>57</v>
      </c>
      <c r="BP30" s="236">
        <v>11490</v>
      </c>
      <c r="BQ30" s="248">
        <v>9379.8000000000011</v>
      </c>
      <c r="BS30" s="192"/>
    </row>
    <row r="31" spans="1:71" x14ac:dyDescent="0.25">
      <c r="A31" s="101">
        <v>902</v>
      </c>
      <c r="B31" s="161" t="s">
        <v>246</v>
      </c>
      <c r="C31" s="235">
        <v>26</v>
      </c>
      <c r="D31" s="98" t="s">
        <v>1338</v>
      </c>
      <c r="E31" s="190">
        <v>55235</v>
      </c>
      <c r="F31" s="235">
        <v>2124.4230769230771</v>
      </c>
      <c r="G31" s="225">
        <v>17</v>
      </c>
      <c r="H31" s="237">
        <v>49348.499499999991</v>
      </c>
      <c r="I31" s="224">
        <v>2869.0588235294117</v>
      </c>
      <c r="J31" s="238">
        <v>4</v>
      </c>
      <c r="K31" s="239">
        <v>8497.6923076923085</v>
      </c>
      <c r="L31" s="225">
        <v>4.4000000000000004</v>
      </c>
      <c r="M31" s="236">
        <v>12970.119999999997</v>
      </c>
      <c r="N31" s="237">
        <v>9347.4615384615408</v>
      </c>
      <c r="O31" s="238">
        <v>12</v>
      </c>
      <c r="P31" s="239">
        <v>25493.076923076926</v>
      </c>
      <c r="Q31" s="225">
        <v>12.2</v>
      </c>
      <c r="R31" s="236">
        <v>35735.185000000012</v>
      </c>
      <c r="S31" s="237">
        <v>25917.961538461539</v>
      </c>
      <c r="T31" s="238">
        <v>15</v>
      </c>
      <c r="U31" s="239">
        <v>31866.346153846156</v>
      </c>
      <c r="V31" s="225">
        <v>13.52</v>
      </c>
      <c r="W31" s="236">
        <v>39554.665000000008</v>
      </c>
      <c r="X31" s="237">
        <v>28722.2</v>
      </c>
      <c r="Y31" s="238">
        <v>17</v>
      </c>
      <c r="Z31" s="239">
        <v>36115.192307692312</v>
      </c>
      <c r="AA31" s="225">
        <v>13.5</v>
      </c>
      <c r="AB31" s="236">
        <v>39899.615000000005</v>
      </c>
      <c r="AC31" s="237">
        <v>28679.711538461543</v>
      </c>
      <c r="AD31" s="238">
        <v>19</v>
      </c>
      <c r="AE31" s="239">
        <v>40364.038461538468</v>
      </c>
      <c r="AF31" s="225">
        <v>14.7</v>
      </c>
      <c r="AG31" s="236">
        <v>43042.109499999999</v>
      </c>
      <c r="AH31" s="237">
        <v>31229.019230769234</v>
      </c>
      <c r="AI31" s="238">
        <v>22</v>
      </c>
      <c r="AJ31" s="239">
        <v>46737.307692307695</v>
      </c>
      <c r="AK31" s="225">
        <v>16</v>
      </c>
      <c r="AL31" s="236">
        <v>46146.659499999994</v>
      </c>
      <c r="AM31" s="237">
        <v>33990.769230769234</v>
      </c>
      <c r="AN31" s="238">
        <v>26</v>
      </c>
      <c r="AO31" s="239">
        <v>55235.000000000007</v>
      </c>
      <c r="AP31" s="225">
        <v>16.5</v>
      </c>
      <c r="AQ31" s="236">
        <v>47158.294499999982</v>
      </c>
      <c r="AR31" s="237">
        <v>35052.980769230773</v>
      </c>
      <c r="AS31" s="238">
        <v>26</v>
      </c>
      <c r="AT31" s="239">
        <v>55235.000000000007</v>
      </c>
      <c r="AU31" s="225">
        <v>17</v>
      </c>
      <c r="AV31" s="236">
        <v>47409.629499999981</v>
      </c>
      <c r="AW31" s="237">
        <v>36115.192307692312</v>
      </c>
      <c r="AX31" s="238">
        <v>26</v>
      </c>
      <c r="AY31" s="239">
        <v>55235.000000000007</v>
      </c>
      <c r="AZ31" s="225">
        <v>17</v>
      </c>
      <c r="BA31" s="236">
        <v>47625.059499999981</v>
      </c>
      <c r="BB31" s="237">
        <v>36115.192307692312</v>
      </c>
      <c r="BC31" s="238">
        <v>26</v>
      </c>
      <c r="BD31" s="239">
        <v>55235.000000000007</v>
      </c>
      <c r="BE31" s="225">
        <v>17</v>
      </c>
      <c r="BF31" s="236">
        <v>47625.059499999981</v>
      </c>
      <c r="BG31" s="237">
        <v>36115.192307692312</v>
      </c>
      <c r="BH31" s="238">
        <v>26</v>
      </c>
      <c r="BI31" s="239">
        <v>55235.000000000007</v>
      </c>
      <c r="BJ31" s="225">
        <v>17</v>
      </c>
      <c r="BK31" s="236">
        <v>48774.019499999988</v>
      </c>
      <c r="BL31" s="237">
        <v>36115.192307692312</v>
      </c>
      <c r="BM31" s="238">
        <v>26</v>
      </c>
      <c r="BN31" s="239">
        <v>55235.000000000007</v>
      </c>
      <c r="BO31" s="225">
        <v>17</v>
      </c>
      <c r="BP31" s="236">
        <v>49348.499499999991</v>
      </c>
      <c r="BQ31" s="248">
        <v>55235</v>
      </c>
      <c r="BS31" s="192"/>
    </row>
    <row r="32" spans="1:71" x14ac:dyDescent="0.25">
      <c r="A32" s="101">
        <v>903</v>
      </c>
      <c r="B32" s="161" t="s">
        <v>1339</v>
      </c>
      <c r="C32" s="235">
        <v>13</v>
      </c>
      <c r="D32" s="98" t="s">
        <v>1338</v>
      </c>
      <c r="E32" s="190">
        <v>16250</v>
      </c>
      <c r="F32" s="235">
        <v>1250</v>
      </c>
      <c r="G32" s="225">
        <v>13</v>
      </c>
      <c r="H32" s="237">
        <v>11252.710000000003</v>
      </c>
      <c r="I32" s="224">
        <v>614.76923076923072</v>
      </c>
      <c r="J32" s="238">
        <v>2</v>
      </c>
      <c r="K32" s="239">
        <v>2500</v>
      </c>
      <c r="L32" s="225">
        <v>2</v>
      </c>
      <c r="M32" s="236">
        <v>729.39</v>
      </c>
      <c r="N32" s="237">
        <v>2500</v>
      </c>
      <c r="O32" s="238">
        <v>6</v>
      </c>
      <c r="P32" s="239">
        <v>7500</v>
      </c>
      <c r="Q32" s="225">
        <v>6</v>
      </c>
      <c r="R32" s="236">
        <v>4316.9500000000007</v>
      </c>
      <c r="S32" s="237">
        <v>7500</v>
      </c>
      <c r="T32" s="238">
        <v>12</v>
      </c>
      <c r="U32" s="239">
        <v>15000</v>
      </c>
      <c r="V32" s="225">
        <v>10</v>
      </c>
      <c r="W32" s="236">
        <v>9551.7900000000009</v>
      </c>
      <c r="X32" s="237">
        <v>12500</v>
      </c>
      <c r="Y32" s="238">
        <v>13</v>
      </c>
      <c r="Z32" s="239">
        <v>16250</v>
      </c>
      <c r="AA32" s="225">
        <v>10</v>
      </c>
      <c r="AB32" s="236">
        <v>9892.6900000000023</v>
      </c>
      <c r="AC32" s="237">
        <v>12500</v>
      </c>
      <c r="AD32" s="238">
        <v>13</v>
      </c>
      <c r="AE32" s="239">
        <v>16250</v>
      </c>
      <c r="AF32" s="225">
        <v>10</v>
      </c>
      <c r="AG32" s="236">
        <v>10745.110000000004</v>
      </c>
      <c r="AH32" s="237">
        <v>12500</v>
      </c>
      <c r="AI32" s="238">
        <v>13</v>
      </c>
      <c r="AJ32" s="239">
        <v>16250</v>
      </c>
      <c r="AK32" s="225">
        <v>10</v>
      </c>
      <c r="AL32" s="236">
        <v>11027.910000000003</v>
      </c>
      <c r="AM32" s="237">
        <v>12500</v>
      </c>
      <c r="AN32" s="238">
        <v>13</v>
      </c>
      <c r="AO32" s="239">
        <v>16250</v>
      </c>
      <c r="AP32" s="225">
        <v>10</v>
      </c>
      <c r="AQ32" s="236">
        <v>11133.960000000003</v>
      </c>
      <c r="AR32" s="237">
        <v>12500</v>
      </c>
      <c r="AS32" s="238">
        <v>13</v>
      </c>
      <c r="AT32" s="239">
        <v>16250</v>
      </c>
      <c r="AU32" s="225">
        <v>13</v>
      </c>
      <c r="AV32" s="236">
        <v>11133.960000000003</v>
      </c>
      <c r="AW32" s="237">
        <v>16250</v>
      </c>
      <c r="AX32" s="238">
        <v>13</v>
      </c>
      <c r="AY32" s="239">
        <v>16250</v>
      </c>
      <c r="AZ32" s="225">
        <v>13</v>
      </c>
      <c r="BA32" s="236">
        <v>11133.960000000003</v>
      </c>
      <c r="BB32" s="237">
        <v>16250</v>
      </c>
      <c r="BC32" s="238">
        <v>13</v>
      </c>
      <c r="BD32" s="239">
        <v>16250</v>
      </c>
      <c r="BE32" s="225">
        <v>13</v>
      </c>
      <c r="BF32" s="236">
        <v>11133.960000000003</v>
      </c>
      <c r="BG32" s="237">
        <v>16250</v>
      </c>
      <c r="BH32" s="238">
        <v>13</v>
      </c>
      <c r="BI32" s="239">
        <v>16250</v>
      </c>
      <c r="BJ32" s="225">
        <v>13</v>
      </c>
      <c r="BK32" s="236">
        <v>11252.710000000003</v>
      </c>
      <c r="BL32" s="237">
        <v>16250</v>
      </c>
      <c r="BM32" s="238">
        <v>13</v>
      </c>
      <c r="BN32" s="239">
        <v>16250</v>
      </c>
      <c r="BO32" s="225">
        <v>13</v>
      </c>
      <c r="BP32" s="236">
        <v>11252.710000000003</v>
      </c>
      <c r="BQ32" s="248">
        <v>16250</v>
      </c>
      <c r="BS32" s="192"/>
    </row>
    <row r="33" spans="1:71" x14ac:dyDescent="0.25">
      <c r="A33" s="101">
        <v>904</v>
      </c>
      <c r="B33" s="161" t="s">
        <v>1340</v>
      </c>
      <c r="C33" s="235">
        <v>1</v>
      </c>
      <c r="D33" s="98" t="s">
        <v>1311</v>
      </c>
      <c r="E33" s="190">
        <v>25500</v>
      </c>
      <c r="F33" s="235">
        <v>25500</v>
      </c>
      <c r="G33" s="225">
        <v>1</v>
      </c>
      <c r="H33" s="237">
        <v>5722.72</v>
      </c>
      <c r="I33" s="224">
        <v>5723</v>
      </c>
      <c r="J33" s="238">
        <v>0.5</v>
      </c>
      <c r="K33" s="239">
        <v>12750</v>
      </c>
      <c r="L33" s="225">
        <v>0.75</v>
      </c>
      <c r="M33" s="236">
        <v>3922</v>
      </c>
      <c r="N33" s="237">
        <v>19125</v>
      </c>
      <c r="O33" s="238">
        <v>1</v>
      </c>
      <c r="P33" s="239">
        <v>25500</v>
      </c>
      <c r="Q33" s="225">
        <v>1</v>
      </c>
      <c r="R33" s="236">
        <v>5722.72</v>
      </c>
      <c r="S33" s="237">
        <v>25500</v>
      </c>
      <c r="T33" s="238">
        <v>1</v>
      </c>
      <c r="U33" s="239">
        <v>25500</v>
      </c>
      <c r="V33" s="225">
        <v>1</v>
      </c>
      <c r="W33" s="236">
        <v>5722.72</v>
      </c>
      <c r="X33" s="237">
        <v>25500</v>
      </c>
      <c r="Y33" s="238">
        <v>1</v>
      </c>
      <c r="Z33" s="239">
        <v>25500</v>
      </c>
      <c r="AA33" s="225">
        <v>1</v>
      </c>
      <c r="AB33" s="236">
        <v>5722.72</v>
      </c>
      <c r="AC33" s="237">
        <v>25500</v>
      </c>
      <c r="AD33" s="238">
        <v>1</v>
      </c>
      <c r="AE33" s="239">
        <v>25500</v>
      </c>
      <c r="AF33" s="225">
        <v>1</v>
      </c>
      <c r="AG33" s="236">
        <v>5722.72</v>
      </c>
      <c r="AH33" s="237">
        <v>25500</v>
      </c>
      <c r="AI33" s="238">
        <v>1</v>
      </c>
      <c r="AJ33" s="239">
        <v>25500</v>
      </c>
      <c r="AK33" s="225">
        <v>1</v>
      </c>
      <c r="AL33" s="236">
        <v>5722.72</v>
      </c>
      <c r="AM33" s="237">
        <v>25500</v>
      </c>
      <c r="AN33" s="238">
        <v>1</v>
      </c>
      <c r="AO33" s="239">
        <v>25500</v>
      </c>
      <c r="AP33" s="225">
        <v>1</v>
      </c>
      <c r="AQ33" s="236">
        <v>5722.72</v>
      </c>
      <c r="AR33" s="237">
        <v>25500</v>
      </c>
      <c r="AS33" s="238">
        <v>1</v>
      </c>
      <c r="AT33" s="239">
        <v>25500</v>
      </c>
      <c r="AU33" s="225">
        <v>1</v>
      </c>
      <c r="AV33" s="236">
        <v>5722.72</v>
      </c>
      <c r="AW33" s="237">
        <v>25500</v>
      </c>
      <c r="AX33" s="238">
        <v>1</v>
      </c>
      <c r="AY33" s="239">
        <v>25500</v>
      </c>
      <c r="AZ33" s="225">
        <v>1</v>
      </c>
      <c r="BA33" s="236">
        <v>5722.72</v>
      </c>
      <c r="BB33" s="237">
        <v>25500</v>
      </c>
      <c r="BC33" s="238">
        <v>1</v>
      </c>
      <c r="BD33" s="239">
        <v>25500</v>
      </c>
      <c r="BE33" s="225">
        <v>1</v>
      </c>
      <c r="BF33" s="236">
        <v>5722.72</v>
      </c>
      <c r="BG33" s="237">
        <v>25500</v>
      </c>
      <c r="BH33" s="238">
        <v>1</v>
      </c>
      <c r="BI33" s="239">
        <v>25500</v>
      </c>
      <c r="BJ33" s="225">
        <v>1</v>
      </c>
      <c r="BK33" s="236">
        <v>5722.72</v>
      </c>
      <c r="BL33" s="237">
        <v>25500</v>
      </c>
      <c r="BM33" s="238">
        <v>1</v>
      </c>
      <c r="BN33" s="239">
        <v>25500</v>
      </c>
      <c r="BO33" s="225">
        <v>1</v>
      </c>
      <c r="BP33" s="236">
        <v>5722.72</v>
      </c>
      <c r="BQ33" s="248">
        <v>25500</v>
      </c>
      <c r="BS33" s="192"/>
    </row>
    <row r="34" spans="1:71" x14ac:dyDescent="0.25">
      <c r="A34" s="101">
        <v>905</v>
      </c>
      <c r="B34" s="161" t="s">
        <v>1341</v>
      </c>
      <c r="C34" s="235">
        <v>1</v>
      </c>
      <c r="D34" s="98" t="s">
        <v>1311</v>
      </c>
      <c r="E34" s="190">
        <v>0</v>
      </c>
      <c r="F34" s="235">
        <v>0</v>
      </c>
      <c r="G34" s="225">
        <v>1</v>
      </c>
      <c r="H34" s="237">
        <v>5849.1779999999999</v>
      </c>
      <c r="I34" s="224">
        <v>5849</v>
      </c>
      <c r="J34" s="238">
        <v>0.2</v>
      </c>
      <c r="K34" s="239">
        <v>0</v>
      </c>
      <c r="L34" s="225">
        <v>0.2</v>
      </c>
      <c r="M34" s="236">
        <v>3377.058</v>
      </c>
      <c r="N34" s="237">
        <v>0</v>
      </c>
      <c r="O34" s="238">
        <v>0.3</v>
      </c>
      <c r="P34" s="239">
        <v>0</v>
      </c>
      <c r="Q34" s="225">
        <v>0.3</v>
      </c>
      <c r="R34" s="236">
        <v>3810.4480000000003</v>
      </c>
      <c r="S34" s="237">
        <v>0</v>
      </c>
      <c r="T34" s="238">
        <v>0.4</v>
      </c>
      <c r="U34" s="239">
        <v>0</v>
      </c>
      <c r="V34" s="225">
        <v>0.4</v>
      </c>
      <c r="W34" s="236">
        <v>4399.7980000000007</v>
      </c>
      <c r="X34" s="237">
        <v>0</v>
      </c>
      <c r="Y34" s="238">
        <v>0.5</v>
      </c>
      <c r="Z34" s="239">
        <v>0</v>
      </c>
      <c r="AA34" s="225">
        <v>0.5</v>
      </c>
      <c r="AB34" s="236">
        <v>4469.2980000000007</v>
      </c>
      <c r="AC34" s="237">
        <v>0</v>
      </c>
      <c r="AD34" s="238">
        <v>0.7</v>
      </c>
      <c r="AE34" s="239">
        <v>0</v>
      </c>
      <c r="AF34" s="225">
        <v>0.7</v>
      </c>
      <c r="AG34" s="236">
        <v>5479.2179999999998</v>
      </c>
      <c r="AH34" s="237">
        <v>0</v>
      </c>
      <c r="AI34" s="238">
        <v>0.9</v>
      </c>
      <c r="AJ34" s="239">
        <v>0</v>
      </c>
      <c r="AK34" s="225">
        <v>0.9</v>
      </c>
      <c r="AL34" s="236">
        <v>5744.1880000000001</v>
      </c>
      <c r="AM34" s="237">
        <v>0</v>
      </c>
      <c r="AN34" s="238">
        <v>1</v>
      </c>
      <c r="AO34" s="239">
        <v>0</v>
      </c>
      <c r="AP34" s="225">
        <v>1</v>
      </c>
      <c r="AQ34" s="236">
        <v>5837.8180000000002</v>
      </c>
      <c r="AR34" s="237">
        <v>0</v>
      </c>
      <c r="AS34" s="238">
        <v>1</v>
      </c>
      <c r="AT34" s="239">
        <v>0</v>
      </c>
      <c r="AU34" s="225">
        <v>1</v>
      </c>
      <c r="AV34" s="236">
        <v>5837.8180000000002</v>
      </c>
      <c r="AW34" s="237">
        <v>0</v>
      </c>
      <c r="AX34" s="238">
        <v>1</v>
      </c>
      <c r="AY34" s="239">
        <v>0</v>
      </c>
      <c r="AZ34" s="225">
        <v>1</v>
      </c>
      <c r="BA34" s="236">
        <v>5837.8180000000002</v>
      </c>
      <c r="BB34" s="237">
        <v>0</v>
      </c>
      <c r="BC34" s="238">
        <v>1</v>
      </c>
      <c r="BD34" s="239">
        <v>0</v>
      </c>
      <c r="BE34" s="225">
        <v>1</v>
      </c>
      <c r="BF34" s="236">
        <v>5837.8180000000002</v>
      </c>
      <c r="BG34" s="237">
        <v>0</v>
      </c>
      <c r="BH34" s="238">
        <v>1</v>
      </c>
      <c r="BI34" s="239">
        <v>0</v>
      </c>
      <c r="BJ34" s="225">
        <v>1</v>
      </c>
      <c r="BK34" s="236">
        <v>5849.1779999999999</v>
      </c>
      <c r="BL34" s="237">
        <v>0</v>
      </c>
      <c r="BM34" s="238">
        <v>1</v>
      </c>
      <c r="BN34" s="239">
        <v>0</v>
      </c>
      <c r="BO34" s="225">
        <v>1</v>
      </c>
      <c r="BP34" s="236">
        <v>5849.1779999999999</v>
      </c>
      <c r="BQ34" s="248">
        <v>0</v>
      </c>
      <c r="BS34" s="192"/>
    </row>
    <row r="35" spans="1:71" x14ac:dyDescent="0.25">
      <c r="A35" s="101">
        <v>907</v>
      </c>
      <c r="B35" s="161" t="s">
        <v>1342</v>
      </c>
      <c r="C35" s="235">
        <v>1</v>
      </c>
      <c r="D35" s="98" t="s">
        <v>1311</v>
      </c>
      <c r="E35" s="190">
        <v>13800</v>
      </c>
      <c r="F35" s="235">
        <v>13800</v>
      </c>
      <c r="G35" s="225">
        <v>1</v>
      </c>
      <c r="H35" s="237">
        <v>10703.960000000003</v>
      </c>
      <c r="I35" s="224">
        <v>10704</v>
      </c>
      <c r="J35" s="238">
        <v>0.5</v>
      </c>
      <c r="K35" s="239">
        <v>6900</v>
      </c>
      <c r="L35" s="225">
        <v>0.5</v>
      </c>
      <c r="M35" s="236">
        <v>5153.88</v>
      </c>
      <c r="N35" s="237">
        <v>6900</v>
      </c>
      <c r="O35" s="238">
        <v>1</v>
      </c>
      <c r="P35" s="239">
        <v>13800</v>
      </c>
      <c r="Q35" s="225">
        <v>0.9</v>
      </c>
      <c r="R35" s="236">
        <v>9205.9900000000034</v>
      </c>
      <c r="S35" s="237">
        <v>12420</v>
      </c>
      <c r="T35" s="238">
        <v>1</v>
      </c>
      <c r="U35" s="239">
        <v>13800</v>
      </c>
      <c r="V35" s="225">
        <v>0.95</v>
      </c>
      <c r="W35" s="236">
        <v>10026.460000000003</v>
      </c>
      <c r="X35" s="237">
        <v>13110</v>
      </c>
      <c r="Y35" s="238">
        <v>1</v>
      </c>
      <c r="Z35" s="239">
        <v>13800</v>
      </c>
      <c r="AA35" s="225">
        <v>1</v>
      </c>
      <c r="AB35" s="236">
        <v>10026.460000000003</v>
      </c>
      <c r="AC35" s="237">
        <v>13800</v>
      </c>
      <c r="AD35" s="238">
        <v>1</v>
      </c>
      <c r="AE35" s="239">
        <v>13800</v>
      </c>
      <c r="AF35" s="225">
        <v>1</v>
      </c>
      <c r="AG35" s="236">
        <v>10401.460000000003</v>
      </c>
      <c r="AH35" s="237">
        <v>13800</v>
      </c>
      <c r="AI35" s="238">
        <v>1</v>
      </c>
      <c r="AJ35" s="239">
        <v>13800</v>
      </c>
      <c r="AK35" s="225">
        <v>1</v>
      </c>
      <c r="AL35" s="236">
        <v>10703.960000000003</v>
      </c>
      <c r="AM35" s="237">
        <v>13800</v>
      </c>
      <c r="AN35" s="238">
        <v>1</v>
      </c>
      <c r="AO35" s="239">
        <v>13800</v>
      </c>
      <c r="AP35" s="225">
        <v>1</v>
      </c>
      <c r="AQ35" s="236">
        <v>10703.960000000003</v>
      </c>
      <c r="AR35" s="237">
        <v>13800</v>
      </c>
      <c r="AS35" s="238">
        <v>1</v>
      </c>
      <c r="AT35" s="239">
        <v>13800</v>
      </c>
      <c r="AU35" s="225">
        <v>1</v>
      </c>
      <c r="AV35" s="236">
        <v>10703.960000000003</v>
      </c>
      <c r="AW35" s="237">
        <v>13800</v>
      </c>
      <c r="AX35" s="238">
        <v>1</v>
      </c>
      <c r="AY35" s="239">
        <v>13800</v>
      </c>
      <c r="AZ35" s="225">
        <v>1</v>
      </c>
      <c r="BA35" s="236">
        <v>10703.960000000003</v>
      </c>
      <c r="BB35" s="237">
        <v>13800</v>
      </c>
      <c r="BC35" s="238">
        <v>1</v>
      </c>
      <c r="BD35" s="239">
        <v>13800</v>
      </c>
      <c r="BE35" s="225">
        <v>1</v>
      </c>
      <c r="BF35" s="236">
        <v>10703.960000000003</v>
      </c>
      <c r="BG35" s="237">
        <v>13800</v>
      </c>
      <c r="BH35" s="238">
        <v>1</v>
      </c>
      <c r="BI35" s="239">
        <v>13800</v>
      </c>
      <c r="BJ35" s="225">
        <v>1</v>
      </c>
      <c r="BK35" s="236">
        <v>10703.960000000003</v>
      </c>
      <c r="BL35" s="237">
        <v>13800</v>
      </c>
      <c r="BM35" s="238">
        <v>1</v>
      </c>
      <c r="BN35" s="239">
        <v>13800</v>
      </c>
      <c r="BO35" s="225">
        <v>1</v>
      </c>
      <c r="BP35" s="236">
        <v>10703.960000000003</v>
      </c>
      <c r="BQ35" s="248">
        <v>13800</v>
      </c>
      <c r="BS35" s="192"/>
    </row>
    <row r="36" spans="1:71" x14ac:dyDescent="0.25">
      <c r="A36" s="101" t="s">
        <v>694</v>
      </c>
      <c r="B36" s="161" t="s">
        <v>1343</v>
      </c>
      <c r="C36" s="235">
        <v>100</v>
      </c>
      <c r="D36" s="98" t="s">
        <v>706</v>
      </c>
      <c r="E36" s="190">
        <v>16421.228381250003</v>
      </c>
      <c r="F36" s="235">
        <v>164.21228381250003</v>
      </c>
      <c r="G36" s="225">
        <v>24</v>
      </c>
      <c r="H36" s="237">
        <v>3904.88</v>
      </c>
      <c r="I36" s="224">
        <v>171.625</v>
      </c>
      <c r="J36" s="238">
        <v>0</v>
      </c>
      <c r="K36" s="239">
        <v>0</v>
      </c>
      <c r="L36" s="225">
        <v>0</v>
      </c>
      <c r="M36" s="236">
        <v>0</v>
      </c>
      <c r="N36" s="237">
        <v>0</v>
      </c>
      <c r="O36" s="238">
        <v>50</v>
      </c>
      <c r="P36" s="239">
        <v>8210.6141906250014</v>
      </c>
      <c r="Q36" s="225">
        <v>7</v>
      </c>
      <c r="R36" s="236">
        <v>1214.48</v>
      </c>
      <c r="S36" s="237">
        <v>1149.4859866875001</v>
      </c>
      <c r="T36" s="238">
        <v>80</v>
      </c>
      <c r="U36" s="239">
        <v>13136.982705000002</v>
      </c>
      <c r="V36" s="225">
        <v>9.6</v>
      </c>
      <c r="W36" s="236">
        <v>1649.48</v>
      </c>
      <c r="X36" s="237">
        <v>1576.4379246000003</v>
      </c>
      <c r="Y36" s="238">
        <v>80</v>
      </c>
      <c r="Z36" s="239">
        <v>13136.982705000002</v>
      </c>
      <c r="AA36" s="225">
        <v>9.6</v>
      </c>
      <c r="AB36" s="236">
        <v>1649.48</v>
      </c>
      <c r="AC36" s="237">
        <v>1576.4379246000003</v>
      </c>
      <c r="AD36" s="238">
        <v>80</v>
      </c>
      <c r="AE36" s="239">
        <v>13136.982705000002</v>
      </c>
      <c r="AF36" s="225">
        <v>11</v>
      </c>
      <c r="AG36" s="236">
        <v>1649.48</v>
      </c>
      <c r="AH36" s="237">
        <v>1806.3351219375004</v>
      </c>
      <c r="AI36" s="238">
        <v>80</v>
      </c>
      <c r="AJ36" s="239">
        <v>13136.982705000002</v>
      </c>
      <c r="AK36" s="225">
        <v>16</v>
      </c>
      <c r="AL36" s="236">
        <v>2623.88</v>
      </c>
      <c r="AM36" s="237">
        <v>2627.3965410000005</v>
      </c>
      <c r="AN36" s="238">
        <v>80</v>
      </c>
      <c r="AO36" s="239">
        <v>13136.982705000002</v>
      </c>
      <c r="AP36" s="225">
        <v>16</v>
      </c>
      <c r="AQ36" s="236">
        <v>2623.88</v>
      </c>
      <c r="AR36" s="237">
        <v>2627.3965410000005</v>
      </c>
      <c r="AS36" s="238">
        <v>100</v>
      </c>
      <c r="AT36" s="239">
        <v>16421.228381250003</v>
      </c>
      <c r="AU36" s="225">
        <v>24</v>
      </c>
      <c r="AV36" s="236">
        <v>2623.88</v>
      </c>
      <c r="AW36" s="237">
        <v>3941.094811500001</v>
      </c>
      <c r="AX36" s="238">
        <v>100</v>
      </c>
      <c r="AY36" s="239">
        <v>16421.228381250003</v>
      </c>
      <c r="AZ36" s="225">
        <v>24</v>
      </c>
      <c r="BA36" s="236">
        <v>3904.88</v>
      </c>
      <c r="BB36" s="237">
        <v>3941.094811500001</v>
      </c>
      <c r="BC36" s="238">
        <v>100</v>
      </c>
      <c r="BD36" s="239">
        <v>16421.228381250003</v>
      </c>
      <c r="BE36" s="225">
        <v>24</v>
      </c>
      <c r="BF36" s="236">
        <v>3904.88</v>
      </c>
      <c r="BG36" s="237">
        <v>3941.094811500001</v>
      </c>
      <c r="BH36" s="238">
        <v>100</v>
      </c>
      <c r="BI36" s="239">
        <v>16421.228381250003</v>
      </c>
      <c r="BJ36" s="225">
        <v>24</v>
      </c>
      <c r="BK36" s="236">
        <v>3904.88</v>
      </c>
      <c r="BL36" s="237">
        <v>3941.094811500001</v>
      </c>
      <c r="BM36" s="238">
        <v>100</v>
      </c>
      <c r="BN36" s="239">
        <v>16421.228381250003</v>
      </c>
      <c r="BO36" s="225">
        <v>24</v>
      </c>
      <c r="BP36" s="236">
        <v>3904.88</v>
      </c>
      <c r="BQ36" s="248">
        <v>16421.228381250003</v>
      </c>
      <c r="BS36" s="192"/>
    </row>
    <row r="37" spans="1:71" x14ac:dyDescent="0.25">
      <c r="A37" s="101" t="s">
        <v>697</v>
      </c>
      <c r="B37" s="161" t="s">
        <v>1344</v>
      </c>
      <c r="C37" s="235">
        <v>120</v>
      </c>
      <c r="D37" s="98" t="s">
        <v>706</v>
      </c>
      <c r="E37" s="190">
        <v>26112.319200000002</v>
      </c>
      <c r="F37" s="235">
        <v>217.60266000000001</v>
      </c>
      <c r="G37" s="225">
        <v>259</v>
      </c>
      <c r="H37" s="237">
        <v>46335.419999999991</v>
      </c>
      <c r="I37" s="224">
        <v>178.07335907335909</v>
      </c>
      <c r="J37" s="238">
        <v>40</v>
      </c>
      <c r="K37" s="239">
        <v>8704.1064000000006</v>
      </c>
      <c r="L37" s="225">
        <v>23.5</v>
      </c>
      <c r="M37" s="236">
        <v>4207.2</v>
      </c>
      <c r="N37" s="237">
        <v>5113.6625100000001</v>
      </c>
      <c r="O37" s="238">
        <v>80</v>
      </c>
      <c r="P37" s="239">
        <v>17408.212800000001</v>
      </c>
      <c r="Q37" s="225">
        <v>115</v>
      </c>
      <c r="R37" s="236">
        <v>20954.319999999996</v>
      </c>
      <c r="S37" s="237">
        <v>25024.305900000003</v>
      </c>
      <c r="T37" s="238">
        <v>80</v>
      </c>
      <c r="U37" s="239">
        <v>17408.212800000001</v>
      </c>
      <c r="V37" s="225">
        <v>136</v>
      </c>
      <c r="W37" s="236">
        <v>24312.399999999998</v>
      </c>
      <c r="X37" s="237">
        <v>29593.961760000002</v>
      </c>
      <c r="Y37" s="238">
        <v>80</v>
      </c>
      <c r="Z37" s="239">
        <v>17408.212800000001</v>
      </c>
      <c r="AA37" s="225">
        <v>139</v>
      </c>
      <c r="AB37" s="236">
        <v>24869.199999999997</v>
      </c>
      <c r="AC37" s="237">
        <v>30246.769740000003</v>
      </c>
      <c r="AD37" s="238">
        <v>80</v>
      </c>
      <c r="AE37" s="239">
        <v>17408.212800000001</v>
      </c>
      <c r="AF37" s="225">
        <v>166</v>
      </c>
      <c r="AG37" s="236">
        <v>29756.399999999998</v>
      </c>
      <c r="AH37" s="237">
        <v>36122.041560000005</v>
      </c>
      <c r="AI37" s="238">
        <v>80</v>
      </c>
      <c r="AJ37" s="239">
        <v>17408.212800000001</v>
      </c>
      <c r="AK37" s="225">
        <v>249</v>
      </c>
      <c r="AL37" s="236">
        <v>44698.399999999994</v>
      </c>
      <c r="AM37" s="237">
        <v>54183.062340000004</v>
      </c>
      <c r="AN37" s="238">
        <v>117</v>
      </c>
      <c r="AO37" s="239">
        <v>25459.51122</v>
      </c>
      <c r="AP37" s="225">
        <v>254</v>
      </c>
      <c r="AQ37" s="236">
        <v>45507.999999999993</v>
      </c>
      <c r="AR37" s="237">
        <v>55271.075640000003</v>
      </c>
      <c r="AS37" s="238">
        <v>120</v>
      </c>
      <c r="AT37" s="239">
        <v>26112.319200000002</v>
      </c>
      <c r="AU37" s="225">
        <v>259</v>
      </c>
      <c r="AV37" s="236">
        <v>45507.999999999993</v>
      </c>
      <c r="AW37" s="237">
        <v>56359.088940000001</v>
      </c>
      <c r="AX37" s="238">
        <v>120</v>
      </c>
      <c r="AY37" s="239">
        <v>26112.319200000002</v>
      </c>
      <c r="AZ37" s="225">
        <v>259</v>
      </c>
      <c r="BA37" s="236">
        <v>45507.999999999993</v>
      </c>
      <c r="BB37" s="237">
        <v>56359.088940000001</v>
      </c>
      <c r="BC37" s="238">
        <v>120</v>
      </c>
      <c r="BD37" s="239">
        <v>26112.319200000002</v>
      </c>
      <c r="BE37" s="225">
        <v>259</v>
      </c>
      <c r="BF37" s="236">
        <v>45665.999999999993</v>
      </c>
      <c r="BG37" s="237">
        <v>56359.088940000001</v>
      </c>
      <c r="BH37" s="238">
        <v>120</v>
      </c>
      <c r="BI37" s="239">
        <v>26112.319200000002</v>
      </c>
      <c r="BJ37" s="225">
        <v>259</v>
      </c>
      <c r="BK37" s="236">
        <v>46335.419999999991</v>
      </c>
      <c r="BL37" s="237">
        <v>56359.088940000001</v>
      </c>
      <c r="BM37" s="238">
        <v>120</v>
      </c>
      <c r="BN37" s="239">
        <v>26112.319200000002</v>
      </c>
      <c r="BO37" s="225">
        <v>259</v>
      </c>
      <c r="BP37" s="236">
        <v>46335.419999999991</v>
      </c>
      <c r="BQ37" s="248">
        <v>26112.319200000002</v>
      </c>
      <c r="BS37" s="192"/>
    </row>
    <row r="38" spans="1:71" x14ac:dyDescent="0.25">
      <c r="A38" s="101" t="s">
        <v>691</v>
      </c>
      <c r="B38" s="161" t="s">
        <v>1345</v>
      </c>
      <c r="C38" s="235">
        <v>43</v>
      </c>
      <c r="D38" s="98" t="s">
        <v>706</v>
      </c>
      <c r="E38" s="190">
        <v>8427.7248062015515</v>
      </c>
      <c r="F38" s="235">
        <v>195.99360014422211</v>
      </c>
      <c r="G38" s="225">
        <v>30</v>
      </c>
      <c r="H38" s="237">
        <v>5390.78</v>
      </c>
      <c r="I38" s="224">
        <v>179.7</v>
      </c>
      <c r="J38" s="238">
        <v>0</v>
      </c>
      <c r="K38" s="239">
        <v>0</v>
      </c>
      <c r="L38" s="225">
        <v>0</v>
      </c>
      <c r="M38" s="236">
        <v>31.28</v>
      </c>
      <c r="N38" s="237">
        <v>0</v>
      </c>
      <c r="O38" s="238">
        <v>0</v>
      </c>
      <c r="P38" s="239">
        <v>0</v>
      </c>
      <c r="Q38" s="225">
        <v>0</v>
      </c>
      <c r="R38" s="236">
        <v>31.28</v>
      </c>
      <c r="S38" s="237">
        <v>0</v>
      </c>
      <c r="T38" s="238">
        <v>4.8</v>
      </c>
      <c r="U38" s="239">
        <v>940.76928069226608</v>
      </c>
      <c r="V38" s="225">
        <v>0</v>
      </c>
      <c r="W38" s="236">
        <v>31.28</v>
      </c>
      <c r="X38" s="237">
        <v>0</v>
      </c>
      <c r="Y38" s="238">
        <v>25</v>
      </c>
      <c r="Z38" s="239">
        <v>4899.8400036055527</v>
      </c>
      <c r="AA38" s="225">
        <v>0</v>
      </c>
      <c r="AB38" s="236">
        <v>31.28</v>
      </c>
      <c r="AC38" s="237">
        <v>0</v>
      </c>
      <c r="AD38" s="238">
        <v>43</v>
      </c>
      <c r="AE38" s="239">
        <v>8427.7248062015515</v>
      </c>
      <c r="AF38" s="225">
        <v>30</v>
      </c>
      <c r="AG38" s="236">
        <v>5390.78</v>
      </c>
      <c r="AH38" s="237">
        <v>5879.8080043266636</v>
      </c>
      <c r="AI38" s="238">
        <v>43</v>
      </c>
      <c r="AJ38" s="239">
        <v>8427.7248062015515</v>
      </c>
      <c r="AK38" s="225">
        <v>30</v>
      </c>
      <c r="AL38" s="236">
        <v>5390.78</v>
      </c>
      <c r="AM38" s="237">
        <v>5879.8080043266636</v>
      </c>
      <c r="AN38" s="238">
        <v>43</v>
      </c>
      <c r="AO38" s="239">
        <v>8427.7248062015515</v>
      </c>
      <c r="AP38" s="225">
        <v>30</v>
      </c>
      <c r="AQ38" s="236">
        <v>5390.78</v>
      </c>
      <c r="AR38" s="237">
        <v>5879.8080043266636</v>
      </c>
      <c r="AS38" s="238">
        <v>43</v>
      </c>
      <c r="AT38" s="239">
        <v>8427.7248062015515</v>
      </c>
      <c r="AU38" s="225">
        <v>30</v>
      </c>
      <c r="AV38" s="236">
        <v>5390.78</v>
      </c>
      <c r="AW38" s="237">
        <v>5879.8080043266636</v>
      </c>
      <c r="AX38" s="238">
        <v>43</v>
      </c>
      <c r="AY38" s="239">
        <v>8427.7248062015515</v>
      </c>
      <c r="AZ38" s="225">
        <v>30</v>
      </c>
      <c r="BA38" s="236">
        <v>5390.78</v>
      </c>
      <c r="BB38" s="237">
        <v>5879.8080043266636</v>
      </c>
      <c r="BC38" s="238">
        <v>43</v>
      </c>
      <c r="BD38" s="239">
        <v>8427.7248062015515</v>
      </c>
      <c r="BE38" s="225">
        <v>30</v>
      </c>
      <c r="BF38" s="236">
        <v>5390.78</v>
      </c>
      <c r="BG38" s="237">
        <v>5879.8080043266636</v>
      </c>
      <c r="BH38" s="238">
        <v>43</v>
      </c>
      <c r="BI38" s="239">
        <v>8427.7248062015515</v>
      </c>
      <c r="BJ38" s="225">
        <v>30</v>
      </c>
      <c r="BK38" s="236">
        <v>5390.78</v>
      </c>
      <c r="BL38" s="237">
        <v>5879.8080043266636</v>
      </c>
      <c r="BM38" s="238">
        <v>43</v>
      </c>
      <c r="BN38" s="239">
        <v>8427.7248062015515</v>
      </c>
      <c r="BO38" s="225">
        <v>30</v>
      </c>
      <c r="BP38" s="236">
        <v>5390.78</v>
      </c>
      <c r="BQ38" s="248">
        <v>8427.7248062015515</v>
      </c>
      <c r="BS38" s="192"/>
    </row>
    <row r="39" spans="1:71" x14ac:dyDescent="0.25">
      <c r="A39" s="101" t="s">
        <v>693</v>
      </c>
      <c r="B39" s="161" t="s">
        <v>1346</v>
      </c>
      <c r="C39" s="235">
        <v>34</v>
      </c>
      <c r="D39" s="98" t="s">
        <v>54</v>
      </c>
      <c r="E39" s="190">
        <v>22220.822400000001</v>
      </c>
      <c r="F39" s="235">
        <v>653.55360000000007</v>
      </c>
      <c r="G39" s="225">
        <v>37</v>
      </c>
      <c r="H39" s="237">
        <v>12410</v>
      </c>
      <c r="I39" s="224">
        <v>335.40540540540542</v>
      </c>
      <c r="J39" s="238">
        <v>0</v>
      </c>
      <c r="K39" s="239">
        <v>0</v>
      </c>
      <c r="L39" s="225">
        <v>0</v>
      </c>
      <c r="M39" s="236">
        <v>0</v>
      </c>
      <c r="N39" s="237">
        <v>0</v>
      </c>
      <c r="O39" s="238">
        <v>12</v>
      </c>
      <c r="P39" s="239">
        <v>7842.6432000000004</v>
      </c>
      <c r="Q39" s="225">
        <v>37</v>
      </c>
      <c r="R39" s="236">
        <v>12410</v>
      </c>
      <c r="S39" s="237">
        <v>24181.483200000002</v>
      </c>
      <c r="T39" s="238">
        <v>34</v>
      </c>
      <c r="U39" s="239">
        <v>22220.822400000001</v>
      </c>
      <c r="V39" s="225">
        <v>37</v>
      </c>
      <c r="W39" s="236">
        <v>12410</v>
      </c>
      <c r="X39" s="237">
        <v>24181.483200000002</v>
      </c>
      <c r="Y39" s="238">
        <v>34</v>
      </c>
      <c r="Z39" s="239">
        <v>22220.822400000001</v>
      </c>
      <c r="AA39" s="225">
        <v>37</v>
      </c>
      <c r="AB39" s="236">
        <v>12410</v>
      </c>
      <c r="AC39" s="237">
        <v>24181.483200000002</v>
      </c>
      <c r="AD39" s="238">
        <v>34</v>
      </c>
      <c r="AE39" s="239">
        <v>22220.822400000001</v>
      </c>
      <c r="AF39" s="225">
        <v>37</v>
      </c>
      <c r="AG39" s="236">
        <v>12410</v>
      </c>
      <c r="AH39" s="237">
        <v>24181.483200000002</v>
      </c>
      <c r="AI39" s="238">
        <v>34</v>
      </c>
      <c r="AJ39" s="239">
        <v>22220.822400000001</v>
      </c>
      <c r="AK39" s="225">
        <v>37</v>
      </c>
      <c r="AL39" s="236">
        <v>12410</v>
      </c>
      <c r="AM39" s="237">
        <v>24181.483200000002</v>
      </c>
      <c r="AN39" s="238">
        <v>34</v>
      </c>
      <c r="AO39" s="239">
        <v>22220.822400000001</v>
      </c>
      <c r="AP39" s="225">
        <v>37</v>
      </c>
      <c r="AQ39" s="236">
        <v>12410</v>
      </c>
      <c r="AR39" s="237">
        <v>24181.483200000002</v>
      </c>
      <c r="AS39" s="238">
        <v>34</v>
      </c>
      <c r="AT39" s="239">
        <v>22220.822400000001</v>
      </c>
      <c r="AU39" s="225">
        <v>37</v>
      </c>
      <c r="AV39" s="236">
        <v>12410</v>
      </c>
      <c r="AW39" s="237">
        <v>24181.483200000002</v>
      </c>
      <c r="AX39" s="238">
        <v>34</v>
      </c>
      <c r="AY39" s="239">
        <v>22220.822400000001</v>
      </c>
      <c r="AZ39" s="225">
        <v>37</v>
      </c>
      <c r="BA39" s="236">
        <v>12410</v>
      </c>
      <c r="BB39" s="237">
        <v>24181.483200000002</v>
      </c>
      <c r="BC39" s="238">
        <v>34</v>
      </c>
      <c r="BD39" s="239">
        <v>22220.822400000001</v>
      </c>
      <c r="BE39" s="225">
        <v>37</v>
      </c>
      <c r="BF39" s="236">
        <v>12410</v>
      </c>
      <c r="BG39" s="237">
        <v>24181.483200000002</v>
      </c>
      <c r="BH39" s="238">
        <v>34</v>
      </c>
      <c r="BI39" s="239">
        <v>22220.822400000001</v>
      </c>
      <c r="BJ39" s="225">
        <v>37</v>
      </c>
      <c r="BK39" s="236">
        <v>12410</v>
      </c>
      <c r="BL39" s="237">
        <v>24181.483200000002</v>
      </c>
      <c r="BM39" s="238">
        <v>34</v>
      </c>
      <c r="BN39" s="239">
        <v>22220.822400000001</v>
      </c>
      <c r="BO39" s="225">
        <v>37</v>
      </c>
      <c r="BP39" s="236">
        <v>12410</v>
      </c>
      <c r="BQ39" s="248">
        <v>22220.822400000001</v>
      </c>
      <c r="BS39" s="192"/>
    </row>
    <row r="40" spans="1:71" x14ac:dyDescent="0.25">
      <c r="A40" s="101" t="s">
        <v>1169</v>
      </c>
      <c r="B40" s="240">
        <v>2.2999999999999998</v>
      </c>
      <c r="C40" s="235">
        <v>100</v>
      </c>
      <c r="D40" s="98" t="s">
        <v>54</v>
      </c>
      <c r="E40" s="190">
        <v>0</v>
      </c>
      <c r="F40" s="235">
        <v>0</v>
      </c>
      <c r="G40" s="225">
        <v>80.66</v>
      </c>
      <c r="H40" s="237">
        <v>3182.03</v>
      </c>
      <c r="I40" s="224">
        <v>39.449541284403672</v>
      </c>
      <c r="J40" s="238">
        <v>0</v>
      </c>
      <c r="K40" s="239">
        <v>0</v>
      </c>
      <c r="L40" s="225">
        <v>0</v>
      </c>
      <c r="M40" s="236">
        <v>0</v>
      </c>
      <c r="N40" s="237">
        <v>0</v>
      </c>
      <c r="O40" s="238"/>
      <c r="P40" s="239">
        <v>0</v>
      </c>
      <c r="Q40" s="225">
        <v>0</v>
      </c>
      <c r="R40" s="236">
        <v>0</v>
      </c>
      <c r="S40" s="237">
        <v>0</v>
      </c>
      <c r="T40" s="238">
        <v>0</v>
      </c>
      <c r="U40" s="239">
        <v>0</v>
      </c>
      <c r="V40" s="225">
        <v>0</v>
      </c>
      <c r="W40" s="236">
        <v>0</v>
      </c>
      <c r="X40" s="237">
        <v>0</v>
      </c>
      <c r="Y40" s="238">
        <v>0</v>
      </c>
      <c r="Z40" s="239">
        <v>0</v>
      </c>
      <c r="AA40" s="225">
        <v>0</v>
      </c>
      <c r="AB40" s="236">
        <v>0</v>
      </c>
      <c r="AC40" s="237">
        <v>0</v>
      </c>
      <c r="AD40" s="238">
        <v>100</v>
      </c>
      <c r="AE40" s="239">
        <v>0</v>
      </c>
      <c r="AF40" s="225">
        <v>0</v>
      </c>
      <c r="AG40" s="236">
        <v>0</v>
      </c>
      <c r="AH40" s="237">
        <v>0</v>
      </c>
      <c r="AI40" s="238">
        <v>100</v>
      </c>
      <c r="AJ40" s="239">
        <v>0</v>
      </c>
      <c r="AK40" s="225">
        <v>80.66</v>
      </c>
      <c r="AL40" s="236">
        <v>3182.03</v>
      </c>
      <c r="AM40" s="237">
        <v>0</v>
      </c>
      <c r="AN40" s="238">
        <v>100</v>
      </c>
      <c r="AO40" s="239">
        <v>0</v>
      </c>
      <c r="AP40" s="225">
        <v>80.66</v>
      </c>
      <c r="AQ40" s="236">
        <v>3182.03</v>
      </c>
      <c r="AR40" s="237">
        <v>0</v>
      </c>
      <c r="AS40" s="238">
        <v>100</v>
      </c>
      <c r="AT40" s="239">
        <v>0</v>
      </c>
      <c r="AU40" s="225">
        <v>80.66</v>
      </c>
      <c r="AV40" s="236">
        <v>3182.03</v>
      </c>
      <c r="AW40" s="237">
        <v>0</v>
      </c>
      <c r="AX40" s="238">
        <v>100</v>
      </c>
      <c r="AY40" s="239">
        <v>0</v>
      </c>
      <c r="AZ40" s="225">
        <v>80.66</v>
      </c>
      <c r="BA40" s="236">
        <v>3182.03</v>
      </c>
      <c r="BB40" s="237">
        <v>0</v>
      </c>
      <c r="BC40" s="238">
        <v>100</v>
      </c>
      <c r="BD40" s="239">
        <v>0</v>
      </c>
      <c r="BE40" s="225">
        <v>80.66</v>
      </c>
      <c r="BF40" s="236">
        <v>3182.03</v>
      </c>
      <c r="BG40" s="237">
        <v>0</v>
      </c>
      <c r="BH40" s="238">
        <v>100</v>
      </c>
      <c r="BI40" s="239">
        <v>0</v>
      </c>
      <c r="BJ40" s="225">
        <v>80.66</v>
      </c>
      <c r="BK40" s="236">
        <v>3182.03</v>
      </c>
      <c r="BL40" s="237">
        <v>0</v>
      </c>
      <c r="BM40" s="238">
        <v>100</v>
      </c>
      <c r="BN40" s="239">
        <v>0</v>
      </c>
      <c r="BO40" s="225">
        <v>80.66</v>
      </c>
      <c r="BP40" s="236">
        <v>3182.03</v>
      </c>
      <c r="BQ40" s="248">
        <v>0</v>
      </c>
      <c r="BS40" s="192"/>
    </row>
    <row r="41" spans="1:71" x14ac:dyDescent="0.25">
      <c r="A41" s="101" t="s">
        <v>692</v>
      </c>
      <c r="B41" s="161" t="s">
        <v>75</v>
      </c>
      <c r="C41" s="235">
        <v>455</v>
      </c>
      <c r="D41" s="98" t="s">
        <v>706</v>
      </c>
      <c r="E41" s="190">
        <v>11300.576838116336</v>
      </c>
      <c r="F41" s="235">
        <v>24.836432611244696</v>
      </c>
      <c r="G41" s="225">
        <v>375</v>
      </c>
      <c r="H41" s="237">
        <v>4651.9454200000009</v>
      </c>
      <c r="I41" s="224">
        <v>24.882666666666665</v>
      </c>
      <c r="J41" s="238">
        <v>250</v>
      </c>
      <c r="K41" s="239">
        <v>6209.1081528111736</v>
      </c>
      <c r="L41" s="225">
        <v>188</v>
      </c>
      <c r="M41" s="236">
        <v>0</v>
      </c>
      <c r="N41" s="237">
        <v>4669.2493309140027</v>
      </c>
      <c r="O41" s="238">
        <v>380</v>
      </c>
      <c r="P41" s="239">
        <v>9437.8443922729839</v>
      </c>
      <c r="Q41" s="225">
        <v>295</v>
      </c>
      <c r="R41" s="236">
        <v>2674.7594200000003</v>
      </c>
      <c r="S41" s="237">
        <v>7326.7476203171855</v>
      </c>
      <c r="T41" s="238">
        <v>380</v>
      </c>
      <c r="U41" s="239">
        <v>9437.8443922729839</v>
      </c>
      <c r="V41" s="225">
        <v>295</v>
      </c>
      <c r="W41" s="236">
        <v>2674.7594200000003</v>
      </c>
      <c r="X41" s="237">
        <v>7326.7476203171855</v>
      </c>
      <c r="Y41" s="238">
        <v>380</v>
      </c>
      <c r="Z41" s="239">
        <v>9437.8443922729839</v>
      </c>
      <c r="AA41" s="225">
        <v>330</v>
      </c>
      <c r="AB41" s="236">
        <v>3589.7194200000004</v>
      </c>
      <c r="AC41" s="237">
        <v>8196.0227617107503</v>
      </c>
      <c r="AD41" s="238">
        <v>455</v>
      </c>
      <c r="AE41" s="239">
        <v>11300.576838116336</v>
      </c>
      <c r="AF41" s="225">
        <v>375</v>
      </c>
      <c r="AG41" s="236">
        <v>4651.9454200000009</v>
      </c>
      <c r="AH41" s="237">
        <v>9313.6622292167613</v>
      </c>
      <c r="AI41" s="238">
        <v>455</v>
      </c>
      <c r="AJ41" s="239">
        <v>11300.576838116336</v>
      </c>
      <c r="AK41" s="225">
        <v>375</v>
      </c>
      <c r="AL41" s="236">
        <v>4651.9454200000009</v>
      </c>
      <c r="AM41" s="237">
        <v>9313.6622292167613</v>
      </c>
      <c r="AN41" s="238">
        <v>455</v>
      </c>
      <c r="AO41" s="239">
        <v>11300.576838116336</v>
      </c>
      <c r="AP41" s="225">
        <v>375</v>
      </c>
      <c r="AQ41" s="236">
        <v>4651.9454200000009</v>
      </c>
      <c r="AR41" s="237">
        <v>9313.6622292167613</v>
      </c>
      <c r="AS41" s="238">
        <v>455</v>
      </c>
      <c r="AT41" s="239">
        <v>11300.576838116336</v>
      </c>
      <c r="AU41" s="225">
        <v>375</v>
      </c>
      <c r="AV41" s="236">
        <v>4651.9454200000009</v>
      </c>
      <c r="AW41" s="237">
        <v>9313.6622292167613</v>
      </c>
      <c r="AX41" s="238">
        <v>455</v>
      </c>
      <c r="AY41" s="239">
        <v>11300.576838116336</v>
      </c>
      <c r="AZ41" s="225">
        <v>375</v>
      </c>
      <c r="BA41" s="236">
        <v>4651.9454200000009</v>
      </c>
      <c r="BB41" s="237">
        <v>9313.6622292167613</v>
      </c>
      <c r="BC41" s="238">
        <v>455</v>
      </c>
      <c r="BD41" s="239">
        <v>11300.576838116336</v>
      </c>
      <c r="BE41" s="225">
        <v>375</v>
      </c>
      <c r="BF41" s="236">
        <v>4651.9454200000009</v>
      </c>
      <c r="BG41" s="237">
        <v>9313.6622292167613</v>
      </c>
      <c r="BH41" s="238">
        <v>455</v>
      </c>
      <c r="BI41" s="239">
        <v>11300.576838116336</v>
      </c>
      <c r="BJ41" s="225">
        <v>375</v>
      </c>
      <c r="BK41" s="236">
        <v>4651.9454200000009</v>
      </c>
      <c r="BL41" s="237">
        <v>9313.6622292167613</v>
      </c>
      <c r="BM41" s="238">
        <v>455</v>
      </c>
      <c r="BN41" s="239">
        <v>11300.576838116336</v>
      </c>
      <c r="BO41" s="225">
        <v>375</v>
      </c>
      <c r="BP41" s="236">
        <v>4651.9454200000009</v>
      </c>
      <c r="BQ41" s="248">
        <v>11300.576838116336</v>
      </c>
      <c r="BS41" s="192"/>
    </row>
    <row r="42" spans="1:71" x14ac:dyDescent="0.25">
      <c r="A42" s="101" t="s">
        <v>695</v>
      </c>
      <c r="B42" s="161" t="s">
        <v>1347</v>
      </c>
      <c r="C42" s="235">
        <v>1032</v>
      </c>
      <c r="D42" s="98" t="s">
        <v>708</v>
      </c>
      <c r="E42" s="190">
        <v>10988.854660000003</v>
      </c>
      <c r="F42" s="235">
        <v>10.648114980620157</v>
      </c>
      <c r="G42" s="225">
        <v>1032</v>
      </c>
      <c r="H42" s="237">
        <v>15444.99</v>
      </c>
      <c r="I42" s="224">
        <v>7.429263565891473</v>
      </c>
      <c r="J42" s="238">
        <v>600</v>
      </c>
      <c r="K42" s="239">
        <v>6388.8689883720945</v>
      </c>
      <c r="L42" s="225">
        <v>440</v>
      </c>
      <c r="M42" s="236">
        <v>11024.789999999999</v>
      </c>
      <c r="N42" s="237">
        <v>4685.1705914728691</v>
      </c>
      <c r="O42" s="238">
        <v>600</v>
      </c>
      <c r="P42" s="239">
        <v>6388.8689883720945</v>
      </c>
      <c r="Q42" s="225">
        <v>512</v>
      </c>
      <c r="R42" s="236">
        <v>11604.789999999999</v>
      </c>
      <c r="S42" s="237">
        <v>5451.8348700775205</v>
      </c>
      <c r="T42" s="238">
        <v>600</v>
      </c>
      <c r="U42" s="239">
        <v>6388.8689883720945</v>
      </c>
      <c r="V42" s="225">
        <v>512</v>
      </c>
      <c r="W42" s="236">
        <v>11604.789999999999</v>
      </c>
      <c r="X42" s="237">
        <v>5451.8348700775205</v>
      </c>
      <c r="Y42" s="238">
        <v>600</v>
      </c>
      <c r="Z42" s="239">
        <v>6388.8689883720945</v>
      </c>
      <c r="AA42" s="225">
        <v>512</v>
      </c>
      <c r="AB42" s="236">
        <v>11604.789999999999</v>
      </c>
      <c r="AC42" s="237">
        <v>5451.8348700775205</v>
      </c>
      <c r="AD42" s="238">
        <v>1032</v>
      </c>
      <c r="AE42" s="239">
        <v>10988.854660000003</v>
      </c>
      <c r="AF42" s="225">
        <v>748</v>
      </c>
      <c r="AG42" s="236">
        <v>13347.289999999999</v>
      </c>
      <c r="AH42" s="237">
        <v>7964.7900055038772</v>
      </c>
      <c r="AI42" s="238">
        <v>1032</v>
      </c>
      <c r="AJ42" s="239">
        <v>10988.854660000003</v>
      </c>
      <c r="AK42" s="225">
        <v>1032</v>
      </c>
      <c r="AL42" s="236">
        <v>15444.99</v>
      </c>
      <c r="AM42" s="237">
        <v>10988.854660000003</v>
      </c>
      <c r="AN42" s="238">
        <v>1032</v>
      </c>
      <c r="AO42" s="239">
        <v>10988.854660000003</v>
      </c>
      <c r="AP42" s="225">
        <v>1032</v>
      </c>
      <c r="AQ42" s="236">
        <v>15444.99</v>
      </c>
      <c r="AR42" s="237">
        <v>10988.854660000003</v>
      </c>
      <c r="AS42" s="238">
        <v>1032</v>
      </c>
      <c r="AT42" s="239">
        <v>10988.854660000003</v>
      </c>
      <c r="AU42" s="225">
        <v>1032</v>
      </c>
      <c r="AV42" s="236">
        <v>15444.99</v>
      </c>
      <c r="AW42" s="237">
        <v>10988.854660000003</v>
      </c>
      <c r="AX42" s="238">
        <v>1032</v>
      </c>
      <c r="AY42" s="239">
        <v>10988.854660000003</v>
      </c>
      <c r="AZ42" s="225">
        <v>1032</v>
      </c>
      <c r="BA42" s="236">
        <v>15444.99</v>
      </c>
      <c r="BB42" s="237">
        <v>10988.854660000003</v>
      </c>
      <c r="BC42" s="238">
        <v>1032</v>
      </c>
      <c r="BD42" s="239">
        <v>10988.854660000003</v>
      </c>
      <c r="BE42" s="225">
        <v>1032</v>
      </c>
      <c r="BF42" s="236">
        <v>15444.99</v>
      </c>
      <c r="BG42" s="237">
        <v>10988.854660000003</v>
      </c>
      <c r="BH42" s="238">
        <v>1032</v>
      </c>
      <c r="BI42" s="239">
        <v>10988.854660000003</v>
      </c>
      <c r="BJ42" s="225">
        <v>1032</v>
      </c>
      <c r="BK42" s="236">
        <v>15444.99</v>
      </c>
      <c r="BL42" s="237">
        <v>10988.854660000003</v>
      </c>
      <c r="BM42" s="238">
        <v>1032</v>
      </c>
      <c r="BN42" s="239">
        <v>10988.854660000003</v>
      </c>
      <c r="BO42" s="225">
        <v>1032</v>
      </c>
      <c r="BP42" s="236">
        <v>15444.99</v>
      </c>
      <c r="BQ42" s="248">
        <v>10988.854660000003</v>
      </c>
      <c r="BS42" s="192"/>
    </row>
    <row r="43" spans="1:71" x14ac:dyDescent="0.25">
      <c r="A43" s="101" t="s">
        <v>698</v>
      </c>
      <c r="B43" s="161" t="s">
        <v>1348</v>
      </c>
      <c r="C43" s="235">
        <v>2</v>
      </c>
      <c r="D43" s="98" t="s">
        <v>1349</v>
      </c>
      <c r="E43" s="190">
        <v>6535</v>
      </c>
      <c r="F43" s="235">
        <v>3267.5</v>
      </c>
      <c r="G43" s="225">
        <v>2</v>
      </c>
      <c r="H43" s="237">
        <v>920</v>
      </c>
      <c r="I43" s="224">
        <v>460</v>
      </c>
      <c r="J43" s="238">
        <v>0</v>
      </c>
      <c r="K43" s="239">
        <v>0</v>
      </c>
      <c r="L43" s="225">
        <v>0</v>
      </c>
      <c r="M43" s="236">
        <v>0</v>
      </c>
      <c r="N43" s="237">
        <v>0</v>
      </c>
      <c r="O43" s="238">
        <v>0</v>
      </c>
      <c r="P43" s="239">
        <v>0</v>
      </c>
      <c r="Q43" s="225">
        <v>0</v>
      </c>
      <c r="R43" s="236">
        <v>0</v>
      </c>
      <c r="S43" s="237">
        <v>0</v>
      </c>
      <c r="T43" s="238">
        <v>0</v>
      </c>
      <c r="U43" s="239">
        <v>0</v>
      </c>
      <c r="V43" s="225">
        <v>0</v>
      </c>
      <c r="W43" s="236">
        <v>0</v>
      </c>
      <c r="X43" s="237">
        <v>0</v>
      </c>
      <c r="Y43" s="238">
        <v>0</v>
      </c>
      <c r="Z43" s="239">
        <v>0</v>
      </c>
      <c r="AA43" s="225">
        <v>0</v>
      </c>
      <c r="AB43" s="236">
        <v>0</v>
      </c>
      <c r="AC43" s="237">
        <v>0</v>
      </c>
      <c r="AD43" s="238">
        <v>0</v>
      </c>
      <c r="AE43" s="239">
        <v>0</v>
      </c>
      <c r="AF43" s="225">
        <v>0</v>
      </c>
      <c r="AG43" s="236">
        <v>0</v>
      </c>
      <c r="AH43" s="237">
        <v>0</v>
      </c>
      <c r="AI43" s="238">
        <v>0</v>
      </c>
      <c r="AJ43" s="239">
        <v>0</v>
      </c>
      <c r="AK43" s="225"/>
      <c r="AL43" s="236">
        <v>0</v>
      </c>
      <c r="AM43" s="237">
        <v>0</v>
      </c>
      <c r="AN43" s="238">
        <v>0</v>
      </c>
      <c r="AO43" s="239">
        <v>0</v>
      </c>
      <c r="AP43" s="225">
        <v>0</v>
      </c>
      <c r="AQ43" s="236">
        <v>0</v>
      </c>
      <c r="AR43" s="237">
        <v>0</v>
      </c>
      <c r="AS43" s="238">
        <v>2</v>
      </c>
      <c r="AT43" s="239">
        <v>6535</v>
      </c>
      <c r="AU43" s="225">
        <v>2</v>
      </c>
      <c r="AV43" s="236">
        <v>0</v>
      </c>
      <c r="AW43" s="237">
        <v>6535</v>
      </c>
      <c r="AX43" s="238">
        <v>2</v>
      </c>
      <c r="AY43" s="239">
        <v>6535</v>
      </c>
      <c r="AZ43" s="225">
        <v>2</v>
      </c>
      <c r="BA43" s="236">
        <v>0</v>
      </c>
      <c r="BB43" s="237">
        <v>6535</v>
      </c>
      <c r="BC43" s="238">
        <v>2</v>
      </c>
      <c r="BD43" s="239">
        <v>6535</v>
      </c>
      <c r="BE43" s="225">
        <v>2</v>
      </c>
      <c r="BF43" s="236">
        <v>0</v>
      </c>
      <c r="BG43" s="237">
        <v>6535</v>
      </c>
      <c r="BH43" s="238">
        <v>2</v>
      </c>
      <c r="BI43" s="239">
        <v>6535</v>
      </c>
      <c r="BJ43" s="225">
        <v>2</v>
      </c>
      <c r="BK43" s="236">
        <v>920</v>
      </c>
      <c r="BL43" s="237">
        <v>6535</v>
      </c>
      <c r="BM43" s="238">
        <v>2</v>
      </c>
      <c r="BN43" s="239">
        <v>6535</v>
      </c>
      <c r="BO43" s="225">
        <v>2</v>
      </c>
      <c r="BP43" s="236">
        <v>920</v>
      </c>
      <c r="BQ43" s="248">
        <v>6535</v>
      </c>
      <c r="BS43" s="192"/>
    </row>
    <row r="44" spans="1:71" x14ac:dyDescent="0.25">
      <c r="A44" s="101" t="s">
        <v>699</v>
      </c>
      <c r="B44" s="161" t="s">
        <v>1350</v>
      </c>
      <c r="C44" s="235">
        <v>2</v>
      </c>
      <c r="D44" s="98" t="s">
        <v>1349</v>
      </c>
      <c r="E44" s="190">
        <v>1250</v>
      </c>
      <c r="F44" s="235">
        <v>625</v>
      </c>
      <c r="G44" s="225">
        <v>2</v>
      </c>
      <c r="H44" s="237">
        <v>1141.81</v>
      </c>
      <c r="I44" s="224">
        <v>571</v>
      </c>
      <c r="J44" s="238">
        <v>0</v>
      </c>
      <c r="K44" s="239">
        <v>0</v>
      </c>
      <c r="L44" s="225">
        <v>0</v>
      </c>
      <c r="M44" s="236">
        <v>0</v>
      </c>
      <c r="N44" s="237">
        <v>0</v>
      </c>
      <c r="O44" s="238">
        <v>0</v>
      </c>
      <c r="P44" s="239">
        <v>0</v>
      </c>
      <c r="Q44" s="225">
        <v>0</v>
      </c>
      <c r="R44" s="236">
        <v>0</v>
      </c>
      <c r="S44" s="237">
        <v>0</v>
      </c>
      <c r="T44" s="238">
        <v>0</v>
      </c>
      <c r="U44" s="239">
        <v>0</v>
      </c>
      <c r="V44" s="225">
        <v>0</v>
      </c>
      <c r="W44" s="236">
        <v>0</v>
      </c>
      <c r="X44" s="237">
        <v>0</v>
      </c>
      <c r="Y44" s="238">
        <v>0</v>
      </c>
      <c r="Z44" s="239">
        <v>0</v>
      </c>
      <c r="AA44" s="225">
        <v>0</v>
      </c>
      <c r="AB44" s="236">
        <v>0</v>
      </c>
      <c r="AC44" s="237">
        <v>0</v>
      </c>
      <c r="AD44" s="238">
        <v>0</v>
      </c>
      <c r="AE44" s="239">
        <v>0</v>
      </c>
      <c r="AF44" s="225">
        <v>0</v>
      </c>
      <c r="AG44" s="236">
        <v>0</v>
      </c>
      <c r="AH44" s="237">
        <v>0</v>
      </c>
      <c r="AI44" s="238">
        <v>0</v>
      </c>
      <c r="AJ44" s="239">
        <v>0</v>
      </c>
      <c r="AK44" s="225"/>
      <c r="AL44" s="236">
        <v>0</v>
      </c>
      <c r="AM44" s="237">
        <v>0</v>
      </c>
      <c r="AN44" s="238">
        <v>0</v>
      </c>
      <c r="AO44" s="239">
        <v>0</v>
      </c>
      <c r="AP44" s="225">
        <v>0</v>
      </c>
      <c r="AQ44" s="236">
        <v>0</v>
      </c>
      <c r="AR44" s="237">
        <v>0</v>
      </c>
      <c r="AS44" s="238">
        <v>2</v>
      </c>
      <c r="AT44" s="239">
        <v>1250</v>
      </c>
      <c r="AU44" s="225">
        <v>2</v>
      </c>
      <c r="AV44" s="236">
        <v>0</v>
      </c>
      <c r="AW44" s="237">
        <v>1250</v>
      </c>
      <c r="AX44" s="238">
        <v>2</v>
      </c>
      <c r="AY44" s="239">
        <v>1250</v>
      </c>
      <c r="AZ44" s="225">
        <v>2</v>
      </c>
      <c r="BA44" s="236">
        <v>551.80999999999995</v>
      </c>
      <c r="BB44" s="237">
        <v>1250</v>
      </c>
      <c r="BC44" s="238">
        <v>2</v>
      </c>
      <c r="BD44" s="239">
        <v>1250</v>
      </c>
      <c r="BE44" s="225">
        <v>2</v>
      </c>
      <c r="BF44" s="236">
        <v>1141.81</v>
      </c>
      <c r="BG44" s="237">
        <v>1250</v>
      </c>
      <c r="BH44" s="238">
        <v>2</v>
      </c>
      <c r="BI44" s="239">
        <v>1250</v>
      </c>
      <c r="BJ44" s="225">
        <v>2</v>
      </c>
      <c r="BK44" s="236">
        <v>1141.81</v>
      </c>
      <c r="BL44" s="237">
        <v>1250</v>
      </c>
      <c r="BM44" s="238">
        <v>2</v>
      </c>
      <c r="BN44" s="239">
        <v>1250</v>
      </c>
      <c r="BO44" s="225">
        <v>2</v>
      </c>
      <c r="BP44" s="236">
        <v>1141.81</v>
      </c>
      <c r="BQ44" s="248">
        <v>1250</v>
      </c>
      <c r="BS44" s="192"/>
    </row>
    <row r="45" spans="1:71" x14ac:dyDescent="0.25">
      <c r="A45" s="101" t="s">
        <v>696</v>
      </c>
      <c r="B45" s="161" t="s">
        <v>1351</v>
      </c>
      <c r="C45" s="235">
        <v>2</v>
      </c>
      <c r="D45" s="98" t="s">
        <v>1349</v>
      </c>
      <c r="E45" s="190">
        <v>49.391999999999541</v>
      </c>
      <c r="F45" s="235">
        <v>24.695999999999771</v>
      </c>
      <c r="G45" s="225">
        <v>2</v>
      </c>
      <c r="H45" s="237">
        <v>5576.5</v>
      </c>
      <c r="I45" s="224">
        <v>448.5</v>
      </c>
      <c r="J45" s="238">
        <v>0</v>
      </c>
      <c r="K45" s="239">
        <v>0</v>
      </c>
      <c r="L45" s="225">
        <v>0</v>
      </c>
      <c r="M45" s="236">
        <v>4679.5</v>
      </c>
      <c r="N45" s="237">
        <v>0</v>
      </c>
      <c r="O45" s="238">
        <v>2</v>
      </c>
      <c r="P45" s="239">
        <v>49.391999999999541</v>
      </c>
      <c r="Q45" s="225">
        <v>1</v>
      </c>
      <c r="R45" s="236">
        <v>5159.5</v>
      </c>
      <c r="S45" s="237">
        <v>24.695999999999771</v>
      </c>
      <c r="T45" s="238">
        <v>2</v>
      </c>
      <c r="U45" s="239">
        <v>49.391999999999541</v>
      </c>
      <c r="V45" s="225">
        <v>2</v>
      </c>
      <c r="W45" s="236">
        <v>5576.5</v>
      </c>
      <c r="X45" s="237">
        <v>49.391999999999541</v>
      </c>
      <c r="Y45" s="238">
        <v>2</v>
      </c>
      <c r="Z45" s="239">
        <v>49.391999999999541</v>
      </c>
      <c r="AA45" s="225">
        <v>2</v>
      </c>
      <c r="AB45" s="236">
        <v>5576.5</v>
      </c>
      <c r="AC45" s="237">
        <v>49.391999999999541</v>
      </c>
      <c r="AD45" s="238">
        <v>2</v>
      </c>
      <c r="AE45" s="239">
        <v>49.391999999999541</v>
      </c>
      <c r="AF45" s="225">
        <v>2</v>
      </c>
      <c r="AG45" s="236">
        <v>5576.5</v>
      </c>
      <c r="AH45" s="237">
        <v>49.391999999999541</v>
      </c>
      <c r="AI45" s="238">
        <v>2</v>
      </c>
      <c r="AJ45" s="239">
        <v>49.391999999999541</v>
      </c>
      <c r="AK45" s="225">
        <v>2</v>
      </c>
      <c r="AL45" s="236">
        <v>5576.5</v>
      </c>
      <c r="AM45" s="237">
        <v>49.391999999999541</v>
      </c>
      <c r="AN45" s="238">
        <v>2</v>
      </c>
      <c r="AO45" s="239">
        <v>49.391999999999541</v>
      </c>
      <c r="AP45" s="225">
        <v>2</v>
      </c>
      <c r="AQ45" s="236">
        <v>5576.5</v>
      </c>
      <c r="AR45" s="237">
        <v>49.391999999999541</v>
      </c>
      <c r="AS45" s="238">
        <v>2</v>
      </c>
      <c r="AT45" s="239">
        <v>49.391999999999541</v>
      </c>
      <c r="AU45" s="225">
        <v>2</v>
      </c>
      <c r="AV45" s="236">
        <v>5576.5</v>
      </c>
      <c r="AW45" s="237">
        <v>49.391999999999541</v>
      </c>
      <c r="AX45" s="238">
        <v>2</v>
      </c>
      <c r="AY45" s="239">
        <v>49.391999999999541</v>
      </c>
      <c r="AZ45" s="225">
        <v>2</v>
      </c>
      <c r="BA45" s="236">
        <v>5576.5</v>
      </c>
      <c r="BB45" s="237">
        <v>49.391999999999541</v>
      </c>
      <c r="BC45" s="238">
        <v>2</v>
      </c>
      <c r="BD45" s="239">
        <v>49.391999999999541</v>
      </c>
      <c r="BE45" s="225">
        <v>2</v>
      </c>
      <c r="BF45" s="236">
        <v>5576.5</v>
      </c>
      <c r="BG45" s="237">
        <v>49.391999999999541</v>
      </c>
      <c r="BH45" s="238">
        <v>2</v>
      </c>
      <c r="BI45" s="239">
        <v>49.391999999999541</v>
      </c>
      <c r="BJ45" s="225">
        <v>2</v>
      </c>
      <c r="BK45" s="236">
        <v>5576.5</v>
      </c>
      <c r="BL45" s="237">
        <v>49.391999999999541</v>
      </c>
      <c r="BM45" s="238">
        <v>2</v>
      </c>
      <c r="BN45" s="239">
        <v>49.391999999999541</v>
      </c>
      <c r="BO45" s="225">
        <v>2</v>
      </c>
      <c r="BP45" s="236">
        <v>5576.5</v>
      </c>
      <c r="BQ45" s="279">
        <v>49.391999999999541</v>
      </c>
      <c r="BS45" s="192"/>
    </row>
    <row r="46" spans="1:71" x14ac:dyDescent="0.25">
      <c r="A46" s="189" t="s">
        <v>643</v>
      </c>
      <c r="B46" s="183" t="s">
        <v>1301</v>
      </c>
      <c r="C46" s="185"/>
      <c r="D46" s="184" t="s">
        <v>643</v>
      </c>
      <c r="E46" s="242">
        <v>1122698.204460935</v>
      </c>
      <c r="F46" s="241"/>
      <c r="G46" s="184"/>
      <c r="H46" s="242">
        <v>1021520.0917700001</v>
      </c>
      <c r="I46" s="243"/>
      <c r="J46" s="244"/>
      <c r="K46" s="242">
        <v>165046.83893788958</v>
      </c>
      <c r="L46" s="230"/>
      <c r="M46" s="242">
        <v>156625.60300000003</v>
      </c>
      <c r="N46" s="245">
        <v>114799.8484799389</v>
      </c>
      <c r="O46" s="244"/>
      <c r="P46" s="242">
        <v>542785.37855495838</v>
      </c>
      <c r="Q46" s="230"/>
      <c r="R46" s="242">
        <v>556526.18742000009</v>
      </c>
      <c r="S46" s="245">
        <v>533973.00255932659</v>
      </c>
      <c r="T46" s="244"/>
      <c r="U46" s="242">
        <v>702585.16754798498</v>
      </c>
      <c r="V46" s="230"/>
      <c r="W46" s="242">
        <v>667630.56742000009</v>
      </c>
      <c r="X46" s="245">
        <v>643500.22442259418</v>
      </c>
      <c r="Y46" s="244"/>
      <c r="Z46" s="242">
        <v>845617.45976559562</v>
      </c>
      <c r="AA46" s="230"/>
      <c r="AB46" s="242">
        <v>764800.6274199998</v>
      </c>
      <c r="AC46" s="245">
        <v>731993.21988098929</v>
      </c>
      <c r="AD46" s="244"/>
      <c r="AE46" s="242">
        <v>956032.20311316103</v>
      </c>
      <c r="AF46" s="230"/>
      <c r="AG46" s="242">
        <v>820956.36257</v>
      </c>
      <c r="AH46" s="245">
        <v>681464.40400973731</v>
      </c>
      <c r="AI46" s="244"/>
      <c r="AJ46" s="242">
        <v>997453.24010427808</v>
      </c>
      <c r="AK46" s="230"/>
      <c r="AL46" s="242">
        <v>867534.84756999998</v>
      </c>
      <c r="AM46" s="245">
        <v>727075.03813735046</v>
      </c>
      <c r="AN46" s="244"/>
      <c r="AO46" s="242">
        <v>1047923.4271668852</v>
      </c>
      <c r="AP46" s="230"/>
      <c r="AQ46" s="242">
        <v>906518.46256999997</v>
      </c>
      <c r="AR46" s="245">
        <v>770003.0452220313</v>
      </c>
      <c r="AS46" s="244"/>
      <c r="AT46" s="242">
        <v>1122698.204460935</v>
      </c>
      <c r="AU46" s="230"/>
      <c r="AV46" s="242">
        <v>918763.89756999991</v>
      </c>
      <c r="AW46" s="245">
        <v>1061735.8839581918</v>
      </c>
      <c r="AX46" s="244"/>
      <c r="AY46" s="242">
        <v>1122698.204460935</v>
      </c>
      <c r="AZ46" s="230"/>
      <c r="BA46" s="242">
        <v>1009686.52157</v>
      </c>
      <c r="BB46" s="245">
        <v>1061735.8839581918</v>
      </c>
      <c r="BC46" s="244"/>
      <c r="BD46" s="242">
        <v>1122698.204460935</v>
      </c>
      <c r="BE46" s="230"/>
      <c r="BF46" s="242">
        <v>1014901.12157</v>
      </c>
      <c r="BG46" s="245">
        <v>1061735.8839581918</v>
      </c>
      <c r="BH46" s="244"/>
      <c r="BI46" s="242">
        <v>1122698.204460935</v>
      </c>
      <c r="BJ46" s="230"/>
      <c r="BK46" s="242">
        <v>1020375.61177</v>
      </c>
      <c r="BL46" s="245">
        <v>1061735.8839581918</v>
      </c>
      <c r="BM46" s="244"/>
      <c r="BN46" s="242">
        <v>1122698.204460935</v>
      </c>
      <c r="BO46" s="230"/>
      <c r="BP46" s="242">
        <v>1021520.0917700001</v>
      </c>
      <c r="BQ46" s="245">
        <v>1122698.204460935</v>
      </c>
    </row>
    <row r="47" spans="1:71" x14ac:dyDescent="0.25">
      <c r="I47" s="98"/>
    </row>
    <row r="48" spans="1:71" x14ac:dyDescent="0.25">
      <c r="A48" s="98"/>
      <c r="B48" s="98"/>
      <c r="C48" s="187" t="s">
        <v>1306</v>
      </c>
      <c r="D48" s="187" t="s">
        <v>1307</v>
      </c>
      <c r="E48" s="187" t="s">
        <v>1304</v>
      </c>
      <c r="G48" s="101"/>
      <c r="I48" s="98"/>
    </row>
    <row r="49" spans="1:9" x14ac:dyDescent="0.25">
      <c r="A49" s="98"/>
      <c r="B49" s="246">
        <v>40787</v>
      </c>
      <c r="C49" s="236">
        <v>165046.83893788958</v>
      </c>
      <c r="D49" s="236">
        <v>114799.8484799389</v>
      </c>
      <c r="E49" s="236">
        <v>156625.60300000003</v>
      </c>
      <c r="G49" s="101"/>
      <c r="H49" s="190"/>
      <c r="I49" s="190"/>
    </row>
    <row r="50" spans="1:9" x14ac:dyDescent="0.25">
      <c r="A50" s="98"/>
      <c r="B50" s="246">
        <v>40817</v>
      </c>
      <c r="C50" s="236">
        <v>542785.37855495838</v>
      </c>
      <c r="D50" s="236">
        <v>533973.00255932659</v>
      </c>
      <c r="E50" s="236">
        <v>556526.18742000009</v>
      </c>
      <c r="G50" s="101"/>
      <c r="H50" s="190"/>
      <c r="I50" s="190"/>
    </row>
    <row r="51" spans="1:9" x14ac:dyDescent="0.25">
      <c r="A51" s="98"/>
      <c r="B51" s="246">
        <v>40848</v>
      </c>
      <c r="C51" s="236">
        <v>702585.16754798498</v>
      </c>
      <c r="D51" s="236">
        <v>643500.22442259418</v>
      </c>
      <c r="E51" s="236">
        <v>667630.56742000009</v>
      </c>
      <c r="G51" s="101"/>
      <c r="H51" s="190"/>
      <c r="I51" s="190"/>
    </row>
    <row r="52" spans="1:9" x14ac:dyDescent="0.25">
      <c r="A52" s="98"/>
      <c r="B52" s="246">
        <v>40878</v>
      </c>
      <c r="C52" s="236">
        <v>845617.45976559562</v>
      </c>
      <c r="D52" s="236">
        <v>731993.21988098929</v>
      </c>
      <c r="E52" s="236">
        <v>764800.6274199998</v>
      </c>
      <c r="G52" s="101"/>
      <c r="H52" s="190"/>
      <c r="I52" s="190"/>
    </row>
    <row r="53" spans="1:9" x14ac:dyDescent="0.25">
      <c r="A53" s="98"/>
      <c r="B53" s="246">
        <v>40909</v>
      </c>
      <c r="C53" s="236">
        <v>956032.20311316103</v>
      </c>
      <c r="D53" s="236">
        <v>681464.40400973731</v>
      </c>
      <c r="E53" s="236">
        <v>820956.36257</v>
      </c>
      <c r="G53" s="101"/>
      <c r="H53" s="190"/>
      <c r="I53" s="190"/>
    </row>
    <row r="54" spans="1:9" x14ac:dyDescent="0.25">
      <c r="A54" s="98"/>
      <c r="B54" s="246">
        <v>40940</v>
      </c>
      <c r="C54" s="236">
        <v>997453.24010427808</v>
      </c>
      <c r="D54" s="236">
        <v>727075.03813735046</v>
      </c>
      <c r="E54" s="236">
        <v>867534.84756999998</v>
      </c>
      <c r="G54" s="101"/>
      <c r="H54" s="190"/>
      <c r="I54" s="190"/>
    </row>
    <row r="55" spans="1:9" x14ac:dyDescent="0.25">
      <c r="A55" s="98"/>
      <c r="B55" s="246">
        <v>40969</v>
      </c>
      <c r="C55" s="236">
        <v>1047923.4271668852</v>
      </c>
      <c r="D55" s="236">
        <v>770003.0452220313</v>
      </c>
      <c r="E55" s="236">
        <v>906518.46256999997</v>
      </c>
      <c r="G55" s="101"/>
      <c r="H55" s="190"/>
      <c r="I55" s="190"/>
    </row>
    <row r="56" spans="1:9" x14ac:dyDescent="0.25">
      <c r="A56" s="98"/>
      <c r="B56" s="246">
        <v>41000</v>
      </c>
      <c r="C56" s="236">
        <v>1122698.204460935</v>
      </c>
      <c r="D56" s="236">
        <v>1061735.8839581918</v>
      </c>
      <c r="E56" s="236">
        <v>918763.89756999991</v>
      </c>
      <c r="G56" s="101"/>
      <c r="H56" s="190"/>
      <c r="I56" s="190"/>
    </row>
    <row r="57" spans="1:9" x14ac:dyDescent="0.25">
      <c r="A57" s="98"/>
      <c r="B57" s="246">
        <v>41030</v>
      </c>
      <c r="C57" s="236">
        <v>1122698.204460935</v>
      </c>
      <c r="D57" s="236">
        <v>1061735.8839581918</v>
      </c>
      <c r="E57" s="236">
        <v>1009686.52157</v>
      </c>
      <c r="G57" s="101"/>
      <c r="H57" s="190"/>
      <c r="I57" s="190"/>
    </row>
    <row r="58" spans="1:9" x14ac:dyDescent="0.25">
      <c r="A58" s="98"/>
      <c r="B58" s="246">
        <v>41061</v>
      </c>
      <c r="C58" s="236">
        <v>1122698.204460935</v>
      </c>
      <c r="D58" s="236">
        <v>1061735.8839581918</v>
      </c>
      <c r="E58" s="236">
        <v>1014901.12157</v>
      </c>
      <c r="G58" s="101"/>
      <c r="H58" s="190"/>
      <c r="I58" s="190"/>
    </row>
    <row r="59" spans="1:9" x14ac:dyDescent="0.25">
      <c r="A59" s="98"/>
      <c r="B59" s="246">
        <v>41091</v>
      </c>
      <c r="C59" s="236">
        <v>1122698.204460935</v>
      </c>
      <c r="D59" s="236">
        <v>1061735.8839581918</v>
      </c>
      <c r="E59" s="236">
        <v>1020375.61177</v>
      </c>
      <c r="G59" s="101"/>
      <c r="H59" s="190"/>
      <c r="I59" s="190"/>
    </row>
    <row r="60" spans="1:9" x14ac:dyDescent="0.25">
      <c r="A60" s="98"/>
      <c r="B60" s="246">
        <v>41122</v>
      </c>
      <c r="C60" s="236">
        <v>1122698.204460935</v>
      </c>
      <c r="D60" s="236">
        <v>1061735.8839581918</v>
      </c>
      <c r="E60" s="236">
        <v>1021520.0917700001</v>
      </c>
      <c r="G60" s="101"/>
      <c r="H60" s="190"/>
      <c r="I60" s="190"/>
    </row>
    <row r="61" spans="1:9" x14ac:dyDescent="0.25">
      <c r="A61" s="98"/>
      <c r="B61" s="246">
        <v>41153</v>
      </c>
      <c r="C61" s="236">
        <v>1122698.204460935</v>
      </c>
      <c r="D61" s="236">
        <v>1061735.8839581918</v>
      </c>
      <c r="E61" s="236">
        <v>1021520.0917700001</v>
      </c>
      <c r="G61" s="101"/>
      <c r="H61" s="190"/>
      <c r="I61" s="190"/>
    </row>
    <row r="62" spans="1:9" x14ac:dyDescent="0.25">
      <c r="A62" s="98"/>
      <c r="B62" s="246">
        <v>41183</v>
      </c>
      <c r="C62" s="236">
        <v>1122698.204460935</v>
      </c>
      <c r="D62" s="236">
        <v>1061735.8839581918</v>
      </c>
      <c r="E62" s="236">
        <v>1021520.0917700001</v>
      </c>
      <c r="G62" s="101"/>
      <c r="H62" s="190"/>
      <c r="I62" s="190"/>
    </row>
    <row r="63" spans="1:9" x14ac:dyDescent="0.25">
      <c r="A63" s="98"/>
      <c r="B63" s="246">
        <v>41214</v>
      </c>
      <c r="C63" s="236">
        <v>1122698.204460935</v>
      </c>
      <c r="D63" s="236">
        <v>1122698.204460935</v>
      </c>
      <c r="E63" s="236">
        <v>1021520.0917700001</v>
      </c>
      <c r="G63" s="101"/>
      <c r="H63" s="190"/>
      <c r="I63" s="1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41F1-CE4E-45EF-A3C6-10426D460E9C}">
  <dimension ref="A1:Y1449"/>
  <sheetViews>
    <sheetView topLeftCell="A6" zoomScale="85" zoomScaleNormal="85" workbookViewId="0">
      <selection activeCell="J33" sqref="J33"/>
    </sheetView>
  </sheetViews>
  <sheetFormatPr defaultColWidth="9.140625" defaultRowHeight="15" x14ac:dyDescent="0.25"/>
  <cols>
    <col min="1" max="1" width="11.5703125" style="98" bestFit="1" customWidth="1"/>
    <col min="2" max="2" width="50.7109375" style="161" customWidth="1"/>
    <col min="3" max="3" width="23.7109375" style="98" bestFit="1" customWidth="1"/>
    <col min="4" max="4" width="6.28515625" style="98" bestFit="1" customWidth="1"/>
    <col min="5" max="5" width="9.140625" style="98" bestFit="1"/>
    <col min="6" max="6" width="10.140625" style="98" bestFit="1" customWidth="1"/>
    <col min="7" max="7" width="11.7109375" style="98" bestFit="1" customWidth="1"/>
    <col min="8" max="8" width="14.140625" style="101" bestFit="1" customWidth="1"/>
    <col min="9" max="9" width="9.7109375" style="98" bestFit="1" customWidth="1"/>
    <col min="10" max="10" width="9.140625" style="101"/>
    <col min="11" max="11" width="14.140625" style="101" bestFit="1" customWidth="1"/>
    <col min="12" max="12" width="13.28515625" style="190" bestFit="1" customWidth="1"/>
    <col min="13" max="19" width="11.5703125" style="190" bestFit="1" customWidth="1"/>
    <col min="20" max="24" width="13.28515625" style="190" bestFit="1" customWidth="1"/>
    <col min="25" max="25" width="0" style="98" hidden="1" customWidth="1"/>
    <col min="26" max="16384" width="9.140625" style="98"/>
  </cols>
  <sheetData>
    <row r="1" spans="1:25" x14ac:dyDescent="0.25">
      <c r="A1" s="100" t="s">
        <v>711</v>
      </c>
      <c r="B1" s="164" t="s">
        <v>298</v>
      </c>
      <c r="C1" s="100" t="s">
        <v>712</v>
      </c>
      <c r="D1" s="100" t="s">
        <v>3</v>
      </c>
      <c r="E1" s="100" t="s">
        <v>6</v>
      </c>
      <c r="F1" s="100" t="s">
        <v>7</v>
      </c>
      <c r="G1" s="100" t="s">
        <v>12</v>
      </c>
      <c r="H1" s="187" t="s">
        <v>673</v>
      </c>
      <c r="K1" s="218" t="s">
        <v>673</v>
      </c>
      <c r="L1" s="221" t="s">
        <v>1295</v>
      </c>
      <c r="M1" s="222">
        <v>40787</v>
      </c>
      <c r="N1" s="222">
        <v>40817</v>
      </c>
      <c r="O1" s="222">
        <v>40848</v>
      </c>
      <c r="P1" s="222">
        <v>40878</v>
      </c>
      <c r="Q1" s="222">
        <v>40909</v>
      </c>
      <c r="R1" s="222">
        <v>40940</v>
      </c>
      <c r="S1" s="222">
        <v>40969</v>
      </c>
      <c r="T1" s="222">
        <v>41000</v>
      </c>
      <c r="U1" s="222">
        <v>41030</v>
      </c>
      <c r="V1" s="222">
        <v>41061</v>
      </c>
      <c r="W1" s="222">
        <v>41091</v>
      </c>
      <c r="X1" s="222">
        <v>41214</v>
      </c>
      <c r="Y1" s="191">
        <v>41244</v>
      </c>
    </row>
    <row r="2" spans="1:25" x14ac:dyDescent="0.25">
      <c r="A2" s="171" t="s">
        <v>643</v>
      </c>
      <c r="B2" s="164" t="s">
        <v>1171</v>
      </c>
      <c r="C2" s="100" t="s">
        <v>643</v>
      </c>
      <c r="D2" s="100" t="s">
        <v>643</v>
      </c>
      <c r="E2" s="172"/>
      <c r="F2" s="172"/>
      <c r="G2" s="173"/>
      <c r="H2" s="187" t="s">
        <v>643</v>
      </c>
      <c r="I2" s="99"/>
      <c r="K2" s="104" t="s">
        <v>643</v>
      </c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</row>
    <row r="3" spans="1:25" x14ac:dyDescent="0.25">
      <c r="A3" s="174">
        <v>40816</v>
      </c>
      <c r="B3" s="161" t="s">
        <v>727</v>
      </c>
      <c r="C3" s="98" t="s">
        <v>728</v>
      </c>
      <c r="D3" s="98" t="s">
        <v>715</v>
      </c>
      <c r="E3" s="175">
        <v>1</v>
      </c>
      <c r="F3" s="175">
        <v>720</v>
      </c>
      <c r="G3" s="176">
        <v>720</v>
      </c>
      <c r="H3" s="101">
        <v>11</v>
      </c>
      <c r="I3" s="99"/>
      <c r="K3" s="104">
        <v>11</v>
      </c>
      <c r="L3" s="220">
        <f t="shared" ref="L3:L45" si="0">SUMIF(H:H,K3,G:G)</f>
        <v>23188.920000000002</v>
      </c>
      <c r="M3" s="220">
        <f>SUMIFS($G:$G,$A:$A,"&lt;"&amp;N$1,$H:$H,$K3)</f>
        <v>720</v>
      </c>
      <c r="N3" s="220">
        <f t="shared" ref="N3:X3" si="1">SUMIFS($G:$G,$A:$A,"&lt;"&amp;O$1,$H:$H,$K3)</f>
        <v>7669.1</v>
      </c>
      <c r="O3" s="220">
        <f t="shared" si="1"/>
        <v>12165</v>
      </c>
      <c r="P3" s="220">
        <f t="shared" si="1"/>
        <v>13592.52</v>
      </c>
      <c r="Q3" s="220">
        <f t="shared" si="1"/>
        <v>13592.52</v>
      </c>
      <c r="R3" s="220">
        <f t="shared" si="1"/>
        <v>15710.37</v>
      </c>
      <c r="S3" s="220">
        <f t="shared" si="1"/>
        <v>19270.52</v>
      </c>
      <c r="T3" s="220">
        <f t="shared" si="1"/>
        <v>20342.920000000002</v>
      </c>
      <c r="U3" s="220">
        <f t="shared" si="1"/>
        <v>20567.320000000003</v>
      </c>
      <c r="V3" s="220">
        <f t="shared" si="1"/>
        <v>23188.920000000002</v>
      </c>
      <c r="W3" s="220">
        <f t="shared" si="1"/>
        <v>23188.920000000002</v>
      </c>
      <c r="X3" s="220">
        <f t="shared" si="1"/>
        <v>23188.920000000002</v>
      </c>
    </row>
    <row r="4" spans="1:25" x14ac:dyDescent="0.25">
      <c r="A4" s="174">
        <v>40837</v>
      </c>
      <c r="B4" s="161" t="s">
        <v>724</v>
      </c>
      <c r="C4" s="98" t="s">
        <v>714</v>
      </c>
      <c r="D4" s="98" t="s">
        <v>715</v>
      </c>
      <c r="E4" s="175">
        <v>1</v>
      </c>
      <c r="F4" s="175">
        <v>6949.1</v>
      </c>
      <c r="G4" s="176">
        <v>6949.1</v>
      </c>
      <c r="H4" s="101">
        <v>11</v>
      </c>
      <c r="K4" s="104">
        <v>13</v>
      </c>
      <c r="L4" s="220">
        <f t="shared" si="0"/>
        <v>5728.34</v>
      </c>
      <c r="M4" s="220">
        <f t="shared" ref="M4:X4" si="2">SUMIFS($G:$G,$A:$A,"&lt;"&amp;N$1,$H:$H,$K4)</f>
        <v>0</v>
      </c>
      <c r="N4" s="220">
        <f t="shared" si="2"/>
        <v>1600</v>
      </c>
      <c r="O4" s="220">
        <f t="shared" si="2"/>
        <v>2769.54</v>
      </c>
      <c r="P4" s="220">
        <f t="shared" si="2"/>
        <v>2769.54</v>
      </c>
      <c r="Q4" s="220">
        <f t="shared" si="2"/>
        <v>4151.4399999999996</v>
      </c>
      <c r="R4" s="220">
        <f t="shared" si="2"/>
        <v>4151.4399999999996</v>
      </c>
      <c r="S4" s="220">
        <f t="shared" si="2"/>
        <v>5728.34</v>
      </c>
      <c r="T4" s="220">
        <f t="shared" si="2"/>
        <v>5728.34</v>
      </c>
      <c r="U4" s="220">
        <f t="shared" si="2"/>
        <v>5728.34</v>
      </c>
      <c r="V4" s="220">
        <f t="shared" si="2"/>
        <v>5728.34</v>
      </c>
      <c r="W4" s="220">
        <f t="shared" si="2"/>
        <v>5728.34</v>
      </c>
      <c r="X4" s="220">
        <f t="shared" si="2"/>
        <v>5728.34</v>
      </c>
    </row>
    <row r="5" spans="1:25" x14ac:dyDescent="0.25">
      <c r="A5" s="174">
        <v>40870</v>
      </c>
      <c r="B5" s="161" t="s">
        <v>713</v>
      </c>
      <c r="C5" s="98" t="s">
        <v>714</v>
      </c>
      <c r="D5" s="98" t="s">
        <v>715</v>
      </c>
      <c r="E5" s="175">
        <v>1</v>
      </c>
      <c r="F5" s="175">
        <v>4495.8999999999996</v>
      </c>
      <c r="G5" s="176">
        <v>4495.8999999999996</v>
      </c>
      <c r="H5" s="101">
        <v>11</v>
      </c>
      <c r="K5" s="104">
        <v>15</v>
      </c>
      <c r="L5" s="220">
        <f t="shared" si="0"/>
        <v>857.5</v>
      </c>
      <c r="M5" s="220">
        <f t="shared" ref="M5:X5" si="3">SUMIFS($G:$G,$A:$A,"&lt;"&amp;N$1,$H:$H,$K5)</f>
        <v>0</v>
      </c>
      <c r="N5" s="220">
        <f t="shared" si="3"/>
        <v>0</v>
      </c>
      <c r="O5" s="220">
        <f t="shared" si="3"/>
        <v>130</v>
      </c>
      <c r="P5" s="220">
        <f t="shared" si="3"/>
        <v>130</v>
      </c>
      <c r="Q5" s="220">
        <f t="shared" si="3"/>
        <v>130</v>
      </c>
      <c r="R5" s="220">
        <f t="shared" si="3"/>
        <v>130</v>
      </c>
      <c r="S5" s="220">
        <f t="shared" si="3"/>
        <v>130</v>
      </c>
      <c r="T5" s="220">
        <f t="shared" si="3"/>
        <v>857.5</v>
      </c>
      <c r="U5" s="220">
        <f t="shared" si="3"/>
        <v>857.5</v>
      </c>
      <c r="V5" s="220">
        <f t="shared" si="3"/>
        <v>857.5</v>
      </c>
      <c r="W5" s="220">
        <f t="shared" si="3"/>
        <v>857.5</v>
      </c>
      <c r="X5" s="220">
        <f t="shared" si="3"/>
        <v>857.5</v>
      </c>
    </row>
    <row r="6" spans="1:25" x14ac:dyDescent="0.25">
      <c r="A6" s="174">
        <v>40891</v>
      </c>
      <c r="B6" s="161" t="s">
        <v>716</v>
      </c>
      <c r="C6" s="98" t="s">
        <v>714</v>
      </c>
      <c r="D6" s="98" t="s">
        <v>715</v>
      </c>
      <c r="E6" s="175">
        <v>1</v>
      </c>
      <c r="F6" s="175">
        <v>1427.52</v>
      </c>
      <c r="G6" s="176">
        <v>1427.52</v>
      </c>
      <c r="H6" s="101">
        <v>11</v>
      </c>
      <c r="K6" s="104">
        <v>22</v>
      </c>
      <c r="L6" s="220">
        <f t="shared" si="0"/>
        <v>13933.58</v>
      </c>
      <c r="M6" s="220">
        <f t="shared" ref="M6:X6" si="4">SUMIFS($G:$G,$A:$A,"&lt;"&amp;N$1,$H:$H,$K6)</f>
        <v>0</v>
      </c>
      <c r="N6" s="220">
        <f t="shared" si="4"/>
        <v>3641.7499999999995</v>
      </c>
      <c r="O6" s="220">
        <f t="shared" si="4"/>
        <v>13933.58</v>
      </c>
      <c r="P6" s="220">
        <f t="shared" si="4"/>
        <v>13933.58</v>
      </c>
      <c r="Q6" s="220">
        <f t="shared" si="4"/>
        <v>13933.58</v>
      </c>
      <c r="R6" s="220">
        <f t="shared" si="4"/>
        <v>13933.58</v>
      </c>
      <c r="S6" s="220">
        <f t="shared" si="4"/>
        <v>13933.58</v>
      </c>
      <c r="T6" s="220">
        <f t="shared" si="4"/>
        <v>13933.58</v>
      </c>
      <c r="U6" s="220">
        <f t="shared" si="4"/>
        <v>13933.58</v>
      </c>
      <c r="V6" s="220">
        <f t="shared" si="4"/>
        <v>13933.58</v>
      </c>
      <c r="W6" s="220">
        <f t="shared" si="4"/>
        <v>13933.58</v>
      </c>
      <c r="X6" s="220">
        <f t="shared" si="4"/>
        <v>13933.58</v>
      </c>
    </row>
    <row r="7" spans="1:25" x14ac:dyDescent="0.25">
      <c r="A7" s="174">
        <v>40961</v>
      </c>
      <c r="B7" s="161" t="s">
        <v>717</v>
      </c>
      <c r="C7" s="98" t="s">
        <v>714</v>
      </c>
      <c r="D7" s="98" t="s">
        <v>715</v>
      </c>
      <c r="E7" s="175">
        <v>1</v>
      </c>
      <c r="F7" s="175">
        <v>1727.85</v>
      </c>
      <c r="G7" s="176">
        <v>1727.85</v>
      </c>
      <c r="H7" s="101">
        <v>11</v>
      </c>
      <c r="K7" s="104">
        <v>31</v>
      </c>
      <c r="L7" s="220">
        <f t="shared" si="0"/>
        <v>72746.429999999993</v>
      </c>
      <c r="M7" s="220">
        <f t="shared" ref="M7:X7" si="5">SUMIFS($G:$G,$A:$A,"&lt;"&amp;N$1,$H:$H,$K7)</f>
        <v>65243.680000000008</v>
      </c>
      <c r="N7" s="220">
        <f t="shared" si="5"/>
        <v>70756.180000000008</v>
      </c>
      <c r="O7" s="220">
        <f t="shared" si="5"/>
        <v>70756.180000000008</v>
      </c>
      <c r="P7" s="220">
        <f t="shared" si="5"/>
        <v>70756.180000000008</v>
      </c>
      <c r="Q7" s="220">
        <f t="shared" si="5"/>
        <v>70756.180000000008</v>
      </c>
      <c r="R7" s="220">
        <f t="shared" si="5"/>
        <v>71161.180000000008</v>
      </c>
      <c r="S7" s="220">
        <f t="shared" si="5"/>
        <v>71161.180000000008</v>
      </c>
      <c r="T7" s="220">
        <f t="shared" si="5"/>
        <v>71161.180000000008</v>
      </c>
      <c r="U7" s="220">
        <f t="shared" si="5"/>
        <v>72746.429999999993</v>
      </c>
      <c r="V7" s="220">
        <f t="shared" si="5"/>
        <v>72746.429999999993</v>
      </c>
      <c r="W7" s="220">
        <f t="shared" si="5"/>
        <v>72746.429999999993</v>
      </c>
      <c r="X7" s="220">
        <f t="shared" si="5"/>
        <v>72746.429999999993</v>
      </c>
    </row>
    <row r="8" spans="1:25" x14ac:dyDescent="0.25">
      <c r="A8" s="174">
        <v>40963</v>
      </c>
      <c r="B8" s="161" t="s">
        <v>718</v>
      </c>
      <c r="C8" s="98" t="s">
        <v>714</v>
      </c>
      <c r="D8" s="98" t="s">
        <v>715</v>
      </c>
      <c r="E8" s="175">
        <v>1</v>
      </c>
      <c r="F8" s="175">
        <v>390</v>
      </c>
      <c r="G8" s="176">
        <v>390</v>
      </c>
      <c r="H8" s="101">
        <v>11</v>
      </c>
      <c r="K8" s="104">
        <v>41</v>
      </c>
      <c r="L8" s="220">
        <f t="shared" si="0"/>
        <v>5217.4750000000004</v>
      </c>
      <c r="M8" s="220">
        <f t="shared" ref="M8:X8" si="6">SUMIFS($G:$G,$A:$A,"&lt;"&amp;N$1,$H:$H,$K8)</f>
        <v>0</v>
      </c>
      <c r="N8" s="220">
        <f t="shared" si="6"/>
        <v>2852.4749999999999</v>
      </c>
      <c r="O8" s="220">
        <f t="shared" si="6"/>
        <v>5217.4750000000004</v>
      </c>
      <c r="P8" s="220">
        <f t="shared" si="6"/>
        <v>5217.4750000000004</v>
      </c>
      <c r="Q8" s="220">
        <f t="shared" si="6"/>
        <v>5217.4750000000004</v>
      </c>
      <c r="R8" s="220">
        <f t="shared" si="6"/>
        <v>5217.4750000000004</v>
      </c>
      <c r="S8" s="220">
        <f t="shared" si="6"/>
        <v>5217.4750000000004</v>
      </c>
      <c r="T8" s="220">
        <f t="shared" si="6"/>
        <v>5217.4750000000004</v>
      </c>
      <c r="U8" s="220">
        <f t="shared" si="6"/>
        <v>5217.4750000000004</v>
      </c>
      <c r="V8" s="220">
        <f t="shared" si="6"/>
        <v>5217.4750000000004</v>
      </c>
      <c r="W8" s="220">
        <f t="shared" si="6"/>
        <v>5217.4750000000004</v>
      </c>
      <c r="X8" s="220">
        <f t="shared" si="6"/>
        <v>5217.4750000000004</v>
      </c>
    </row>
    <row r="9" spans="1:25" x14ac:dyDescent="0.25">
      <c r="A9" s="174">
        <v>40980</v>
      </c>
      <c r="B9" s="161" t="s">
        <v>725</v>
      </c>
      <c r="C9" s="98" t="s">
        <v>714</v>
      </c>
      <c r="D9" s="98" t="s">
        <v>715</v>
      </c>
      <c r="E9" s="175">
        <v>1</v>
      </c>
      <c r="F9" s="175">
        <v>3560.15</v>
      </c>
      <c r="G9" s="176">
        <v>3560.15</v>
      </c>
      <c r="H9" s="101">
        <v>11</v>
      </c>
      <c r="K9" s="104">
        <v>53</v>
      </c>
      <c r="L9" s="220">
        <f t="shared" si="0"/>
        <v>43727.489650000025</v>
      </c>
      <c r="M9" s="220">
        <f t="shared" ref="M9:X9" si="7">SUMIFS($G:$G,$A:$A,"&lt;"&amp;N$1,$H:$H,$K9)</f>
        <v>1276.8</v>
      </c>
      <c r="N9" s="220">
        <f t="shared" si="7"/>
        <v>30926.475000000002</v>
      </c>
      <c r="O9" s="220">
        <f t="shared" si="7"/>
        <v>33731.475000000006</v>
      </c>
      <c r="P9" s="220">
        <f t="shared" si="7"/>
        <v>33731.475000000006</v>
      </c>
      <c r="Q9" s="220">
        <f t="shared" si="7"/>
        <v>38619.589650000016</v>
      </c>
      <c r="R9" s="220">
        <f t="shared" si="7"/>
        <v>40212.489650000025</v>
      </c>
      <c r="S9" s="220">
        <f t="shared" si="7"/>
        <v>40527.489650000025</v>
      </c>
      <c r="T9" s="220">
        <f t="shared" si="7"/>
        <v>42327.489650000025</v>
      </c>
      <c r="U9" s="220">
        <f t="shared" si="7"/>
        <v>43727.489650000025</v>
      </c>
      <c r="V9" s="220">
        <f t="shared" si="7"/>
        <v>43727.489650000025</v>
      </c>
      <c r="W9" s="220">
        <f t="shared" si="7"/>
        <v>43727.489650000025</v>
      </c>
      <c r="X9" s="220">
        <f t="shared" si="7"/>
        <v>43727.489650000025</v>
      </c>
    </row>
    <row r="10" spans="1:25" x14ac:dyDescent="0.25">
      <c r="A10" s="174">
        <v>41018</v>
      </c>
      <c r="B10" s="161" t="s">
        <v>719</v>
      </c>
      <c r="C10" s="98" t="s">
        <v>714</v>
      </c>
      <c r="D10" s="98" t="s">
        <v>715</v>
      </c>
      <c r="E10" s="175">
        <v>1</v>
      </c>
      <c r="F10" s="175">
        <v>1072.4000000000001</v>
      </c>
      <c r="G10" s="176">
        <v>1072.4000000000001</v>
      </c>
      <c r="H10" s="101">
        <v>11</v>
      </c>
      <c r="K10" s="104">
        <v>55</v>
      </c>
      <c r="L10" s="220">
        <f t="shared" si="0"/>
        <v>0</v>
      </c>
      <c r="M10" s="220">
        <f t="shared" ref="M10:X10" si="8">SUMIFS($G:$G,$A:$A,"&lt;"&amp;N$1,$H:$H,$K10)</f>
        <v>0</v>
      </c>
      <c r="N10" s="220">
        <f t="shared" si="8"/>
        <v>0</v>
      </c>
      <c r="O10" s="220">
        <f t="shared" si="8"/>
        <v>0</v>
      </c>
      <c r="P10" s="220">
        <f t="shared" si="8"/>
        <v>0</v>
      </c>
      <c r="Q10" s="220">
        <f t="shared" si="8"/>
        <v>0</v>
      </c>
      <c r="R10" s="220">
        <f t="shared" si="8"/>
        <v>0</v>
      </c>
      <c r="S10" s="220">
        <f t="shared" si="8"/>
        <v>0</v>
      </c>
      <c r="T10" s="220">
        <f t="shared" si="8"/>
        <v>0</v>
      </c>
      <c r="U10" s="220">
        <f t="shared" si="8"/>
        <v>0</v>
      </c>
      <c r="V10" s="220">
        <f t="shared" si="8"/>
        <v>0</v>
      </c>
      <c r="W10" s="220">
        <f t="shared" si="8"/>
        <v>0</v>
      </c>
      <c r="X10" s="220">
        <f t="shared" si="8"/>
        <v>0</v>
      </c>
    </row>
    <row r="11" spans="1:25" x14ac:dyDescent="0.25">
      <c r="A11" s="174">
        <v>41052</v>
      </c>
      <c r="B11" s="161" t="s">
        <v>720</v>
      </c>
      <c r="C11" s="98" t="s">
        <v>714</v>
      </c>
      <c r="D11" s="98" t="s">
        <v>715</v>
      </c>
      <c r="E11" s="175">
        <v>1</v>
      </c>
      <c r="F11" s="175">
        <v>224.4</v>
      </c>
      <c r="G11" s="176">
        <v>224.4</v>
      </c>
      <c r="H11" s="101">
        <v>11</v>
      </c>
      <c r="K11" s="104">
        <v>61</v>
      </c>
      <c r="L11" s="220">
        <f t="shared" si="0"/>
        <v>26831.599999999999</v>
      </c>
      <c r="M11" s="220">
        <f t="shared" ref="M11:X11" si="9">SUMIFS($G:$G,$A:$A,"&lt;"&amp;N$1,$H:$H,$K11)</f>
        <v>0</v>
      </c>
      <c r="N11" s="220">
        <f t="shared" si="9"/>
        <v>26831.599999999999</v>
      </c>
      <c r="O11" s="220">
        <f t="shared" si="9"/>
        <v>26831.599999999999</v>
      </c>
      <c r="P11" s="220">
        <f t="shared" si="9"/>
        <v>26831.599999999999</v>
      </c>
      <c r="Q11" s="220">
        <f t="shared" si="9"/>
        <v>26831.599999999999</v>
      </c>
      <c r="R11" s="220">
        <f t="shared" si="9"/>
        <v>26831.599999999999</v>
      </c>
      <c r="S11" s="220">
        <f t="shared" si="9"/>
        <v>26831.599999999999</v>
      </c>
      <c r="T11" s="220">
        <f t="shared" si="9"/>
        <v>26831.599999999999</v>
      </c>
      <c r="U11" s="220">
        <f t="shared" si="9"/>
        <v>26831.599999999999</v>
      </c>
      <c r="V11" s="220">
        <f t="shared" si="9"/>
        <v>26831.599999999999</v>
      </c>
      <c r="W11" s="220">
        <f t="shared" si="9"/>
        <v>26831.599999999999</v>
      </c>
      <c r="X11" s="220">
        <f t="shared" si="9"/>
        <v>26831.599999999999</v>
      </c>
    </row>
    <row r="12" spans="1:25" x14ac:dyDescent="0.25">
      <c r="A12" s="174">
        <v>41075</v>
      </c>
      <c r="B12" s="161" t="s">
        <v>726</v>
      </c>
      <c r="C12" s="98" t="s">
        <v>714</v>
      </c>
      <c r="D12" s="98" t="s">
        <v>715</v>
      </c>
      <c r="E12" s="175">
        <v>1</v>
      </c>
      <c r="F12" s="175">
        <v>1102.5999999999999</v>
      </c>
      <c r="G12" s="176">
        <v>1102.5999999999999</v>
      </c>
      <c r="H12" s="101">
        <v>11</v>
      </c>
      <c r="K12" s="104">
        <v>62</v>
      </c>
      <c r="L12" s="220">
        <f t="shared" si="0"/>
        <v>159414.46999999991</v>
      </c>
      <c r="M12" s="220">
        <f t="shared" ref="M12:X12" si="10">SUMIFS($G:$G,$A:$A,"&lt;"&amp;N$1,$H:$H,$K12)</f>
        <v>1127.92</v>
      </c>
      <c r="N12" s="220">
        <f t="shared" si="10"/>
        <v>114398.01000000001</v>
      </c>
      <c r="O12" s="220">
        <f t="shared" si="10"/>
        <v>134531.66</v>
      </c>
      <c r="P12" s="220">
        <f t="shared" si="10"/>
        <v>138382.37</v>
      </c>
      <c r="Q12" s="220">
        <f t="shared" si="10"/>
        <v>152631.495</v>
      </c>
      <c r="R12" s="220">
        <f t="shared" si="10"/>
        <v>158813.51999999993</v>
      </c>
      <c r="S12" s="220">
        <f t="shared" si="10"/>
        <v>158990.26999999993</v>
      </c>
      <c r="T12" s="220">
        <f t="shared" si="10"/>
        <v>159414.46999999991</v>
      </c>
      <c r="U12" s="220">
        <f t="shared" si="10"/>
        <v>159414.46999999991</v>
      </c>
      <c r="V12" s="220">
        <f t="shared" si="10"/>
        <v>159414.46999999991</v>
      </c>
      <c r="W12" s="220">
        <f t="shared" si="10"/>
        <v>159414.46999999991</v>
      </c>
      <c r="X12" s="220">
        <f t="shared" si="10"/>
        <v>159414.46999999991</v>
      </c>
    </row>
    <row r="13" spans="1:25" x14ac:dyDescent="0.25">
      <c r="A13" s="174">
        <v>41075</v>
      </c>
      <c r="B13" s="161" t="s">
        <v>721</v>
      </c>
      <c r="C13" s="98" t="s">
        <v>722</v>
      </c>
      <c r="D13" s="98" t="s">
        <v>715</v>
      </c>
      <c r="E13" s="175">
        <v>1</v>
      </c>
      <c r="F13" s="175">
        <v>1519</v>
      </c>
      <c r="G13" s="176">
        <v>1519</v>
      </c>
      <c r="H13" s="101">
        <v>11</v>
      </c>
      <c r="K13" s="104">
        <v>63</v>
      </c>
      <c r="L13" s="220">
        <f t="shared" si="0"/>
        <v>7087.5150000000003</v>
      </c>
      <c r="M13" s="220">
        <f t="shared" ref="M13:X13" si="11">SUMIFS($G:$G,$A:$A,"&lt;"&amp;N$1,$H:$H,$K13)</f>
        <v>0</v>
      </c>
      <c r="N13" s="220">
        <f t="shared" si="11"/>
        <v>3453.6</v>
      </c>
      <c r="O13" s="220">
        <f t="shared" si="11"/>
        <v>3453.6</v>
      </c>
      <c r="P13" s="220">
        <f t="shared" si="11"/>
        <v>3453.6</v>
      </c>
      <c r="Q13" s="220">
        <f t="shared" si="11"/>
        <v>5602.8150000000005</v>
      </c>
      <c r="R13" s="220">
        <f t="shared" si="11"/>
        <v>5602.8150000000005</v>
      </c>
      <c r="S13" s="220">
        <f t="shared" si="11"/>
        <v>7087.5150000000003</v>
      </c>
      <c r="T13" s="220">
        <f t="shared" si="11"/>
        <v>7087.5150000000003</v>
      </c>
      <c r="U13" s="220">
        <f t="shared" si="11"/>
        <v>7087.5150000000003</v>
      </c>
      <c r="V13" s="220">
        <f t="shared" si="11"/>
        <v>7087.5150000000003</v>
      </c>
      <c r="W13" s="220">
        <f t="shared" si="11"/>
        <v>7087.5150000000003</v>
      </c>
      <c r="X13" s="220">
        <f t="shared" si="11"/>
        <v>7087.5150000000003</v>
      </c>
    </row>
    <row r="14" spans="1:25" x14ac:dyDescent="0.25">
      <c r="A14" s="177" t="s">
        <v>643</v>
      </c>
      <c r="B14" s="178" t="s">
        <v>723</v>
      </c>
      <c r="C14" s="179" t="s">
        <v>643</v>
      </c>
      <c r="D14" s="179" t="s">
        <v>643</v>
      </c>
      <c r="E14" s="180"/>
      <c r="F14" s="180"/>
      <c r="G14" s="181">
        <v>23188.920000000002</v>
      </c>
      <c r="H14" s="188" t="s">
        <v>643</v>
      </c>
      <c r="K14" s="104">
        <v>64</v>
      </c>
      <c r="L14" s="220">
        <f t="shared" si="0"/>
        <v>131081.82</v>
      </c>
      <c r="M14" s="220">
        <f t="shared" ref="M14:X14" si="12">SUMIFS($G:$G,$A:$A,"&lt;"&amp;N$1,$H:$H,$K14)</f>
        <v>0</v>
      </c>
      <c r="N14" s="220">
        <f t="shared" si="12"/>
        <v>69005.5</v>
      </c>
      <c r="O14" s="220">
        <f t="shared" si="12"/>
        <v>69005.5</v>
      </c>
      <c r="P14" s="220">
        <f t="shared" si="12"/>
        <v>125506.06</v>
      </c>
      <c r="Q14" s="220">
        <f t="shared" si="12"/>
        <v>125506.06</v>
      </c>
      <c r="R14" s="220">
        <f t="shared" si="12"/>
        <v>125506.06</v>
      </c>
      <c r="S14" s="220">
        <f t="shared" si="12"/>
        <v>125506.06</v>
      </c>
      <c r="T14" s="220">
        <f t="shared" si="12"/>
        <v>125506.06</v>
      </c>
      <c r="U14" s="220">
        <f t="shared" si="12"/>
        <v>131081.82</v>
      </c>
      <c r="V14" s="220">
        <f t="shared" si="12"/>
        <v>131081.82</v>
      </c>
      <c r="W14" s="220">
        <f t="shared" si="12"/>
        <v>131081.82</v>
      </c>
      <c r="X14" s="220">
        <f t="shared" si="12"/>
        <v>131081.82</v>
      </c>
    </row>
    <row r="15" spans="1:25" x14ac:dyDescent="0.25">
      <c r="A15" s="174" t="s">
        <v>643</v>
      </c>
      <c r="B15" s="161" t="s">
        <v>643</v>
      </c>
      <c r="C15" s="98" t="s">
        <v>643</v>
      </c>
      <c r="D15" s="98" t="s">
        <v>643</v>
      </c>
      <c r="E15" s="175"/>
      <c r="F15" s="175"/>
      <c r="G15" s="176"/>
      <c r="H15" s="101" t="s">
        <v>643</v>
      </c>
      <c r="K15" s="104">
        <v>65</v>
      </c>
      <c r="L15" s="220">
        <f t="shared" si="0"/>
        <v>80088.974000000002</v>
      </c>
      <c r="M15" s="220">
        <f t="shared" ref="M15:X15" si="13">SUMIFS($G:$G,$A:$A,"&lt;"&amp;N$1,$H:$H,$K15)</f>
        <v>0</v>
      </c>
      <c r="N15" s="220">
        <f t="shared" si="13"/>
        <v>0</v>
      </c>
      <c r="O15" s="220">
        <f t="shared" si="13"/>
        <v>0</v>
      </c>
      <c r="P15" s="220">
        <f t="shared" si="13"/>
        <v>0</v>
      </c>
      <c r="Q15" s="220">
        <f t="shared" si="13"/>
        <v>0</v>
      </c>
      <c r="R15" s="220">
        <f t="shared" si="13"/>
        <v>0</v>
      </c>
      <c r="S15" s="220">
        <f t="shared" si="13"/>
        <v>0</v>
      </c>
      <c r="T15" s="220">
        <f t="shared" si="13"/>
        <v>0</v>
      </c>
      <c r="U15" s="220">
        <f t="shared" si="13"/>
        <v>80088.974000000002</v>
      </c>
      <c r="V15" s="220">
        <f t="shared" si="13"/>
        <v>80088.974000000002</v>
      </c>
      <c r="W15" s="220">
        <f t="shared" si="13"/>
        <v>80088.974000000002</v>
      </c>
      <c r="X15" s="220">
        <f t="shared" si="13"/>
        <v>80088.974000000002</v>
      </c>
    </row>
    <row r="16" spans="1:25" x14ac:dyDescent="0.25">
      <c r="A16" s="171" t="s">
        <v>643</v>
      </c>
      <c r="B16" s="164" t="s">
        <v>1172</v>
      </c>
      <c r="C16" s="100" t="s">
        <v>643</v>
      </c>
      <c r="D16" s="100" t="s">
        <v>643</v>
      </c>
      <c r="E16" s="172"/>
      <c r="F16" s="172"/>
      <c r="G16" s="173"/>
      <c r="H16" s="187" t="s">
        <v>643</v>
      </c>
      <c r="K16" s="104">
        <v>66</v>
      </c>
      <c r="L16" s="220">
        <f t="shared" si="0"/>
        <v>2580</v>
      </c>
      <c r="M16" s="220">
        <f t="shared" ref="M16:X16" si="14">SUMIFS($G:$G,$A:$A,"&lt;"&amp;N$1,$H:$H,$K16)</f>
        <v>0</v>
      </c>
      <c r="N16" s="220">
        <f t="shared" si="14"/>
        <v>0</v>
      </c>
      <c r="O16" s="220">
        <f t="shared" si="14"/>
        <v>0</v>
      </c>
      <c r="P16" s="220">
        <f t="shared" si="14"/>
        <v>0</v>
      </c>
      <c r="Q16" s="220">
        <f t="shared" si="14"/>
        <v>0</v>
      </c>
      <c r="R16" s="220">
        <f t="shared" si="14"/>
        <v>2580</v>
      </c>
      <c r="S16" s="220">
        <f t="shared" si="14"/>
        <v>2580</v>
      </c>
      <c r="T16" s="220">
        <f t="shared" si="14"/>
        <v>2580</v>
      </c>
      <c r="U16" s="220">
        <f t="shared" si="14"/>
        <v>2580</v>
      </c>
      <c r="V16" s="220">
        <f t="shared" si="14"/>
        <v>2580</v>
      </c>
      <c r="W16" s="220">
        <f t="shared" si="14"/>
        <v>2580</v>
      </c>
      <c r="X16" s="220">
        <f t="shared" si="14"/>
        <v>2580</v>
      </c>
    </row>
    <row r="17" spans="1:24" x14ac:dyDescent="0.25">
      <c r="A17" s="174">
        <v>40844</v>
      </c>
      <c r="B17" s="161" t="s">
        <v>729</v>
      </c>
      <c r="C17" s="98" t="s">
        <v>730</v>
      </c>
      <c r="D17" s="98" t="s">
        <v>715</v>
      </c>
      <c r="E17" s="175">
        <v>1</v>
      </c>
      <c r="F17" s="175">
        <v>1600</v>
      </c>
      <c r="G17" s="176">
        <v>1600</v>
      </c>
      <c r="H17" s="101">
        <v>13</v>
      </c>
      <c r="K17" s="104">
        <v>67</v>
      </c>
      <c r="L17" s="220">
        <f t="shared" si="0"/>
        <v>6897.4000000000024</v>
      </c>
      <c r="M17" s="220">
        <f t="shared" ref="M17:X17" si="15">SUMIFS($G:$G,$A:$A,"&lt;"&amp;N$1,$H:$H,$K17)</f>
        <v>0</v>
      </c>
      <c r="N17" s="220">
        <f t="shared" si="15"/>
        <v>0</v>
      </c>
      <c r="O17" s="220">
        <f t="shared" si="15"/>
        <v>810</v>
      </c>
      <c r="P17" s="220">
        <f t="shared" si="15"/>
        <v>4862.5</v>
      </c>
      <c r="Q17" s="220">
        <f t="shared" si="15"/>
        <v>6261.1000000000013</v>
      </c>
      <c r="R17" s="220">
        <f t="shared" si="15"/>
        <v>6826.7000000000016</v>
      </c>
      <c r="S17" s="220">
        <f t="shared" si="15"/>
        <v>6897.4000000000024</v>
      </c>
      <c r="T17" s="220">
        <f t="shared" si="15"/>
        <v>6897.4000000000024</v>
      </c>
      <c r="U17" s="220">
        <f t="shared" si="15"/>
        <v>6897.4000000000024</v>
      </c>
      <c r="V17" s="220">
        <f t="shared" si="15"/>
        <v>6897.4000000000024</v>
      </c>
      <c r="W17" s="220">
        <f t="shared" si="15"/>
        <v>6897.4000000000024</v>
      </c>
      <c r="X17" s="220">
        <f t="shared" si="15"/>
        <v>6897.4000000000024</v>
      </c>
    </row>
    <row r="18" spans="1:24" x14ac:dyDescent="0.25">
      <c r="A18" s="174">
        <v>40877</v>
      </c>
      <c r="B18" s="161" t="s">
        <v>731</v>
      </c>
      <c r="C18" s="98" t="s">
        <v>730</v>
      </c>
      <c r="D18" s="98" t="s">
        <v>715</v>
      </c>
      <c r="E18" s="175">
        <v>1</v>
      </c>
      <c r="F18" s="175">
        <v>1169.54</v>
      </c>
      <c r="G18" s="176">
        <v>1169.54</v>
      </c>
      <c r="H18" s="101">
        <v>13</v>
      </c>
      <c r="K18" s="104">
        <v>68</v>
      </c>
      <c r="L18" s="220">
        <f t="shared" si="0"/>
        <v>47892.130000000019</v>
      </c>
      <c r="M18" s="220">
        <f t="shared" ref="M18:X18" si="16">SUMIFS($G:$G,$A:$A,"&lt;"&amp;N$1,$H:$H,$K18)</f>
        <v>225</v>
      </c>
      <c r="N18" s="220">
        <f t="shared" si="16"/>
        <v>16695.645</v>
      </c>
      <c r="O18" s="220">
        <f t="shared" si="16"/>
        <v>47297.130000000019</v>
      </c>
      <c r="P18" s="220">
        <f t="shared" si="16"/>
        <v>47297.130000000019</v>
      </c>
      <c r="Q18" s="220">
        <f t="shared" si="16"/>
        <v>47297.130000000019</v>
      </c>
      <c r="R18" s="220">
        <f t="shared" si="16"/>
        <v>47297.130000000019</v>
      </c>
      <c r="S18" s="220">
        <f t="shared" si="16"/>
        <v>47892.130000000019</v>
      </c>
      <c r="T18" s="220">
        <f t="shared" si="16"/>
        <v>47892.130000000019</v>
      </c>
      <c r="U18" s="220">
        <f t="shared" si="16"/>
        <v>47892.130000000019</v>
      </c>
      <c r="V18" s="220">
        <f t="shared" si="16"/>
        <v>47892.130000000019</v>
      </c>
      <c r="W18" s="220">
        <f t="shared" si="16"/>
        <v>47892.130000000019</v>
      </c>
      <c r="X18" s="220">
        <f t="shared" si="16"/>
        <v>47892.130000000019</v>
      </c>
    </row>
    <row r="19" spans="1:24" x14ac:dyDescent="0.25">
      <c r="A19" s="174">
        <v>40927</v>
      </c>
      <c r="B19" s="161" t="s">
        <v>732</v>
      </c>
      <c r="C19" s="98" t="s">
        <v>733</v>
      </c>
      <c r="D19" s="98" t="s">
        <v>715</v>
      </c>
      <c r="E19" s="175">
        <v>1</v>
      </c>
      <c r="F19" s="175">
        <v>820</v>
      </c>
      <c r="G19" s="176">
        <v>820</v>
      </c>
      <c r="H19" s="101">
        <v>13</v>
      </c>
      <c r="K19" s="104">
        <v>71</v>
      </c>
      <c r="L19" s="220">
        <f t="shared" si="0"/>
        <v>30901.95</v>
      </c>
      <c r="M19" s="220">
        <f t="shared" ref="M19:X19" si="17">SUMIFS($G:$G,$A:$A,"&lt;"&amp;N$1,$H:$H,$K19)</f>
        <v>0</v>
      </c>
      <c r="N19" s="220">
        <f t="shared" si="17"/>
        <v>400</v>
      </c>
      <c r="O19" s="220">
        <f t="shared" si="17"/>
        <v>3520</v>
      </c>
      <c r="P19" s="220">
        <f t="shared" si="17"/>
        <v>3520</v>
      </c>
      <c r="Q19" s="220">
        <f t="shared" si="17"/>
        <v>4081.2499999999995</v>
      </c>
      <c r="R19" s="220">
        <f t="shared" si="17"/>
        <v>6346.9500000000007</v>
      </c>
      <c r="S19" s="220">
        <f t="shared" si="17"/>
        <v>30901.95</v>
      </c>
      <c r="T19" s="220">
        <f t="shared" si="17"/>
        <v>30901.95</v>
      </c>
      <c r="U19" s="220">
        <f t="shared" si="17"/>
        <v>30901.95</v>
      </c>
      <c r="V19" s="220">
        <f t="shared" si="17"/>
        <v>30901.95</v>
      </c>
      <c r="W19" s="220">
        <f t="shared" si="17"/>
        <v>30901.95</v>
      </c>
      <c r="X19" s="220">
        <f t="shared" si="17"/>
        <v>30901.95</v>
      </c>
    </row>
    <row r="20" spans="1:24" x14ac:dyDescent="0.25">
      <c r="A20" s="174">
        <v>40939</v>
      </c>
      <c r="B20" s="161" t="s">
        <v>734</v>
      </c>
      <c r="C20" s="98" t="s">
        <v>730</v>
      </c>
      <c r="D20" s="98" t="s">
        <v>715</v>
      </c>
      <c r="E20" s="175">
        <v>1</v>
      </c>
      <c r="F20" s="175">
        <v>561.9</v>
      </c>
      <c r="G20" s="176">
        <v>561.9</v>
      </c>
      <c r="H20" s="101">
        <v>13</v>
      </c>
      <c r="K20" s="104">
        <v>72</v>
      </c>
      <c r="L20" s="220">
        <f t="shared" si="0"/>
        <v>6696.9850000000006</v>
      </c>
      <c r="M20" s="220">
        <f t="shared" ref="M20:X20" si="18">SUMIFS($G:$G,$A:$A,"&lt;"&amp;N$1,$H:$H,$K20)</f>
        <v>0</v>
      </c>
      <c r="N20" s="220">
        <f t="shared" si="18"/>
        <v>0</v>
      </c>
      <c r="O20" s="220">
        <f t="shared" si="18"/>
        <v>3440.3250000000003</v>
      </c>
      <c r="P20" s="220">
        <f t="shared" si="18"/>
        <v>4851.9850000000006</v>
      </c>
      <c r="Q20" s="220">
        <f t="shared" si="18"/>
        <v>4851.9850000000006</v>
      </c>
      <c r="R20" s="220">
        <f t="shared" si="18"/>
        <v>4851.9850000000006</v>
      </c>
      <c r="S20" s="220">
        <f t="shared" si="18"/>
        <v>4851.9850000000006</v>
      </c>
      <c r="T20" s="220">
        <f t="shared" si="18"/>
        <v>4851.9850000000006</v>
      </c>
      <c r="U20" s="220">
        <f t="shared" si="18"/>
        <v>4851.9850000000006</v>
      </c>
      <c r="V20" s="220">
        <f t="shared" si="18"/>
        <v>6696.9850000000006</v>
      </c>
      <c r="W20" s="220">
        <f t="shared" si="18"/>
        <v>6696.9850000000006</v>
      </c>
      <c r="X20" s="220">
        <f t="shared" si="18"/>
        <v>6696.9850000000006</v>
      </c>
    </row>
    <row r="21" spans="1:24" x14ac:dyDescent="0.25">
      <c r="A21" s="174">
        <v>40999</v>
      </c>
      <c r="B21" s="161" t="s">
        <v>735</v>
      </c>
      <c r="C21" s="98" t="s">
        <v>730</v>
      </c>
      <c r="D21" s="98" t="s">
        <v>715</v>
      </c>
      <c r="E21" s="175">
        <v>1</v>
      </c>
      <c r="F21" s="175">
        <v>1576.9</v>
      </c>
      <c r="G21" s="176">
        <v>1576.9</v>
      </c>
      <c r="H21" s="101">
        <v>13</v>
      </c>
      <c r="K21" s="104">
        <v>73</v>
      </c>
      <c r="L21" s="220">
        <f t="shared" si="0"/>
        <v>11570</v>
      </c>
      <c r="M21" s="220">
        <f t="shared" ref="M21:X21" si="19">SUMIFS($G:$G,$A:$A,"&lt;"&amp;N$1,$H:$H,$K21)</f>
        <v>0</v>
      </c>
      <c r="N21" s="220">
        <f t="shared" si="19"/>
        <v>0</v>
      </c>
      <c r="O21" s="220">
        <f t="shared" si="19"/>
        <v>0</v>
      </c>
      <c r="P21" s="220">
        <f t="shared" si="19"/>
        <v>0</v>
      </c>
      <c r="Q21" s="220">
        <f t="shared" si="19"/>
        <v>0</v>
      </c>
      <c r="R21" s="220">
        <f t="shared" si="19"/>
        <v>0</v>
      </c>
      <c r="S21" s="220">
        <f t="shared" si="19"/>
        <v>3600</v>
      </c>
      <c r="T21" s="220">
        <f t="shared" si="19"/>
        <v>11570</v>
      </c>
      <c r="U21" s="220">
        <f t="shared" si="19"/>
        <v>11570</v>
      </c>
      <c r="V21" s="220">
        <f t="shared" si="19"/>
        <v>11570</v>
      </c>
      <c r="W21" s="220">
        <f t="shared" si="19"/>
        <v>11570</v>
      </c>
      <c r="X21" s="220">
        <f t="shared" si="19"/>
        <v>11570</v>
      </c>
    </row>
    <row r="22" spans="1:24" x14ac:dyDescent="0.25">
      <c r="A22" s="177" t="s">
        <v>643</v>
      </c>
      <c r="B22" s="178" t="s">
        <v>736</v>
      </c>
      <c r="C22" s="179" t="s">
        <v>643</v>
      </c>
      <c r="D22" s="179" t="s">
        <v>643</v>
      </c>
      <c r="E22" s="180"/>
      <c r="F22" s="180"/>
      <c r="G22" s="181">
        <v>6448.34</v>
      </c>
      <c r="H22" s="188" t="s">
        <v>643</v>
      </c>
      <c r="K22" s="104">
        <v>75</v>
      </c>
      <c r="L22" s="220">
        <f t="shared" si="0"/>
        <v>4008.49</v>
      </c>
      <c r="M22" s="220">
        <f t="shared" ref="M22:X22" si="20">SUMIFS($G:$G,$A:$A,"&lt;"&amp;N$1,$H:$H,$K22)</f>
        <v>0</v>
      </c>
      <c r="N22" s="220">
        <f t="shared" si="20"/>
        <v>0</v>
      </c>
      <c r="O22" s="220">
        <f t="shared" si="20"/>
        <v>269.27999999999997</v>
      </c>
      <c r="P22" s="220">
        <f t="shared" si="20"/>
        <v>269.27999999999997</v>
      </c>
      <c r="Q22" s="220">
        <f t="shared" si="20"/>
        <v>711.18</v>
      </c>
      <c r="R22" s="220">
        <f t="shared" si="20"/>
        <v>4008.49</v>
      </c>
      <c r="S22" s="220">
        <f t="shared" si="20"/>
        <v>4008.49</v>
      </c>
      <c r="T22" s="220">
        <f t="shared" si="20"/>
        <v>4008.49</v>
      </c>
      <c r="U22" s="220">
        <f t="shared" si="20"/>
        <v>4008.49</v>
      </c>
      <c r="V22" s="220">
        <f t="shared" si="20"/>
        <v>4008.49</v>
      </c>
      <c r="W22" s="220">
        <f t="shared" si="20"/>
        <v>4008.49</v>
      </c>
      <c r="X22" s="220">
        <f t="shared" si="20"/>
        <v>4008.49</v>
      </c>
    </row>
    <row r="23" spans="1:24" x14ac:dyDescent="0.25">
      <c r="A23" s="174" t="s">
        <v>643</v>
      </c>
      <c r="B23" s="161" t="s">
        <v>643</v>
      </c>
      <c r="C23" s="98" t="s">
        <v>643</v>
      </c>
      <c r="D23" s="98" t="s">
        <v>643</v>
      </c>
      <c r="E23" s="175"/>
      <c r="F23" s="175"/>
      <c r="G23" s="176"/>
      <c r="H23" s="101" t="s">
        <v>643</v>
      </c>
      <c r="K23" s="104">
        <v>81</v>
      </c>
      <c r="L23" s="220">
        <f t="shared" si="0"/>
        <v>34010.799999999996</v>
      </c>
      <c r="M23" s="220">
        <f t="shared" ref="M23:X23" si="21">SUMIFS($G:$G,$A:$A,"&lt;"&amp;N$1,$H:$H,$K23)</f>
        <v>14553.384999999998</v>
      </c>
      <c r="N23" s="220">
        <f t="shared" si="21"/>
        <v>32464.274999999994</v>
      </c>
      <c r="O23" s="220">
        <f t="shared" si="21"/>
        <v>32464.274999999994</v>
      </c>
      <c r="P23" s="220">
        <f t="shared" si="21"/>
        <v>32464.274999999994</v>
      </c>
      <c r="Q23" s="220">
        <f t="shared" si="21"/>
        <v>33440.799999999996</v>
      </c>
      <c r="R23" s="220">
        <f t="shared" si="21"/>
        <v>33440.799999999996</v>
      </c>
      <c r="S23" s="220">
        <f t="shared" si="21"/>
        <v>33440.799999999996</v>
      </c>
      <c r="T23" s="220">
        <f t="shared" si="21"/>
        <v>33440.799999999996</v>
      </c>
      <c r="U23" s="220">
        <f t="shared" si="21"/>
        <v>33440.799999999996</v>
      </c>
      <c r="V23" s="220">
        <f t="shared" si="21"/>
        <v>33440.799999999996</v>
      </c>
      <c r="W23" s="220">
        <f t="shared" si="21"/>
        <v>33440.799999999996</v>
      </c>
      <c r="X23" s="220">
        <f t="shared" si="21"/>
        <v>34010.799999999996</v>
      </c>
    </row>
    <row r="24" spans="1:24" x14ac:dyDescent="0.25">
      <c r="A24" s="171" t="s">
        <v>643</v>
      </c>
      <c r="B24" s="164" t="s">
        <v>1173</v>
      </c>
      <c r="C24" s="100" t="s">
        <v>643</v>
      </c>
      <c r="D24" s="100" t="s">
        <v>643</v>
      </c>
      <c r="E24" s="172"/>
      <c r="F24" s="172"/>
      <c r="G24" s="173"/>
      <c r="H24" s="187" t="s">
        <v>643</v>
      </c>
      <c r="K24" s="104">
        <v>87</v>
      </c>
      <c r="L24" s="220">
        <f t="shared" si="0"/>
        <v>19291.025000000005</v>
      </c>
      <c r="M24" s="220">
        <f t="shared" ref="M24:X24" si="22">SUMIFS($G:$G,$A:$A,"&lt;"&amp;N$1,$H:$H,$K24)</f>
        <v>0</v>
      </c>
      <c r="N24" s="220">
        <f t="shared" si="22"/>
        <v>9624.4650000000001</v>
      </c>
      <c r="O24" s="220">
        <f t="shared" si="22"/>
        <v>10214.465</v>
      </c>
      <c r="P24" s="220">
        <f t="shared" si="22"/>
        <v>10214.465</v>
      </c>
      <c r="Q24" s="220">
        <f t="shared" si="22"/>
        <v>18262.525000000005</v>
      </c>
      <c r="R24" s="220">
        <f t="shared" si="22"/>
        <v>18262.525000000005</v>
      </c>
      <c r="S24" s="220">
        <f t="shared" si="22"/>
        <v>19291.025000000005</v>
      </c>
      <c r="T24" s="220">
        <f t="shared" si="22"/>
        <v>19291.025000000005</v>
      </c>
      <c r="U24" s="220">
        <f t="shared" si="22"/>
        <v>19291.025000000005</v>
      </c>
      <c r="V24" s="220">
        <f t="shared" si="22"/>
        <v>19291.025000000005</v>
      </c>
      <c r="W24" s="220">
        <f t="shared" si="22"/>
        <v>19291.025000000005</v>
      </c>
      <c r="X24" s="220">
        <f t="shared" si="22"/>
        <v>19291.025000000005</v>
      </c>
    </row>
    <row r="25" spans="1:24" x14ac:dyDescent="0.25">
      <c r="A25" s="174">
        <v>40854</v>
      </c>
      <c r="B25" s="161" t="s">
        <v>737</v>
      </c>
      <c r="C25" s="98" t="s">
        <v>738</v>
      </c>
      <c r="D25" s="98" t="s">
        <v>715</v>
      </c>
      <c r="E25" s="175">
        <v>1</v>
      </c>
      <c r="F25" s="175">
        <v>130</v>
      </c>
      <c r="G25" s="176">
        <v>130</v>
      </c>
      <c r="H25" s="101">
        <v>15</v>
      </c>
      <c r="K25" s="104">
        <v>103</v>
      </c>
      <c r="L25" s="220">
        <f t="shared" si="0"/>
        <v>13840</v>
      </c>
      <c r="M25" s="220">
        <f t="shared" ref="M25:X25" si="23">SUMIFS($G:$G,$A:$A,"&lt;"&amp;N$1,$H:$H,$K25)</f>
        <v>0</v>
      </c>
      <c r="N25" s="220">
        <f t="shared" si="23"/>
        <v>0</v>
      </c>
      <c r="O25" s="220">
        <f t="shared" si="23"/>
        <v>0</v>
      </c>
      <c r="P25" s="220">
        <f t="shared" si="23"/>
        <v>13840</v>
      </c>
      <c r="Q25" s="220">
        <f t="shared" si="23"/>
        <v>13840</v>
      </c>
      <c r="R25" s="220">
        <f t="shared" si="23"/>
        <v>13840</v>
      </c>
      <c r="S25" s="220">
        <f t="shared" si="23"/>
        <v>13840</v>
      </c>
      <c r="T25" s="220">
        <f t="shared" si="23"/>
        <v>13840</v>
      </c>
      <c r="U25" s="220">
        <f t="shared" si="23"/>
        <v>13840</v>
      </c>
      <c r="V25" s="220">
        <f t="shared" si="23"/>
        <v>13840</v>
      </c>
      <c r="W25" s="220">
        <f t="shared" si="23"/>
        <v>13840</v>
      </c>
      <c r="X25" s="220">
        <f t="shared" si="23"/>
        <v>13840</v>
      </c>
    </row>
    <row r="26" spans="1:24" x14ac:dyDescent="0.25">
      <c r="A26" s="174">
        <v>41022</v>
      </c>
      <c r="B26" s="161" t="s">
        <v>739</v>
      </c>
      <c r="C26" s="98" t="s">
        <v>738</v>
      </c>
      <c r="D26" s="98" t="s">
        <v>715</v>
      </c>
      <c r="E26" s="175">
        <v>1</v>
      </c>
      <c r="F26" s="175">
        <v>727.5</v>
      </c>
      <c r="G26" s="176">
        <v>727.5</v>
      </c>
      <c r="H26" s="101">
        <v>15</v>
      </c>
      <c r="K26" s="104">
        <v>121</v>
      </c>
      <c r="L26" s="220">
        <f t="shared" si="0"/>
        <v>0</v>
      </c>
      <c r="M26" s="220">
        <f t="shared" ref="M26:X26" si="24">SUMIFS($G:$G,$A:$A,"&lt;"&amp;N$1,$H:$H,$K26)</f>
        <v>0</v>
      </c>
      <c r="N26" s="220">
        <f t="shared" si="24"/>
        <v>0</v>
      </c>
      <c r="O26" s="220">
        <f t="shared" si="24"/>
        <v>0</v>
      </c>
      <c r="P26" s="220">
        <f t="shared" si="24"/>
        <v>0</v>
      </c>
      <c r="Q26" s="220">
        <f t="shared" si="24"/>
        <v>0</v>
      </c>
      <c r="R26" s="220">
        <f t="shared" si="24"/>
        <v>0</v>
      </c>
      <c r="S26" s="220">
        <f t="shared" si="24"/>
        <v>0</v>
      </c>
      <c r="T26" s="220">
        <f t="shared" si="24"/>
        <v>0</v>
      </c>
      <c r="U26" s="220">
        <f t="shared" si="24"/>
        <v>0</v>
      </c>
      <c r="V26" s="220">
        <f t="shared" si="24"/>
        <v>0</v>
      </c>
      <c r="W26" s="220">
        <f t="shared" si="24"/>
        <v>0</v>
      </c>
      <c r="X26" s="220">
        <f t="shared" si="24"/>
        <v>0</v>
      </c>
    </row>
    <row r="27" spans="1:24" x14ac:dyDescent="0.25">
      <c r="A27" s="177" t="s">
        <v>643</v>
      </c>
      <c r="B27" s="178" t="s">
        <v>741</v>
      </c>
      <c r="C27" s="179" t="s">
        <v>643</v>
      </c>
      <c r="D27" s="179" t="s">
        <v>643</v>
      </c>
      <c r="E27" s="180"/>
      <c r="F27" s="180"/>
      <c r="G27" s="181">
        <v>857.5</v>
      </c>
      <c r="H27" s="188" t="s">
        <v>643</v>
      </c>
      <c r="K27" s="104">
        <v>141</v>
      </c>
      <c r="L27" s="220">
        <f t="shared" si="0"/>
        <v>21548.605000000007</v>
      </c>
      <c r="M27" s="220">
        <f t="shared" ref="M27:X27" si="25">SUMIFS($G:$G,$A:$A,"&lt;"&amp;N$1,$H:$H,$K27)</f>
        <v>7903.41</v>
      </c>
      <c r="N27" s="220">
        <f t="shared" si="25"/>
        <v>15179.520000000002</v>
      </c>
      <c r="O27" s="220">
        <f t="shared" si="25"/>
        <v>15497.670000000002</v>
      </c>
      <c r="P27" s="220">
        <f t="shared" si="25"/>
        <v>15497.670000000002</v>
      </c>
      <c r="Q27" s="220">
        <f t="shared" si="25"/>
        <v>19127.455000000005</v>
      </c>
      <c r="R27" s="220">
        <f t="shared" si="25"/>
        <v>21548.605000000007</v>
      </c>
      <c r="S27" s="220">
        <f t="shared" si="25"/>
        <v>21548.605000000007</v>
      </c>
      <c r="T27" s="220">
        <f t="shared" si="25"/>
        <v>21548.605000000007</v>
      </c>
      <c r="U27" s="220">
        <f t="shared" si="25"/>
        <v>21548.605000000007</v>
      </c>
      <c r="V27" s="220">
        <f t="shared" si="25"/>
        <v>21548.605000000007</v>
      </c>
      <c r="W27" s="220">
        <f t="shared" si="25"/>
        <v>21548.605000000007</v>
      </c>
      <c r="X27" s="220">
        <f t="shared" si="25"/>
        <v>21548.605000000007</v>
      </c>
    </row>
    <row r="28" spans="1:24" x14ac:dyDescent="0.25">
      <c r="A28" s="174" t="s">
        <v>643</v>
      </c>
      <c r="B28" s="161" t="s">
        <v>643</v>
      </c>
      <c r="C28" s="98" t="s">
        <v>643</v>
      </c>
      <c r="D28" s="98" t="s">
        <v>643</v>
      </c>
      <c r="E28" s="175"/>
      <c r="F28" s="175"/>
      <c r="G28" s="176"/>
      <c r="H28" s="101" t="s">
        <v>643</v>
      </c>
      <c r="K28" s="104">
        <v>151</v>
      </c>
      <c r="L28" s="220">
        <f t="shared" si="0"/>
        <v>0</v>
      </c>
      <c r="M28" s="220">
        <f t="shared" ref="M28:X28" si="26">SUMIFS($G:$G,$A:$A,"&lt;"&amp;N$1,$H:$H,$K28)</f>
        <v>0</v>
      </c>
      <c r="N28" s="220">
        <f t="shared" si="26"/>
        <v>0</v>
      </c>
      <c r="O28" s="220">
        <f t="shared" si="26"/>
        <v>0</v>
      </c>
      <c r="P28" s="220">
        <f t="shared" si="26"/>
        <v>0</v>
      </c>
      <c r="Q28" s="220">
        <f t="shared" si="26"/>
        <v>0</v>
      </c>
      <c r="R28" s="220">
        <f t="shared" si="26"/>
        <v>0</v>
      </c>
      <c r="S28" s="220">
        <f t="shared" si="26"/>
        <v>0</v>
      </c>
      <c r="T28" s="220">
        <f t="shared" si="26"/>
        <v>0</v>
      </c>
      <c r="U28" s="220">
        <f t="shared" si="26"/>
        <v>0</v>
      </c>
      <c r="V28" s="220">
        <f t="shared" si="26"/>
        <v>0</v>
      </c>
      <c r="W28" s="220">
        <f t="shared" si="26"/>
        <v>0</v>
      </c>
      <c r="X28" s="220">
        <f t="shared" si="26"/>
        <v>0</v>
      </c>
    </row>
    <row r="29" spans="1:24" x14ac:dyDescent="0.25">
      <c r="A29" s="171" t="s">
        <v>643</v>
      </c>
      <c r="B29" s="164" t="s">
        <v>1174</v>
      </c>
      <c r="C29" s="100" t="s">
        <v>643</v>
      </c>
      <c r="D29" s="100" t="s">
        <v>643</v>
      </c>
      <c r="E29" s="172"/>
      <c r="F29" s="172"/>
      <c r="G29" s="173"/>
      <c r="H29" s="187" t="s">
        <v>643</v>
      </c>
      <c r="K29" s="104">
        <v>181</v>
      </c>
      <c r="L29" s="220">
        <f t="shared" si="0"/>
        <v>59053.170200000008</v>
      </c>
      <c r="M29" s="220">
        <f t="shared" ref="M29:X29" si="27">SUMIFS($G:$G,$A:$A,"&lt;"&amp;N$1,$H:$H,$K29)</f>
        <v>19480.190000000002</v>
      </c>
      <c r="N29" s="220">
        <f t="shared" si="27"/>
        <v>38187.170000000013</v>
      </c>
      <c r="O29" s="220">
        <f t="shared" si="27"/>
        <v>42587.170000000013</v>
      </c>
      <c r="P29" s="220">
        <f t="shared" si="27"/>
        <v>56447.170000000013</v>
      </c>
      <c r="Q29" s="220">
        <f t="shared" si="27"/>
        <v>56447.170000000013</v>
      </c>
      <c r="R29" s="220">
        <f t="shared" si="27"/>
        <v>56447.170000000013</v>
      </c>
      <c r="S29" s="220">
        <f t="shared" si="27"/>
        <v>56447.170000000013</v>
      </c>
      <c r="T29" s="220">
        <f t="shared" si="27"/>
        <v>56447.170000000013</v>
      </c>
      <c r="U29" s="220">
        <f t="shared" si="27"/>
        <v>56447.170000000013</v>
      </c>
      <c r="V29" s="220">
        <f t="shared" si="27"/>
        <v>56447.170000000013</v>
      </c>
      <c r="W29" s="220">
        <f t="shared" si="27"/>
        <v>59053.170200000008</v>
      </c>
      <c r="X29" s="220">
        <f t="shared" si="27"/>
        <v>59053.170200000008</v>
      </c>
    </row>
    <row r="30" spans="1:24" x14ac:dyDescent="0.25">
      <c r="A30" s="174">
        <v>40847</v>
      </c>
      <c r="B30" s="161" t="s">
        <v>742</v>
      </c>
      <c r="C30" s="98" t="s">
        <v>8</v>
      </c>
      <c r="D30" s="98" t="s">
        <v>26</v>
      </c>
      <c r="E30" s="175">
        <v>8</v>
      </c>
      <c r="F30" s="175">
        <v>44.2</v>
      </c>
      <c r="G30" s="176">
        <v>353.6</v>
      </c>
      <c r="H30" s="101">
        <v>22</v>
      </c>
      <c r="K30" s="104">
        <v>182</v>
      </c>
      <c r="L30" s="220">
        <f t="shared" si="0"/>
        <v>11490</v>
      </c>
      <c r="M30" s="220">
        <f t="shared" ref="M30:X30" si="28">SUMIFS($G:$G,$A:$A,"&lt;"&amp;N$1,$H:$H,$K30)</f>
        <v>0</v>
      </c>
      <c r="N30" s="220">
        <f t="shared" si="28"/>
        <v>0</v>
      </c>
      <c r="O30" s="220">
        <f t="shared" si="28"/>
        <v>11490</v>
      </c>
      <c r="P30" s="220">
        <f t="shared" si="28"/>
        <v>11490</v>
      </c>
      <c r="Q30" s="220">
        <f t="shared" si="28"/>
        <v>11490</v>
      </c>
      <c r="R30" s="220">
        <f t="shared" si="28"/>
        <v>11490</v>
      </c>
      <c r="S30" s="220">
        <f t="shared" si="28"/>
        <v>11490</v>
      </c>
      <c r="T30" s="220">
        <f t="shared" si="28"/>
        <v>11490</v>
      </c>
      <c r="U30" s="220">
        <f t="shared" si="28"/>
        <v>11490</v>
      </c>
      <c r="V30" s="220">
        <f t="shared" si="28"/>
        <v>11490</v>
      </c>
      <c r="W30" s="220">
        <f t="shared" si="28"/>
        <v>11490</v>
      </c>
      <c r="X30" s="220">
        <f t="shared" si="28"/>
        <v>11490</v>
      </c>
    </row>
    <row r="31" spans="1:24" x14ac:dyDescent="0.25">
      <c r="A31" s="174">
        <v>40847</v>
      </c>
      <c r="B31" s="161" t="s">
        <v>743</v>
      </c>
      <c r="C31" s="98" t="s">
        <v>744</v>
      </c>
      <c r="D31" s="98" t="s">
        <v>26</v>
      </c>
      <c r="E31" s="175">
        <v>6</v>
      </c>
      <c r="F31" s="175">
        <v>145</v>
      </c>
      <c r="G31" s="176">
        <v>870</v>
      </c>
      <c r="H31" s="101">
        <v>22</v>
      </c>
      <c r="K31" s="104">
        <v>902</v>
      </c>
      <c r="L31" s="220">
        <f t="shared" si="0"/>
        <v>49348.499499999991</v>
      </c>
      <c r="M31" s="220">
        <f t="shared" ref="M31:X31" si="29">SUMIFS($G:$G,$A:$A,"&lt;"&amp;N$1,$H:$H,$K31)</f>
        <v>12970.119999999997</v>
      </c>
      <c r="N31" s="220">
        <f t="shared" si="29"/>
        <v>35735.185000000012</v>
      </c>
      <c r="O31" s="220">
        <f t="shared" si="29"/>
        <v>39554.665000000008</v>
      </c>
      <c r="P31" s="220">
        <f t="shared" si="29"/>
        <v>39899.615000000005</v>
      </c>
      <c r="Q31" s="220">
        <f t="shared" si="29"/>
        <v>43042.109499999999</v>
      </c>
      <c r="R31" s="220">
        <f t="shared" si="29"/>
        <v>46146.659499999994</v>
      </c>
      <c r="S31" s="220">
        <f t="shared" si="29"/>
        <v>47158.294499999982</v>
      </c>
      <c r="T31" s="220">
        <f t="shared" si="29"/>
        <v>47409.629499999981</v>
      </c>
      <c r="U31" s="220">
        <f t="shared" si="29"/>
        <v>47625.059499999981</v>
      </c>
      <c r="V31" s="220">
        <f t="shared" si="29"/>
        <v>47625.059499999981</v>
      </c>
      <c r="W31" s="220">
        <f t="shared" si="29"/>
        <v>48774.019499999988</v>
      </c>
      <c r="X31" s="220">
        <f t="shared" si="29"/>
        <v>49348.499499999991</v>
      </c>
    </row>
    <row r="32" spans="1:24" x14ac:dyDescent="0.25">
      <c r="A32" s="174">
        <v>40847</v>
      </c>
      <c r="B32" s="161" t="s">
        <v>745</v>
      </c>
      <c r="C32" s="98" t="s">
        <v>8</v>
      </c>
      <c r="D32" s="98" t="s">
        <v>26</v>
      </c>
      <c r="E32" s="175">
        <v>8</v>
      </c>
      <c r="F32" s="175">
        <v>35.35</v>
      </c>
      <c r="G32" s="176">
        <v>282.8</v>
      </c>
      <c r="H32" s="101">
        <v>22</v>
      </c>
      <c r="K32" s="104">
        <v>903</v>
      </c>
      <c r="L32" s="220">
        <f t="shared" si="0"/>
        <v>11252.710000000003</v>
      </c>
      <c r="M32" s="220">
        <f t="shared" ref="M32:X32" si="30">SUMIFS($G:$G,$A:$A,"&lt;"&amp;N$1,$H:$H,$K32)</f>
        <v>729.39</v>
      </c>
      <c r="N32" s="220">
        <f t="shared" si="30"/>
        <v>4316.9500000000007</v>
      </c>
      <c r="O32" s="220">
        <f t="shared" si="30"/>
        <v>9551.7900000000009</v>
      </c>
      <c r="P32" s="220">
        <f t="shared" si="30"/>
        <v>9892.6900000000023</v>
      </c>
      <c r="Q32" s="220">
        <f t="shared" si="30"/>
        <v>10745.110000000004</v>
      </c>
      <c r="R32" s="220">
        <f t="shared" si="30"/>
        <v>11027.910000000003</v>
      </c>
      <c r="S32" s="220">
        <f t="shared" si="30"/>
        <v>11133.960000000003</v>
      </c>
      <c r="T32" s="220">
        <f t="shared" si="30"/>
        <v>11133.960000000003</v>
      </c>
      <c r="U32" s="220">
        <f t="shared" si="30"/>
        <v>11133.960000000003</v>
      </c>
      <c r="V32" s="220">
        <f t="shared" si="30"/>
        <v>11133.960000000003</v>
      </c>
      <c r="W32" s="220">
        <f t="shared" si="30"/>
        <v>11252.710000000003</v>
      </c>
      <c r="X32" s="220">
        <f t="shared" si="30"/>
        <v>11252.710000000003</v>
      </c>
    </row>
    <row r="33" spans="1:24" x14ac:dyDescent="0.25">
      <c r="A33" s="174">
        <v>40847</v>
      </c>
      <c r="B33" s="161" t="s">
        <v>745</v>
      </c>
      <c r="C33" s="98" t="s">
        <v>8</v>
      </c>
      <c r="D33" s="98" t="s">
        <v>26</v>
      </c>
      <c r="E33" s="175">
        <v>8</v>
      </c>
      <c r="F33" s="175">
        <v>35.35</v>
      </c>
      <c r="G33" s="176">
        <v>282.8</v>
      </c>
      <c r="H33" s="101">
        <v>22</v>
      </c>
      <c r="K33" s="104">
        <v>904</v>
      </c>
      <c r="L33" s="220">
        <f t="shared" si="0"/>
        <v>5722.72</v>
      </c>
      <c r="M33" s="220">
        <f t="shared" ref="M33:X33" si="31">SUMIFS($G:$G,$A:$A,"&lt;"&amp;N$1,$H:$H,$K33)</f>
        <v>3922</v>
      </c>
      <c r="N33" s="220">
        <f t="shared" si="31"/>
        <v>5722.72</v>
      </c>
      <c r="O33" s="220">
        <f t="shared" si="31"/>
        <v>5722.72</v>
      </c>
      <c r="P33" s="220">
        <f t="shared" si="31"/>
        <v>5722.72</v>
      </c>
      <c r="Q33" s="220">
        <f t="shared" si="31"/>
        <v>5722.72</v>
      </c>
      <c r="R33" s="220">
        <f t="shared" si="31"/>
        <v>5722.72</v>
      </c>
      <c r="S33" s="220">
        <f t="shared" si="31"/>
        <v>5722.72</v>
      </c>
      <c r="T33" s="220">
        <f t="shared" si="31"/>
        <v>5722.72</v>
      </c>
      <c r="U33" s="220">
        <f t="shared" si="31"/>
        <v>5722.72</v>
      </c>
      <c r="V33" s="220">
        <f t="shared" si="31"/>
        <v>5722.72</v>
      </c>
      <c r="W33" s="220">
        <f t="shared" si="31"/>
        <v>5722.72</v>
      </c>
      <c r="X33" s="220">
        <f t="shared" si="31"/>
        <v>5722.72</v>
      </c>
    </row>
    <row r="34" spans="1:24" x14ac:dyDescent="0.25">
      <c r="A34" s="174">
        <v>40847</v>
      </c>
      <c r="B34" s="161" t="s">
        <v>746</v>
      </c>
      <c r="C34" s="98" t="s">
        <v>747</v>
      </c>
      <c r="D34" s="98" t="s">
        <v>26</v>
      </c>
      <c r="E34" s="175">
        <v>6.5</v>
      </c>
      <c r="F34" s="175">
        <v>85</v>
      </c>
      <c r="G34" s="176">
        <v>552.5</v>
      </c>
      <c r="H34" s="101">
        <v>22</v>
      </c>
      <c r="K34" s="104">
        <v>905</v>
      </c>
      <c r="L34" s="220">
        <f t="shared" si="0"/>
        <v>5849.1779999999999</v>
      </c>
      <c r="M34" s="220">
        <f t="shared" ref="M34:X34" si="32">SUMIFS($G:$G,$A:$A,"&lt;"&amp;N$1,$H:$H,$K34)</f>
        <v>3377.058</v>
      </c>
      <c r="N34" s="220">
        <f t="shared" si="32"/>
        <v>3810.4480000000003</v>
      </c>
      <c r="O34" s="220">
        <f t="shared" si="32"/>
        <v>4399.7980000000007</v>
      </c>
      <c r="P34" s="220">
        <f t="shared" si="32"/>
        <v>4469.2980000000007</v>
      </c>
      <c r="Q34" s="220">
        <f t="shared" si="32"/>
        <v>5479.2179999999998</v>
      </c>
      <c r="R34" s="220">
        <f t="shared" si="32"/>
        <v>5744.1880000000001</v>
      </c>
      <c r="S34" s="220">
        <f t="shared" si="32"/>
        <v>5837.8180000000002</v>
      </c>
      <c r="T34" s="220">
        <f t="shared" si="32"/>
        <v>5837.8180000000002</v>
      </c>
      <c r="U34" s="220">
        <f t="shared" si="32"/>
        <v>5837.8180000000002</v>
      </c>
      <c r="V34" s="220">
        <f t="shared" si="32"/>
        <v>5837.8180000000002</v>
      </c>
      <c r="W34" s="220">
        <f t="shared" si="32"/>
        <v>5849.1779999999999</v>
      </c>
      <c r="X34" s="220">
        <f t="shared" si="32"/>
        <v>5849.1779999999999</v>
      </c>
    </row>
    <row r="35" spans="1:24" x14ac:dyDescent="0.25">
      <c r="A35" s="174">
        <v>40847</v>
      </c>
      <c r="B35" s="161" t="s">
        <v>748</v>
      </c>
      <c r="C35" s="98" t="s">
        <v>747</v>
      </c>
      <c r="D35" s="98" t="s">
        <v>26</v>
      </c>
      <c r="E35" s="175">
        <v>6.5</v>
      </c>
      <c r="F35" s="175">
        <v>90</v>
      </c>
      <c r="G35" s="176">
        <v>585</v>
      </c>
      <c r="H35" s="101">
        <v>22</v>
      </c>
      <c r="K35" s="104">
        <v>907</v>
      </c>
      <c r="L35" s="220">
        <f t="shared" si="0"/>
        <v>10703.960000000003</v>
      </c>
      <c r="M35" s="220">
        <f t="shared" ref="M35:X35" si="33">SUMIFS($G:$G,$A:$A,"&lt;"&amp;N$1,$H:$H,$K35)</f>
        <v>5153.88</v>
      </c>
      <c r="N35" s="220">
        <f t="shared" si="33"/>
        <v>9205.9900000000034</v>
      </c>
      <c r="O35" s="220">
        <f t="shared" si="33"/>
        <v>10026.460000000003</v>
      </c>
      <c r="P35" s="220">
        <f t="shared" si="33"/>
        <v>10026.460000000003</v>
      </c>
      <c r="Q35" s="220">
        <f t="shared" si="33"/>
        <v>10401.460000000003</v>
      </c>
      <c r="R35" s="220">
        <f t="shared" si="33"/>
        <v>10703.960000000003</v>
      </c>
      <c r="S35" s="220">
        <f t="shared" si="33"/>
        <v>10703.960000000003</v>
      </c>
      <c r="T35" s="220">
        <f t="shared" si="33"/>
        <v>10703.960000000003</v>
      </c>
      <c r="U35" s="220">
        <f t="shared" si="33"/>
        <v>10703.960000000003</v>
      </c>
      <c r="V35" s="220">
        <f t="shared" si="33"/>
        <v>10703.960000000003</v>
      </c>
      <c r="W35" s="220">
        <f t="shared" si="33"/>
        <v>10703.960000000003</v>
      </c>
      <c r="X35" s="220">
        <f t="shared" si="33"/>
        <v>10703.960000000003</v>
      </c>
    </row>
    <row r="36" spans="1:24" x14ac:dyDescent="0.25">
      <c r="A36" s="174">
        <v>40847</v>
      </c>
      <c r="B36" s="161" t="s">
        <v>749</v>
      </c>
      <c r="C36" s="98" t="s">
        <v>750</v>
      </c>
      <c r="D36" s="98" t="s">
        <v>26</v>
      </c>
      <c r="E36" s="175">
        <v>3</v>
      </c>
      <c r="F36" s="175">
        <v>125</v>
      </c>
      <c r="G36" s="176">
        <v>375</v>
      </c>
      <c r="H36" s="101">
        <v>22</v>
      </c>
      <c r="K36" s="104" t="s">
        <v>694</v>
      </c>
      <c r="L36" s="220">
        <f t="shared" si="0"/>
        <v>3904.88</v>
      </c>
      <c r="M36" s="220">
        <f t="shared" ref="M36:X36" si="34">SUMIFS($G:$G,$A:$A,"&lt;"&amp;N$1,$H:$H,$K36)</f>
        <v>0</v>
      </c>
      <c r="N36" s="220">
        <f t="shared" si="34"/>
        <v>1214.48</v>
      </c>
      <c r="O36" s="220">
        <f t="shared" si="34"/>
        <v>1649.48</v>
      </c>
      <c r="P36" s="220">
        <f t="shared" si="34"/>
        <v>1649.48</v>
      </c>
      <c r="Q36" s="220">
        <f t="shared" si="34"/>
        <v>1649.48</v>
      </c>
      <c r="R36" s="220">
        <f t="shared" si="34"/>
        <v>2623.88</v>
      </c>
      <c r="S36" s="220">
        <f t="shared" si="34"/>
        <v>2623.88</v>
      </c>
      <c r="T36" s="220">
        <f t="shared" si="34"/>
        <v>2623.88</v>
      </c>
      <c r="U36" s="220">
        <f t="shared" si="34"/>
        <v>3904.88</v>
      </c>
      <c r="V36" s="220">
        <f t="shared" si="34"/>
        <v>3904.88</v>
      </c>
      <c r="W36" s="220">
        <f t="shared" si="34"/>
        <v>3904.88</v>
      </c>
      <c r="X36" s="220">
        <f t="shared" si="34"/>
        <v>3904.88</v>
      </c>
    </row>
    <row r="37" spans="1:24" x14ac:dyDescent="0.25">
      <c r="A37" s="174">
        <v>40847</v>
      </c>
      <c r="B37" s="161" t="s">
        <v>346</v>
      </c>
      <c r="C37" s="98" t="s">
        <v>751</v>
      </c>
      <c r="D37" s="98" t="s">
        <v>26</v>
      </c>
      <c r="E37" s="175">
        <v>8</v>
      </c>
      <c r="F37" s="175">
        <v>26.46</v>
      </c>
      <c r="G37" s="176">
        <v>211.68</v>
      </c>
      <c r="H37" s="101">
        <v>22</v>
      </c>
      <c r="K37" s="104" t="s">
        <v>697</v>
      </c>
      <c r="L37" s="220">
        <f t="shared" si="0"/>
        <v>46335.419999999991</v>
      </c>
      <c r="M37" s="220">
        <f t="shared" ref="M37:X37" si="35">SUMIFS($G:$G,$A:$A,"&lt;"&amp;N$1,$H:$H,$K37)</f>
        <v>4207.2</v>
      </c>
      <c r="N37" s="220">
        <f t="shared" si="35"/>
        <v>20954.319999999996</v>
      </c>
      <c r="O37" s="220">
        <f t="shared" si="35"/>
        <v>24312.399999999998</v>
      </c>
      <c r="P37" s="220">
        <f t="shared" si="35"/>
        <v>24869.199999999997</v>
      </c>
      <c r="Q37" s="220">
        <f t="shared" si="35"/>
        <v>29756.399999999998</v>
      </c>
      <c r="R37" s="220">
        <f t="shared" si="35"/>
        <v>44698.399999999994</v>
      </c>
      <c r="S37" s="220">
        <f t="shared" si="35"/>
        <v>45507.999999999993</v>
      </c>
      <c r="T37" s="220">
        <f t="shared" si="35"/>
        <v>45507.999999999993</v>
      </c>
      <c r="U37" s="220">
        <f t="shared" si="35"/>
        <v>45507.999999999993</v>
      </c>
      <c r="V37" s="220">
        <f t="shared" si="35"/>
        <v>45665.999999999993</v>
      </c>
      <c r="W37" s="220">
        <f t="shared" si="35"/>
        <v>46335.419999999991</v>
      </c>
      <c r="X37" s="220">
        <f t="shared" si="35"/>
        <v>46335.419999999991</v>
      </c>
    </row>
    <row r="38" spans="1:24" x14ac:dyDescent="0.25">
      <c r="A38" s="174">
        <v>40847</v>
      </c>
      <c r="B38" s="161" t="s">
        <v>359</v>
      </c>
      <c r="C38" s="98" t="s">
        <v>752</v>
      </c>
      <c r="D38" s="98" t="s">
        <v>26</v>
      </c>
      <c r="E38" s="175">
        <v>11</v>
      </c>
      <c r="F38" s="175">
        <v>11.67</v>
      </c>
      <c r="G38" s="176">
        <v>128.37</v>
      </c>
      <c r="H38" s="101">
        <v>22</v>
      </c>
      <c r="K38" s="104" t="s">
        <v>691</v>
      </c>
      <c r="L38" s="220">
        <f t="shared" si="0"/>
        <v>5390.78</v>
      </c>
      <c r="M38" s="220">
        <f t="shared" ref="M38:X38" si="36">SUMIFS($G:$G,$A:$A,"&lt;"&amp;N$1,$H:$H,$K38)</f>
        <v>31.28</v>
      </c>
      <c r="N38" s="220">
        <f t="shared" si="36"/>
        <v>31.28</v>
      </c>
      <c r="O38" s="220">
        <f t="shared" si="36"/>
        <v>31.28</v>
      </c>
      <c r="P38" s="220">
        <f t="shared" si="36"/>
        <v>31.28</v>
      </c>
      <c r="Q38" s="220">
        <f t="shared" si="36"/>
        <v>5390.78</v>
      </c>
      <c r="R38" s="220">
        <f t="shared" si="36"/>
        <v>5390.78</v>
      </c>
      <c r="S38" s="220">
        <f t="shared" si="36"/>
        <v>5390.78</v>
      </c>
      <c r="T38" s="220">
        <f t="shared" si="36"/>
        <v>5390.78</v>
      </c>
      <c r="U38" s="220">
        <f t="shared" si="36"/>
        <v>5390.78</v>
      </c>
      <c r="V38" s="220">
        <f t="shared" si="36"/>
        <v>5390.78</v>
      </c>
      <c r="W38" s="220">
        <f t="shared" si="36"/>
        <v>5390.78</v>
      </c>
      <c r="X38" s="220">
        <f t="shared" si="36"/>
        <v>5390.78</v>
      </c>
    </row>
    <row r="39" spans="1:24" x14ac:dyDescent="0.25">
      <c r="A39" s="174">
        <v>40848</v>
      </c>
      <c r="B39" s="161" t="s">
        <v>359</v>
      </c>
      <c r="C39" s="98" t="s">
        <v>752</v>
      </c>
      <c r="D39" s="98" t="s">
        <v>26</v>
      </c>
      <c r="E39" s="175">
        <v>8</v>
      </c>
      <c r="F39" s="175">
        <v>11.67</v>
      </c>
      <c r="G39" s="176">
        <v>93.36</v>
      </c>
      <c r="H39" s="101">
        <v>22</v>
      </c>
      <c r="K39" s="104" t="s">
        <v>693</v>
      </c>
      <c r="L39" s="220">
        <f t="shared" si="0"/>
        <v>12410</v>
      </c>
      <c r="M39" s="220">
        <f t="shared" ref="M39:X39" si="37">SUMIFS($G:$G,$A:$A,"&lt;"&amp;N$1,$H:$H,$K39)</f>
        <v>0</v>
      </c>
      <c r="N39" s="220">
        <f t="shared" si="37"/>
        <v>12410</v>
      </c>
      <c r="O39" s="220">
        <f t="shared" si="37"/>
        <v>12410</v>
      </c>
      <c r="P39" s="220">
        <f t="shared" si="37"/>
        <v>12410</v>
      </c>
      <c r="Q39" s="220">
        <f t="shared" si="37"/>
        <v>12410</v>
      </c>
      <c r="R39" s="220">
        <f t="shared" si="37"/>
        <v>12410</v>
      </c>
      <c r="S39" s="220">
        <f t="shared" si="37"/>
        <v>12410</v>
      </c>
      <c r="T39" s="220">
        <f t="shared" si="37"/>
        <v>12410</v>
      </c>
      <c r="U39" s="220">
        <f t="shared" si="37"/>
        <v>12410</v>
      </c>
      <c r="V39" s="220">
        <f t="shared" si="37"/>
        <v>12410</v>
      </c>
      <c r="W39" s="220">
        <f t="shared" si="37"/>
        <v>12410</v>
      </c>
      <c r="X39" s="220">
        <f t="shared" si="37"/>
        <v>12410</v>
      </c>
    </row>
    <row r="40" spans="1:24" x14ac:dyDescent="0.25">
      <c r="A40" s="174">
        <v>40848</v>
      </c>
      <c r="B40" s="161" t="s">
        <v>742</v>
      </c>
      <c r="C40" s="98" t="s">
        <v>8</v>
      </c>
      <c r="D40" s="98" t="s">
        <v>26</v>
      </c>
      <c r="E40" s="175">
        <v>8</v>
      </c>
      <c r="F40" s="175">
        <v>44.2</v>
      </c>
      <c r="G40" s="176">
        <v>353.6</v>
      </c>
      <c r="H40" s="101">
        <v>22</v>
      </c>
      <c r="K40" s="104" t="s">
        <v>1169</v>
      </c>
      <c r="L40" s="220">
        <f t="shared" si="0"/>
        <v>3182.03</v>
      </c>
      <c r="M40" s="220">
        <f t="shared" ref="M40:X40" si="38">SUMIFS($G:$G,$A:$A,"&lt;"&amp;N$1,$H:$H,$K40)</f>
        <v>0</v>
      </c>
      <c r="N40" s="220">
        <f t="shared" si="38"/>
        <v>0</v>
      </c>
      <c r="O40" s="220">
        <f t="shared" si="38"/>
        <v>0</v>
      </c>
      <c r="P40" s="220">
        <f t="shared" si="38"/>
        <v>0</v>
      </c>
      <c r="Q40" s="220">
        <f t="shared" si="38"/>
        <v>0</v>
      </c>
      <c r="R40" s="220">
        <f t="shared" si="38"/>
        <v>3182.03</v>
      </c>
      <c r="S40" s="220">
        <f t="shared" si="38"/>
        <v>3182.03</v>
      </c>
      <c r="T40" s="220">
        <f t="shared" si="38"/>
        <v>3182.03</v>
      </c>
      <c r="U40" s="220">
        <f t="shared" si="38"/>
        <v>3182.03</v>
      </c>
      <c r="V40" s="220">
        <f t="shared" si="38"/>
        <v>3182.03</v>
      </c>
      <c r="W40" s="220">
        <f t="shared" si="38"/>
        <v>3182.03</v>
      </c>
      <c r="X40" s="220">
        <f t="shared" si="38"/>
        <v>3182.03</v>
      </c>
    </row>
    <row r="41" spans="1:24" x14ac:dyDescent="0.25">
      <c r="A41" s="174">
        <v>40848</v>
      </c>
      <c r="B41" s="161" t="s">
        <v>753</v>
      </c>
      <c r="C41" s="98" t="s">
        <v>747</v>
      </c>
      <c r="D41" s="98" t="s">
        <v>26</v>
      </c>
      <c r="E41" s="175">
        <v>5.5</v>
      </c>
      <c r="F41" s="175">
        <v>85</v>
      </c>
      <c r="G41" s="176">
        <v>467.5</v>
      </c>
      <c r="H41" s="101">
        <v>22</v>
      </c>
      <c r="K41" s="104" t="s">
        <v>692</v>
      </c>
      <c r="L41" s="220">
        <f t="shared" si="0"/>
        <v>4651.9454200000009</v>
      </c>
      <c r="M41" s="220">
        <f t="shared" ref="M41:X41" si="39">SUMIFS($G:$G,$A:$A,"&lt;"&amp;N$1,$H:$H,$K41)</f>
        <v>0</v>
      </c>
      <c r="N41" s="220">
        <f t="shared" si="39"/>
        <v>2674.7594200000003</v>
      </c>
      <c r="O41" s="220">
        <f t="shared" si="39"/>
        <v>2674.7594200000003</v>
      </c>
      <c r="P41" s="220">
        <f t="shared" si="39"/>
        <v>3589.7194200000004</v>
      </c>
      <c r="Q41" s="220">
        <f t="shared" si="39"/>
        <v>4651.9454200000009</v>
      </c>
      <c r="R41" s="220">
        <f t="shared" si="39"/>
        <v>4651.9454200000009</v>
      </c>
      <c r="S41" s="220">
        <f t="shared" si="39"/>
        <v>4651.9454200000009</v>
      </c>
      <c r="T41" s="220">
        <f t="shared" si="39"/>
        <v>4651.9454200000009</v>
      </c>
      <c r="U41" s="220">
        <f t="shared" si="39"/>
        <v>4651.9454200000009</v>
      </c>
      <c r="V41" s="220">
        <f t="shared" si="39"/>
        <v>4651.9454200000009</v>
      </c>
      <c r="W41" s="220">
        <f t="shared" si="39"/>
        <v>4651.9454200000009</v>
      </c>
      <c r="X41" s="220">
        <f t="shared" si="39"/>
        <v>4651.9454200000009</v>
      </c>
    </row>
    <row r="42" spans="1:24" x14ac:dyDescent="0.25">
      <c r="A42" s="174">
        <v>40848</v>
      </c>
      <c r="B42" s="161" t="s">
        <v>749</v>
      </c>
      <c r="C42" s="98" t="s">
        <v>750</v>
      </c>
      <c r="D42" s="98" t="s">
        <v>26</v>
      </c>
      <c r="E42" s="175">
        <v>8</v>
      </c>
      <c r="F42" s="175">
        <v>95</v>
      </c>
      <c r="G42" s="176">
        <v>760</v>
      </c>
      <c r="H42" s="101">
        <v>22</v>
      </c>
      <c r="K42" s="104" t="s">
        <v>695</v>
      </c>
      <c r="L42" s="220">
        <f t="shared" si="0"/>
        <v>15444.99</v>
      </c>
      <c r="M42" s="220">
        <f t="shared" ref="M42:X42" si="40">SUMIFS($G:$G,$A:$A,"&lt;"&amp;N$1,$H:$H,$K42)</f>
        <v>11024.789999999999</v>
      </c>
      <c r="N42" s="220">
        <f t="shared" si="40"/>
        <v>11604.789999999999</v>
      </c>
      <c r="O42" s="220">
        <f t="shared" si="40"/>
        <v>11604.789999999999</v>
      </c>
      <c r="P42" s="220">
        <f t="shared" si="40"/>
        <v>11604.789999999999</v>
      </c>
      <c r="Q42" s="220">
        <f t="shared" si="40"/>
        <v>13347.289999999999</v>
      </c>
      <c r="R42" s="220">
        <f t="shared" si="40"/>
        <v>15444.99</v>
      </c>
      <c r="S42" s="220">
        <f t="shared" si="40"/>
        <v>15444.99</v>
      </c>
      <c r="T42" s="220">
        <f t="shared" si="40"/>
        <v>15444.99</v>
      </c>
      <c r="U42" s="220">
        <f t="shared" si="40"/>
        <v>15444.99</v>
      </c>
      <c r="V42" s="220">
        <f t="shared" si="40"/>
        <v>15444.99</v>
      </c>
      <c r="W42" s="220">
        <f t="shared" si="40"/>
        <v>15444.99</v>
      </c>
      <c r="X42" s="220">
        <f t="shared" si="40"/>
        <v>15444.99</v>
      </c>
    </row>
    <row r="43" spans="1:24" x14ac:dyDescent="0.25">
      <c r="A43" s="174">
        <v>40848</v>
      </c>
      <c r="B43" s="161" t="s">
        <v>557</v>
      </c>
      <c r="C43" s="98" t="s">
        <v>747</v>
      </c>
      <c r="D43" s="98" t="s">
        <v>26</v>
      </c>
      <c r="E43" s="175">
        <v>5.5</v>
      </c>
      <c r="F43" s="175">
        <v>55</v>
      </c>
      <c r="G43" s="176">
        <v>302.5</v>
      </c>
      <c r="H43" s="101">
        <v>22</v>
      </c>
      <c r="K43" s="104" t="s">
        <v>698</v>
      </c>
      <c r="L43" s="220">
        <f t="shared" si="0"/>
        <v>920</v>
      </c>
      <c r="M43" s="220">
        <f t="shared" ref="M43:X43" si="41">SUMIFS($G:$G,$A:$A,"&lt;"&amp;N$1,$H:$H,$K43)</f>
        <v>0</v>
      </c>
      <c r="N43" s="220">
        <f t="shared" si="41"/>
        <v>0</v>
      </c>
      <c r="O43" s="220">
        <f t="shared" si="41"/>
        <v>0</v>
      </c>
      <c r="P43" s="220">
        <f t="shared" si="41"/>
        <v>0</v>
      </c>
      <c r="Q43" s="220">
        <f t="shared" si="41"/>
        <v>0</v>
      </c>
      <c r="R43" s="220">
        <f t="shared" si="41"/>
        <v>0</v>
      </c>
      <c r="S43" s="220">
        <f t="shared" si="41"/>
        <v>0</v>
      </c>
      <c r="T43" s="220">
        <f t="shared" si="41"/>
        <v>0</v>
      </c>
      <c r="U43" s="220">
        <f t="shared" si="41"/>
        <v>0</v>
      </c>
      <c r="V43" s="220">
        <f t="shared" si="41"/>
        <v>0</v>
      </c>
      <c r="W43" s="220">
        <f t="shared" si="41"/>
        <v>920</v>
      </c>
      <c r="X43" s="220">
        <f t="shared" si="41"/>
        <v>920</v>
      </c>
    </row>
    <row r="44" spans="1:24" x14ac:dyDescent="0.25">
      <c r="A44" s="174">
        <v>40849</v>
      </c>
      <c r="B44" s="161" t="s">
        <v>754</v>
      </c>
      <c r="C44" s="98" t="s">
        <v>747</v>
      </c>
      <c r="D44" s="98" t="s">
        <v>26</v>
      </c>
      <c r="E44" s="175">
        <v>8</v>
      </c>
      <c r="F44" s="175">
        <v>55</v>
      </c>
      <c r="G44" s="176">
        <v>440</v>
      </c>
      <c r="H44" s="101">
        <v>22</v>
      </c>
      <c r="K44" s="104" t="s">
        <v>699</v>
      </c>
      <c r="L44" s="220">
        <f t="shared" si="0"/>
        <v>1141.81</v>
      </c>
      <c r="M44" s="220">
        <f t="shared" ref="M44:X44" si="42">SUMIFS($G:$G,$A:$A,"&lt;"&amp;N$1,$H:$H,$K44)</f>
        <v>0</v>
      </c>
      <c r="N44" s="220">
        <f t="shared" si="42"/>
        <v>0</v>
      </c>
      <c r="O44" s="220">
        <f t="shared" si="42"/>
        <v>0</v>
      </c>
      <c r="P44" s="220">
        <f t="shared" si="42"/>
        <v>0</v>
      </c>
      <c r="Q44" s="220">
        <f t="shared" si="42"/>
        <v>0</v>
      </c>
      <c r="R44" s="220">
        <f t="shared" si="42"/>
        <v>0</v>
      </c>
      <c r="S44" s="220">
        <f t="shared" si="42"/>
        <v>0</v>
      </c>
      <c r="T44" s="220">
        <f t="shared" si="42"/>
        <v>0</v>
      </c>
      <c r="U44" s="220">
        <f t="shared" si="42"/>
        <v>551.80999999999995</v>
      </c>
      <c r="V44" s="220">
        <f t="shared" si="42"/>
        <v>1141.81</v>
      </c>
      <c r="W44" s="220">
        <f t="shared" si="42"/>
        <v>1141.81</v>
      </c>
      <c r="X44" s="220">
        <f t="shared" si="42"/>
        <v>1141.81</v>
      </c>
    </row>
    <row r="45" spans="1:24" x14ac:dyDescent="0.25">
      <c r="A45" s="174">
        <v>40849</v>
      </c>
      <c r="B45" s="161" t="s">
        <v>742</v>
      </c>
      <c r="C45" s="98" t="s">
        <v>8</v>
      </c>
      <c r="D45" s="98" t="s">
        <v>26</v>
      </c>
      <c r="E45" s="175">
        <v>8</v>
      </c>
      <c r="F45" s="175">
        <v>44.2</v>
      </c>
      <c r="G45" s="176">
        <v>353.6</v>
      </c>
      <c r="H45" s="101">
        <v>22</v>
      </c>
      <c r="K45" s="104" t="s">
        <v>696</v>
      </c>
      <c r="L45" s="220">
        <f t="shared" si="0"/>
        <v>5576.5</v>
      </c>
      <c r="M45" s="220">
        <f t="shared" ref="M45:X45" si="43">SUMIFS($G:$G,$A:$A,"&lt;"&amp;N$1,$H:$H,$K45)</f>
        <v>4679.5</v>
      </c>
      <c r="N45" s="220">
        <f t="shared" si="43"/>
        <v>5159.5</v>
      </c>
      <c r="O45" s="220">
        <f t="shared" si="43"/>
        <v>5576.5</v>
      </c>
      <c r="P45" s="220">
        <f t="shared" si="43"/>
        <v>5576.5</v>
      </c>
      <c r="Q45" s="220">
        <f t="shared" si="43"/>
        <v>5576.5</v>
      </c>
      <c r="R45" s="220">
        <f t="shared" si="43"/>
        <v>5576.5</v>
      </c>
      <c r="S45" s="220">
        <f t="shared" si="43"/>
        <v>5576.5</v>
      </c>
      <c r="T45" s="220">
        <f t="shared" si="43"/>
        <v>5576.5</v>
      </c>
      <c r="U45" s="220">
        <f t="shared" si="43"/>
        <v>5576.5</v>
      </c>
      <c r="V45" s="220">
        <f t="shared" si="43"/>
        <v>5576.5</v>
      </c>
      <c r="W45" s="220">
        <f t="shared" si="43"/>
        <v>5576.5</v>
      </c>
      <c r="X45" s="220">
        <f t="shared" si="43"/>
        <v>5576.5</v>
      </c>
    </row>
    <row r="46" spans="1:24" x14ac:dyDescent="0.25">
      <c r="A46" s="174">
        <v>40849</v>
      </c>
      <c r="B46" s="161" t="s">
        <v>557</v>
      </c>
      <c r="C46" s="98" t="s">
        <v>747</v>
      </c>
      <c r="D46" s="98" t="s">
        <v>26</v>
      </c>
      <c r="E46" s="175">
        <v>8</v>
      </c>
      <c r="F46" s="175">
        <v>85</v>
      </c>
      <c r="G46" s="176">
        <v>680</v>
      </c>
      <c r="H46" s="101">
        <v>22</v>
      </c>
      <c r="K46" s="218" t="s">
        <v>1170</v>
      </c>
      <c r="L46" s="219">
        <f t="shared" ref="L46:X46" si="44">SUM(L3:L45)</f>
        <v>1021520.0917700001</v>
      </c>
      <c r="M46" s="219">
        <f t="shared" si="44"/>
        <v>156625.60300000003</v>
      </c>
      <c r="N46" s="219">
        <f t="shared" si="44"/>
        <v>556526.18742000009</v>
      </c>
      <c r="O46" s="219">
        <f t="shared" si="44"/>
        <v>667630.56742000009</v>
      </c>
      <c r="P46" s="219">
        <f t="shared" si="44"/>
        <v>764800.6274199998</v>
      </c>
      <c r="Q46" s="219">
        <f t="shared" si="44"/>
        <v>820956.36257</v>
      </c>
      <c r="R46" s="219">
        <f t="shared" si="44"/>
        <v>867534.84756999998</v>
      </c>
      <c r="S46" s="219">
        <f t="shared" si="44"/>
        <v>906518.46256999997</v>
      </c>
      <c r="T46" s="219">
        <f t="shared" si="44"/>
        <v>918763.89756999991</v>
      </c>
      <c r="U46" s="219">
        <f t="shared" si="44"/>
        <v>1009686.52157</v>
      </c>
      <c r="V46" s="219">
        <f t="shared" si="44"/>
        <v>1014901.12157</v>
      </c>
      <c r="W46" s="219">
        <f t="shared" si="44"/>
        <v>1020375.61177</v>
      </c>
      <c r="X46" s="219">
        <f t="shared" si="44"/>
        <v>1021520.0917700001</v>
      </c>
    </row>
    <row r="47" spans="1:24" x14ac:dyDescent="0.25">
      <c r="A47" s="174">
        <v>40849</v>
      </c>
      <c r="B47" s="161" t="s">
        <v>745</v>
      </c>
      <c r="C47" s="98" t="s">
        <v>8</v>
      </c>
      <c r="D47" s="98" t="s">
        <v>26</v>
      </c>
      <c r="E47" s="175">
        <v>8</v>
      </c>
      <c r="F47" s="175">
        <v>35.35</v>
      </c>
      <c r="G47" s="176">
        <v>282.8</v>
      </c>
      <c r="H47" s="101">
        <v>22</v>
      </c>
      <c r="K47"/>
    </row>
    <row r="48" spans="1:24" x14ac:dyDescent="0.25">
      <c r="A48" s="174">
        <v>40849</v>
      </c>
      <c r="B48" s="161" t="s">
        <v>749</v>
      </c>
      <c r="C48" s="98" t="s">
        <v>750</v>
      </c>
      <c r="D48" s="98" t="s">
        <v>26</v>
      </c>
      <c r="E48" s="175">
        <v>8</v>
      </c>
      <c r="F48" s="175">
        <v>95</v>
      </c>
      <c r="G48" s="176">
        <v>760</v>
      </c>
      <c r="H48" s="101">
        <v>22</v>
      </c>
      <c r="K48"/>
    </row>
    <row r="49" spans="1:11" x14ac:dyDescent="0.25">
      <c r="A49" s="174">
        <v>40849</v>
      </c>
      <c r="B49" s="161" t="s">
        <v>745</v>
      </c>
      <c r="C49" s="98" t="s">
        <v>8</v>
      </c>
      <c r="D49" s="98" t="s">
        <v>26</v>
      </c>
      <c r="E49" s="175">
        <v>8</v>
      </c>
      <c r="F49" s="175">
        <v>35.35</v>
      </c>
      <c r="G49" s="176">
        <v>282.8</v>
      </c>
      <c r="H49" s="101">
        <v>22</v>
      </c>
      <c r="K49"/>
    </row>
    <row r="50" spans="1:11" x14ac:dyDescent="0.25">
      <c r="A50" s="174">
        <v>40850</v>
      </c>
      <c r="B50" s="161" t="s">
        <v>755</v>
      </c>
      <c r="C50" s="98" t="s">
        <v>747</v>
      </c>
      <c r="D50" s="98" t="s">
        <v>26</v>
      </c>
      <c r="E50" s="175">
        <v>8</v>
      </c>
      <c r="F50" s="175">
        <v>90</v>
      </c>
      <c r="G50" s="176">
        <v>720</v>
      </c>
      <c r="H50" s="101">
        <v>22</v>
      </c>
      <c r="K50"/>
    </row>
    <row r="51" spans="1:11" x14ac:dyDescent="0.25">
      <c r="A51" s="174">
        <v>40850</v>
      </c>
      <c r="B51" s="161" t="s">
        <v>756</v>
      </c>
      <c r="C51" s="98" t="s">
        <v>750</v>
      </c>
      <c r="D51" s="98" t="s">
        <v>26</v>
      </c>
      <c r="E51" s="175">
        <v>8</v>
      </c>
      <c r="F51" s="175">
        <v>95</v>
      </c>
      <c r="G51" s="176">
        <v>760</v>
      </c>
      <c r="H51" s="101">
        <v>22</v>
      </c>
      <c r="K51"/>
    </row>
    <row r="52" spans="1:11" x14ac:dyDescent="0.25">
      <c r="A52" s="174">
        <v>40850</v>
      </c>
      <c r="B52" s="161" t="s">
        <v>742</v>
      </c>
      <c r="C52" s="98" t="s">
        <v>8</v>
      </c>
      <c r="D52" s="98" t="s">
        <v>26</v>
      </c>
      <c r="E52" s="175">
        <v>8</v>
      </c>
      <c r="F52" s="175">
        <v>44.2</v>
      </c>
      <c r="G52" s="176">
        <v>353.6</v>
      </c>
      <c r="H52" s="101">
        <v>22</v>
      </c>
      <c r="K52"/>
    </row>
    <row r="53" spans="1:11" x14ac:dyDescent="0.25">
      <c r="A53" s="174">
        <v>40850</v>
      </c>
      <c r="B53" s="161" t="s">
        <v>745</v>
      </c>
      <c r="C53" s="98" t="s">
        <v>8</v>
      </c>
      <c r="D53" s="98" t="s">
        <v>26</v>
      </c>
      <c r="E53" s="175">
        <v>8</v>
      </c>
      <c r="F53" s="175">
        <v>35.35</v>
      </c>
      <c r="G53" s="176">
        <v>282.8</v>
      </c>
      <c r="H53" s="101">
        <v>22</v>
      </c>
      <c r="K53"/>
    </row>
    <row r="54" spans="1:11" x14ac:dyDescent="0.25">
      <c r="A54" s="174">
        <v>40850</v>
      </c>
      <c r="B54" s="161" t="s">
        <v>346</v>
      </c>
      <c r="C54" s="98" t="s">
        <v>751</v>
      </c>
      <c r="D54" s="98" t="s">
        <v>26</v>
      </c>
      <c r="E54" s="175">
        <v>1</v>
      </c>
      <c r="F54" s="175">
        <v>26.46</v>
      </c>
      <c r="G54" s="176">
        <v>26.46</v>
      </c>
      <c r="H54" s="101">
        <v>22</v>
      </c>
      <c r="K54"/>
    </row>
    <row r="55" spans="1:11" x14ac:dyDescent="0.25">
      <c r="A55" s="174">
        <v>40850</v>
      </c>
      <c r="B55" s="161" t="s">
        <v>745</v>
      </c>
      <c r="C55" s="98" t="s">
        <v>8</v>
      </c>
      <c r="D55" s="98" t="s">
        <v>26</v>
      </c>
      <c r="E55" s="175">
        <v>8</v>
      </c>
      <c r="F55" s="175">
        <v>35.35</v>
      </c>
      <c r="G55" s="176">
        <v>282.8</v>
      </c>
      <c r="H55" s="101">
        <v>22</v>
      </c>
      <c r="K55"/>
    </row>
    <row r="56" spans="1:11" x14ac:dyDescent="0.25">
      <c r="A56" s="174">
        <v>40850</v>
      </c>
      <c r="B56" s="161" t="s">
        <v>359</v>
      </c>
      <c r="C56" s="98" t="s">
        <v>752</v>
      </c>
      <c r="D56" s="98" t="s">
        <v>26</v>
      </c>
      <c r="E56" s="175">
        <v>8</v>
      </c>
      <c r="F56" s="175">
        <v>11.67</v>
      </c>
      <c r="G56" s="176">
        <v>93.36</v>
      </c>
      <c r="H56" s="101">
        <v>22</v>
      </c>
      <c r="K56"/>
    </row>
    <row r="57" spans="1:11" x14ac:dyDescent="0.25">
      <c r="A57" s="174">
        <v>40850</v>
      </c>
      <c r="B57" s="161" t="s">
        <v>757</v>
      </c>
      <c r="C57" s="98" t="s">
        <v>758</v>
      </c>
      <c r="D57" s="98" t="s">
        <v>26</v>
      </c>
      <c r="E57" s="175">
        <v>6</v>
      </c>
      <c r="F57" s="175">
        <v>90</v>
      </c>
      <c r="G57" s="176">
        <v>540</v>
      </c>
      <c r="H57" s="101">
        <v>22</v>
      </c>
      <c r="K57"/>
    </row>
    <row r="58" spans="1:11" x14ac:dyDescent="0.25">
      <c r="A58" s="174">
        <v>40851</v>
      </c>
      <c r="B58" s="161" t="s">
        <v>745</v>
      </c>
      <c r="C58" s="98" t="s">
        <v>8</v>
      </c>
      <c r="D58" s="98" t="s">
        <v>26</v>
      </c>
      <c r="E58" s="175">
        <v>8.5</v>
      </c>
      <c r="F58" s="175">
        <v>35.35</v>
      </c>
      <c r="G58" s="176">
        <v>300.47500000000002</v>
      </c>
      <c r="H58" s="101">
        <v>22</v>
      </c>
      <c r="K58"/>
    </row>
    <row r="59" spans="1:11" x14ac:dyDescent="0.25">
      <c r="A59" s="174">
        <v>40851</v>
      </c>
      <c r="B59" s="161" t="s">
        <v>742</v>
      </c>
      <c r="C59" s="98" t="s">
        <v>8</v>
      </c>
      <c r="D59" s="98" t="s">
        <v>26</v>
      </c>
      <c r="E59" s="175">
        <v>8.5</v>
      </c>
      <c r="F59" s="175">
        <v>44.2</v>
      </c>
      <c r="G59" s="176">
        <v>375.7</v>
      </c>
      <c r="H59" s="101">
        <v>22</v>
      </c>
      <c r="K59"/>
    </row>
    <row r="60" spans="1:11" x14ac:dyDescent="0.25">
      <c r="A60" s="174">
        <v>40851</v>
      </c>
      <c r="B60" s="161" t="s">
        <v>749</v>
      </c>
      <c r="C60" s="98" t="s">
        <v>750</v>
      </c>
      <c r="D60" s="98" t="s">
        <v>26</v>
      </c>
      <c r="E60" s="175">
        <v>8</v>
      </c>
      <c r="F60" s="175">
        <v>95</v>
      </c>
      <c r="G60" s="176">
        <v>760</v>
      </c>
      <c r="H60" s="101">
        <v>22</v>
      </c>
      <c r="K60"/>
    </row>
    <row r="61" spans="1:11" x14ac:dyDescent="0.25">
      <c r="A61" s="174">
        <v>40851</v>
      </c>
      <c r="B61" s="161" t="s">
        <v>745</v>
      </c>
      <c r="C61" s="98" t="s">
        <v>8</v>
      </c>
      <c r="D61" s="98" t="s">
        <v>26</v>
      </c>
      <c r="E61" s="175">
        <v>8.5</v>
      </c>
      <c r="F61" s="175">
        <v>35.35</v>
      </c>
      <c r="G61" s="176">
        <v>300.47500000000002</v>
      </c>
      <c r="H61" s="101">
        <v>22</v>
      </c>
      <c r="K61"/>
    </row>
    <row r="62" spans="1:11" x14ac:dyDescent="0.25">
      <c r="A62" s="174">
        <v>40851</v>
      </c>
      <c r="B62" s="161" t="s">
        <v>759</v>
      </c>
      <c r="C62" s="98" t="s">
        <v>747</v>
      </c>
      <c r="D62" s="98" t="s">
        <v>26</v>
      </c>
      <c r="E62" s="175">
        <v>8</v>
      </c>
      <c r="F62" s="175">
        <v>90</v>
      </c>
      <c r="G62" s="176">
        <v>720</v>
      </c>
      <c r="H62" s="101">
        <v>22</v>
      </c>
      <c r="K62"/>
    </row>
    <row r="63" spans="1:11" x14ac:dyDescent="0.25">
      <c r="A63" s="177" t="s">
        <v>643</v>
      </c>
      <c r="B63" s="178" t="s">
        <v>760</v>
      </c>
      <c r="C63" s="179" t="s">
        <v>643</v>
      </c>
      <c r="D63" s="179" t="s">
        <v>643</v>
      </c>
      <c r="E63" s="180"/>
      <c r="F63" s="180"/>
      <c r="G63" s="181">
        <v>13933.58</v>
      </c>
      <c r="H63" s="188" t="s">
        <v>643</v>
      </c>
      <c r="K63"/>
    </row>
    <row r="64" spans="1:11" x14ac:dyDescent="0.25">
      <c r="A64" s="174" t="s">
        <v>643</v>
      </c>
      <c r="B64" s="161" t="s">
        <v>643</v>
      </c>
      <c r="C64" s="98" t="s">
        <v>643</v>
      </c>
      <c r="D64" s="98" t="s">
        <v>643</v>
      </c>
      <c r="E64" s="175"/>
      <c r="F64" s="175"/>
      <c r="G64" s="176"/>
      <c r="H64" s="101" t="s">
        <v>643</v>
      </c>
      <c r="K64"/>
    </row>
    <row r="65" spans="1:11" x14ac:dyDescent="0.25">
      <c r="A65" s="171" t="s">
        <v>643</v>
      </c>
      <c r="B65" s="164" t="s">
        <v>1175</v>
      </c>
      <c r="C65" s="100" t="s">
        <v>643</v>
      </c>
      <c r="D65" s="100" t="s">
        <v>643</v>
      </c>
      <c r="E65" s="172"/>
      <c r="F65" s="172"/>
      <c r="G65" s="173"/>
      <c r="H65" s="187" t="s">
        <v>643</v>
      </c>
      <c r="K65"/>
    </row>
    <row r="66" spans="1:11" x14ac:dyDescent="0.25">
      <c r="A66" s="174">
        <v>40793</v>
      </c>
      <c r="B66" s="161" t="s">
        <v>761</v>
      </c>
      <c r="C66" s="98" t="s">
        <v>8</v>
      </c>
      <c r="D66" s="98" t="s">
        <v>26</v>
      </c>
      <c r="E66" s="175">
        <v>10</v>
      </c>
      <c r="F66" s="175">
        <v>35.35</v>
      </c>
      <c r="G66" s="176">
        <v>353.5</v>
      </c>
      <c r="H66" s="101">
        <v>31</v>
      </c>
      <c r="K66"/>
    </row>
    <row r="67" spans="1:11" x14ac:dyDescent="0.25">
      <c r="A67" s="174">
        <v>40793</v>
      </c>
      <c r="B67" s="161" t="s">
        <v>762</v>
      </c>
      <c r="C67" s="98" t="s">
        <v>750</v>
      </c>
      <c r="D67" s="98" t="s">
        <v>26</v>
      </c>
      <c r="E67" s="175">
        <v>4.5</v>
      </c>
      <c r="F67" s="175">
        <v>125</v>
      </c>
      <c r="G67" s="176">
        <v>562.5</v>
      </c>
      <c r="H67" s="101">
        <v>31</v>
      </c>
      <c r="K67"/>
    </row>
    <row r="68" spans="1:11" x14ac:dyDescent="0.25">
      <c r="A68" s="174">
        <v>40793</v>
      </c>
      <c r="B68" s="161" t="s">
        <v>745</v>
      </c>
      <c r="C68" s="98" t="s">
        <v>8</v>
      </c>
      <c r="D68" s="98" t="s">
        <v>26</v>
      </c>
      <c r="E68" s="175">
        <v>10</v>
      </c>
      <c r="F68" s="175">
        <v>35.35</v>
      </c>
      <c r="G68" s="176">
        <v>353.5</v>
      </c>
      <c r="H68" s="101">
        <v>31</v>
      </c>
      <c r="K68"/>
    </row>
    <row r="69" spans="1:11" x14ac:dyDescent="0.25">
      <c r="A69" s="174">
        <v>40793</v>
      </c>
      <c r="B69" s="161" t="s">
        <v>745</v>
      </c>
      <c r="C69" s="98" t="s">
        <v>8</v>
      </c>
      <c r="D69" s="98" t="s">
        <v>26</v>
      </c>
      <c r="E69" s="175">
        <v>10</v>
      </c>
      <c r="F69" s="175">
        <v>35.35</v>
      </c>
      <c r="G69" s="176">
        <v>353.5</v>
      </c>
      <c r="H69" s="101">
        <v>31</v>
      </c>
      <c r="K69"/>
    </row>
    <row r="70" spans="1:11" x14ac:dyDescent="0.25">
      <c r="A70" s="174">
        <v>40793</v>
      </c>
      <c r="B70" s="161" t="s">
        <v>742</v>
      </c>
      <c r="C70" s="98" t="s">
        <v>8</v>
      </c>
      <c r="D70" s="98" t="s">
        <v>26</v>
      </c>
      <c r="E70" s="175">
        <v>10</v>
      </c>
      <c r="F70" s="175">
        <v>44.2</v>
      </c>
      <c r="G70" s="176">
        <v>442</v>
      </c>
      <c r="H70" s="101">
        <v>31</v>
      </c>
      <c r="K70"/>
    </row>
    <row r="71" spans="1:11" x14ac:dyDescent="0.25">
      <c r="A71" s="174">
        <v>40793</v>
      </c>
      <c r="B71" s="161" t="s">
        <v>763</v>
      </c>
      <c r="C71" s="98" t="s">
        <v>764</v>
      </c>
      <c r="D71" s="98" t="s">
        <v>26</v>
      </c>
      <c r="E71" s="175">
        <v>8.5</v>
      </c>
      <c r="F71" s="175">
        <v>140</v>
      </c>
      <c r="G71" s="176">
        <v>1190</v>
      </c>
      <c r="H71" s="101">
        <v>31</v>
      </c>
      <c r="K71"/>
    </row>
    <row r="72" spans="1:11" x14ac:dyDescent="0.25">
      <c r="A72" s="174">
        <v>40793</v>
      </c>
      <c r="B72" s="161" t="s">
        <v>745</v>
      </c>
      <c r="C72" s="98" t="s">
        <v>8</v>
      </c>
      <c r="D72" s="98" t="s">
        <v>26</v>
      </c>
      <c r="E72" s="175">
        <v>10</v>
      </c>
      <c r="F72" s="175">
        <v>35.35</v>
      </c>
      <c r="G72" s="176">
        <v>353.5</v>
      </c>
      <c r="H72" s="101">
        <v>31</v>
      </c>
      <c r="K72"/>
    </row>
    <row r="73" spans="1:11" x14ac:dyDescent="0.25">
      <c r="A73" s="174">
        <v>40793</v>
      </c>
      <c r="B73" s="161" t="s">
        <v>748</v>
      </c>
      <c r="C73" s="98" t="s">
        <v>747</v>
      </c>
      <c r="D73" s="98" t="s">
        <v>26</v>
      </c>
      <c r="E73" s="175">
        <v>3.5</v>
      </c>
      <c r="F73" s="175">
        <v>85</v>
      </c>
      <c r="G73" s="176">
        <v>297.5</v>
      </c>
      <c r="H73" s="101">
        <v>31</v>
      </c>
      <c r="K73"/>
    </row>
    <row r="74" spans="1:11" x14ac:dyDescent="0.25">
      <c r="A74" s="174">
        <v>40793</v>
      </c>
      <c r="B74" s="161" t="s">
        <v>765</v>
      </c>
      <c r="C74" s="98" t="s">
        <v>766</v>
      </c>
      <c r="D74" s="98" t="s">
        <v>26</v>
      </c>
      <c r="E74" s="175">
        <v>10</v>
      </c>
      <c r="F74" s="175">
        <v>110</v>
      </c>
      <c r="G74" s="176">
        <v>1100</v>
      </c>
      <c r="H74" s="101">
        <v>31</v>
      </c>
      <c r="K74"/>
    </row>
    <row r="75" spans="1:11" x14ac:dyDescent="0.25">
      <c r="A75" s="174">
        <v>40793</v>
      </c>
      <c r="B75" s="161" t="s">
        <v>767</v>
      </c>
      <c r="C75" s="98" t="s">
        <v>750</v>
      </c>
      <c r="D75" s="98" t="s">
        <v>26</v>
      </c>
      <c r="E75" s="175">
        <v>5</v>
      </c>
      <c r="F75" s="175">
        <v>95</v>
      </c>
      <c r="G75" s="176">
        <v>475</v>
      </c>
      <c r="H75" s="101">
        <v>31</v>
      </c>
      <c r="K75"/>
    </row>
    <row r="76" spans="1:11" x14ac:dyDescent="0.25">
      <c r="A76" s="174">
        <v>40794</v>
      </c>
      <c r="B76" s="161" t="s">
        <v>765</v>
      </c>
      <c r="C76" s="98" t="s">
        <v>766</v>
      </c>
      <c r="D76" s="98" t="s">
        <v>26</v>
      </c>
      <c r="E76" s="175">
        <v>10</v>
      </c>
      <c r="F76" s="175">
        <v>110</v>
      </c>
      <c r="G76" s="176">
        <v>1100</v>
      </c>
      <c r="H76" s="101">
        <v>31</v>
      </c>
      <c r="K76"/>
    </row>
    <row r="77" spans="1:11" x14ac:dyDescent="0.25">
      <c r="A77" s="174">
        <v>40794</v>
      </c>
      <c r="B77" s="161" t="s">
        <v>748</v>
      </c>
      <c r="C77" s="98" t="s">
        <v>747</v>
      </c>
      <c r="D77" s="98" t="s">
        <v>26</v>
      </c>
      <c r="E77" s="175">
        <v>5</v>
      </c>
      <c r="F77" s="175">
        <v>85</v>
      </c>
      <c r="G77" s="176">
        <v>425</v>
      </c>
      <c r="H77" s="101">
        <v>31</v>
      </c>
      <c r="K77"/>
    </row>
    <row r="78" spans="1:11" x14ac:dyDescent="0.25">
      <c r="A78" s="174">
        <v>40794</v>
      </c>
      <c r="B78" s="161" t="s">
        <v>763</v>
      </c>
      <c r="C78" s="98" t="s">
        <v>764</v>
      </c>
      <c r="D78" s="98" t="s">
        <v>26</v>
      </c>
      <c r="E78" s="175">
        <v>4</v>
      </c>
      <c r="F78" s="175">
        <v>140</v>
      </c>
      <c r="G78" s="176">
        <v>560</v>
      </c>
      <c r="H78" s="101">
        <v>31</v>
      </c>
      <c r="K78"/>
    </row>
    <row r="79" spans="1:11" x14ac:dyDescent="0.25">
      <c r="A79" s="174">
        <v>40794</v>
      </c>
      <c r="B79" s="161" t="s">
        <v>768</v>
      </c>
      <c r="C79" s="98" t="s">
        <v>750</v>
      </c>
      <c r="D79" s="98" t="s">
        <v>26</v>
      </c>
      <c r="E79" s="175">
        <v>5</v>
      </c>
      <c r="F79" s="175">
        <v>95</v>
      </c>
      <c r="G79" s="176">
        <v>475</v>
      </c>
      <c r="H79" s="101">
        <v>31</v>
      </c>
      <c r="K79"/>
    </row>
    <row r="80" spans="1:11" x14ac:dyDescent="0.25">
      <c r="A80" s="174">
        <v>40794</v>
      </c>
      <c r="B80" s="161" t="s">
        <v>742</v>
      </c>
      <c r="C80" s="98" t="s">
        <v>8</v>
      </c>
      <c r="D80" s="98" t="s">
        <v>26</v>
      </c>
      <c r="E80" s="175">
        <v>8</v>
      </c>
      <c r="F80" s="175">
        <v>44.2</v>
      </c>
      <c r="G80" s="176">
        <v>353.6</v>
      </c>
      <c r="H80" s="101">
        <v>31</v>
      </c>
      <c r="K80"/>
    </row>
    <row r="81" spans="1:11" x14ac:dyDescent="0.25">
      <c r="A81" s="174">
        <v>40794</v>
      </c>
      <c r="B81" s="161" t="s">
        <v>745</v>
      </c>
      <c r="C81" s="98" t="s">
        <v>8</v>
      </c>
      <c r="D81" s="98" t="s">
        <v>26</v>
      </c>
      <c r="E81" s="175">
        <v>8</v>
      </c>
      <c r="F81" s="175">
        <v>35.35</v>
      </c>
      <c r="G81" s="176">
        <v>282.8</v>
      </c>
      <c r="H81" s="101">
        <v>31</v>
      </c>
      <c r="K81"/>
    </row>
    <row r="82" spans="1:11" x14ac:dyDescent="0.25">
      <c r="A82" s="174">
        <v>40794</v>
      </c>
      <c r="B82" s="161" t="s">
        <v>745</v>
      </c>
      <c r="C82" s="98" t="s">
        <v>8</v>
      </c>
      <c r="D82" s="98" t="s">
        <v>26</v>
      </c>
      <c r="E82" s="175">
        <v>8</v>
      </c>
      <c r="F82" s="175">
        <v>35.35</v>
      </c>
      <c r="G82" s="176">
        <v>282.8</v>
      </c>
      <c r="H82" s="101">
        <v>31</v>
      </c>
      <c r="K82"/>
    </row>
    <row r="83" spans="1:11" x14ac:dyDescent="0.25">
      <c r="A83" s="174">
        <v>40795</v>
      </c>
      <c r="B83" s="161" t="s">
        <v>745</v>
      </c>
      <c r="C83" s="98" t="s">
        <v>8</v>
      </c>
      <c r="D83" s="98" t="s">
        <v>26</v>
      </c>
      <c r="E83" s="175">
        <v>8</v>
      </c>
      <c r="F83" s="175">
        <v>35.35</v>
      </c>
      <c r="G83" s="176">
        <v>282.8</v>
      </c>
      <c r="H83" s="101">
        <v>31</v>
      </c>
      <c r="K83"/>
    </row>
    <row r="84" spans="1:11" x14ac:dyDescent="0.25">
      <c r="A84" s="174">
        <v>40795</v>
      </c>
      <c r="B84" s="161" t="s">
        <v>745</v>
      </c>
      <c r="C84" s="98" t="s">
        <v>8</v>
      </c>
      <c r="D84" s="98" t="s">
        <v>26</v>
      </c>
      <c r="E84" s="175">
        <v>8</v>
      </c>
      <c r="F84" s="175">
        <v>35.35</v>
      </c>
      <c r="G84" s="176">
        <v>282.8</v>
      </c>
      <c r="H84" s="101">
        <v>31</v>
      </c>
      <c r="K84"/>
    </row>
    <row r="85" spans="1:11" x14ac:dyDescent="0.25">
      <c r="A85" s="174">
        <v>40795</v>
      </c>
      <c r="B85" s="161" t="s">
        <v>768</v>
      </c>
      <c r="C85" s="98" t="s">
        <v>750</v>
      </c>
      <c r="D85" s="98" t="s">
        <v>26</v>
      </c>
      <c r="E85" s="175">
        <v>7.5</v>
      </c>
      <c r="F85" s="175">
        <v>95</v>
      </c>
      <c r="G85" s="176">
        <v>712.5</v>
      </c>
      <c r="H85" s="101">
        <v>31</v>
      </c>
      <c r="K85"/>
    </row>
    <row r="86" spans="1:11" x14ac:dyDescent="0.25">
      <c r="A86" s="174">
        <v>40795</v>
      </c>
      <c r="B86" s="161" t="s">
        <v>742</v>
      </c>
      <c r="C86" s="98" t="s">
        <v>8</v>
      </c>
      <c r="D86" s="98" t="s">
        <v>26</v>
      </c>
      <c r="E86" s="175">
        <v>8</v>
      </c>
      <c r="F86" s="175">
        <v>44.2</v>
      </c>
      <c r="G86" s="176">
        <v>353.6</v>
      </c>
      <c r="H86" s="101">
        <v>31</v>
      </c>
      <c r="K86"/>
    </row>
    <row r="87" spans="1:11" x14ac:dyDescent="0.25">
      <c r="A87" s="174">
        <v>40795</v>
      </c>
      <c r="B87" s="161" t="s">
        <v>745</v>
      </c>
      <c r="C87" s="98" t="s">
        <v>8</v>
      </c>
      <c r="D87" s="98" t="s">
        <v>26</v>
      </c>
      <c r="E87" s="175">
        <v>8</v>
      </c>
      <c r="F87" s="175">
        <v>35.35</v>
      </c>
      <c r="G87" s="176">
        <v>282.8</v>
      </c>
      <c r="H87" s="101">
        <v>31</v>
      </c>
      <c r="K87"/>
    </row>
    <row r="88" spans="1:11" x14ac:dyDescent="0.25">
      <c r="A88" s="174">
        <v>40795</v>
      </c>
      <c r="B88" s="161" t="s">
        <v>745</v>
      </c>
      <c r="C88" s="98" t="s">
        <v>8</v>
      </c>
      <c r="D88" s="98" t="s">
        <v>26</v>
      </c>
      <c r="E88" s="175">
        <v>8</v>
      </c>
      <c r="F88" s="175">
        <v>35.35</v>
      </c>
      <c r="G88" s="176">
        <v>282.8</v>
      </c>
      <c r="H88" s="101">
        <v>31</v>
      </c>
      <c r="K88"/>
    </row>
    <row r="89" spans="1:11" x14ac:dyDescent="0.25">
      <c r="A89" s="174">
        <v>40795</v>
      </c>
      <c r="B89" s="161" t="s">
        <v>765</v>
      </c>
      <c r="C89" s="98" t="s">
        <v>766</v>
      </c>
      <c r="D89" s="98" t="s">
        <v>26</v>
      </c>
      <c r="E89" s="175">
        <v>7.5</v>
      </c>
      <c r="F89" s="175">
        <v>110</v>
      </c>
      <c r="G89" s="176">
        <v>825</v>
      </c>
      <c r="H89" s="101">
        <v>31</v>
      </c>
      <c r="K89"/>
    </row>
    <row r="90" spans="1:11" x14ac:dyDescent="0.25">
      <c r="A90" s="174">
        <v>40795</v>
      </c>
      <c r="B90" s="161" t="s">
        <v>763</v>
      </c>
      <c r="C90" s="98" t="s">
        <v>764</v>
      </c>
      <c r="D90" s="98" t="s">
        <v>26</v>
      </c>
      <c r="E90" s="175">
        <v>8</v>
      </c>
      <c r="F90" s="175">
        <v>100</v>
      </c>
      <c r="G90" s="176">
        <v>800</v>
      </c>
      <c r="H90" s="101">
        <v>31</v>
      </c>
      <c r="K90"/>
    </row>
    <row r="91" spans="1:11" x14ac:dyDescent="0.25">
      <c r="A91" s="174">
        <v>40795</v>
      </c>
      <c r="B91" s="161" t="s">
        <v>748</v>
      </c>
      <c r="C91" s="98" t="s">
        <v>747</v>
      </c>
      <c r="D91" s="98" t="s">
        <v>26</v>
      </c>
      <c r="E91" s="175">
        <v>7.5</v>
      </c>
      <c r="F91" s="175">
        <v>85</v>
      </c>
      <c r="G91" s="176">
        <v>637.5</v>
      </c>
      <c r="H91" s="101">
        <v>31</v>
      </c>
      <c r="K91"/>
    </row>
    <row r="92" spans="1:11" x14ac:dyDescent="0.25">
      <c r="A92" s="174">
        <v>40796</v>
      </c>
      <c r="B92" s="161" t="s">
        <v>768</v>
      </c>
      <c r="C92" s="98" t="s">
        <v>750</v>
      </c>
      <c r="D92" s="98" t="s">
        <v>26</v>
      </c>
      <c r="E92" s="175">
        <v>8</v>
      </c>
      <c r="F92" s="175">
        <v>95</v>
      </c>
      <c r="G92" s="176">
        <v>760</v>
      </c>
      <c r="H92" s="101">
        <v>31</v>
      </c>
      <c r="K92"/>
    </row>
    <row r="93" spans="1:11" x14ac:dyDescent="0.25">
      <c r="A93" s="174">
        <v>40796</v>
      </c>
      <c r="B93" s="161" t="s">
        <v>745</v>
      </c>
      <c r="C93" s="98" t="s">
        <v>8</v>
      </c>
      <c r="D93" s="98" t="s">
        <v>26</v>
      </c>
      <c r="E93" s="175">
        <v>8</v>
      </c>
      <c r="F93" s="175">
        <v>35.35</v>
      </c>
      <c r="G93" s="176">
        <v>282.8</v>
      </c>
      <c r="H93" s="101">
        <v>31</v>
      </c>
      <c r="K93"/>
    </row>
    <row r="94" spans="1:11" x14ac:dyDescent="0.25">
      <c r="A94" s="174">
        <v>40796</v>
      </c>
      <c r="B94" s="161" t="s">
        <v>763</v>
      </c>
      <c r="C94" s="98" t="s">
        <v>764</v>
      </c>
      <c r="D94" s="98" t="s">
        <v>26</v>
      </c>
      <c r="E94" s="175">
        <v>8</v>
      </c>
      <c r="F94" s="175">
        <v>100</v>
      </c>
      <c r="G94" s="176">
        <v>800</v>
      </c>
      <c r="H94" s="101">
        <v>31</v>
      </c>
      <c r="K94"/>
    </row>
    <row r="95" spans="1:11" x14ac:dyDescent="0.25">
      <c r="A95" s="174">
        <v>40796</v>
      </c>
      <c r="B95" s="161" t="s">
        <v>765</v>
      </c>
      <c r="C95" s="98" t="s">
        <v>766</v>
      </c>
      <c r="D95" s="98" t="s">
        <v>26</v>
      </c>
      <c r="E95" s="175">
        <v>8</v>
      </c>
      <c r="F95" s="175">
        <v>110</v>
      </c>
      <c r="G95" s="176">
        <v>880</v>
      </c>
      <c r="H95" s="101">
        <v>31</v>
      </c>
      <c r="K95"/>
    </row>
    <row r="96" spans="1:11" x14ac:dyDescent="0.25">
      <c r="A96" s="174">
        <v>40796</v>
      </c>
      <c r="B96" s="161" t="s">
        <v>748</v>
      </c>
      <c r="C96" s="98" t="s">
        <v>747</v>
      </c>
      <c r="D96" s="98" t="s">
        <v>26</v>
      </c>
      <c r="E96" s="175">
        <v>8</v>
      </c>
      <c r="F96" s="175">
        <v>90</v>
      </c>
      <c r="G96" s="176">
        <v>720</v>
      </c>
      <c r="H96" s="101">
        <v>31</v>
      </c>
      <c r="K96"/>
    </row>
    <row r="97" spans="1:11" x14ac:dyDescent="0.25">
      <c r="A97" s="174">
        <v>40796</v>
      </c>
      <c r="B97" s="161" t="s">
        <v>745</v>
      </c>
      <c r="C97" s="98" t="s">
        <v>8</v>
      </c>
      <c r="D97" s="98" t="s">
        <v>26</v>
      </c>
      <c r="E97" s="175">
        <v>8</v>
      </c>
      <c r="F97" s="175">
        <v>35.35</v>
      </c>
      <c r="G97" s="176">
        <v>282.8</v>
      </c>
      <c r="H97" s="101">
        <v>31</v>
      </c>
      <c r="K97"/>
    </row>
    <row r="98" spans="1:11" x14ac:dyDescent="0.25">
      <c r="A98" s="174">
        <v>40796</v>
      </c>
      <c r="B98" s="161" t="s">
        <v>742</v>
      </c>
      <c r="C98" s="98" t="s">
        <v>8</v>
      </c>
      <c r="D98" s="98" t="s">
        <v>26</v>
      </c>
      <c r="E98" s="175">
        <v>8</v>
      </c>
      <c r="F98" s="175">
        <v>44.2</v>
      </c>
      <c r="G98" s="176">
        <v>353.6</v>
      </c>
      <c r="H98" s="101">
        <v>31</v>
      </c>
      <c r="K98"/>
    </row>
    <row r="99" spans="1:11" x14ac:dyDescent="0.25">
      <c r="A99" s="174">
        <v>40796</v>
      </c>
      <c r="B99" s="161" t="s">
        <v>745</v>
      </c>
      <c r="C99" s="98" t="s">
        <v>8</v>
      </c>
      <c r="D99" s="98" t="s">
        <v>26</v>
      </c>
      <c r="E99" s="175">
        <v>8.5</v>
      </c>
      <c r="F99" s="175">
        <v>35.35</v>
      </c>
      <c r="G99" s="176">
        <v>300.47500000000002</v>
      </c>
      <c r="H99" s="101">
        <v>31</v>
      </c>
      <c r="K99"/>
    </row>
    <row r="100" spans="1:11" x14ac:dyDescent="0.25">
      <c r="A100" s="174">
        <v>40796</v>
      </c>
      <c r="B100" s="161" t="s">
        <v>745</v>
      </c>
      <c r="C100" s="98" t="s">
        <v>8</v>
      </c>
      <c r="D100" s="98" t="s">
        <v>26</v>
      </c>
      <c r="E100" s="175">
        <v>8</v>
      </c>
      <c r="F100" s="175">
        <v>35.35</v>
      </c>
      <c r="G100" s="176">
        <v>282.8</v>
      </c>
      <c r="H100" s="101">
        <v>31</v>
      </c>
      <c r="K100"/>
    </row>
    <row r="101" spans="1:11" x14ac:dyDescent="0.25">
      <c r="A101" s="174">
        <v>40797</v>
      </c>
      <c r="B101" s="161" t="s">
        <v>763</v>
      </c>
      <c r="C101" s="98" t="s">
        <v>764</v>
      </c>
      <c r="D101" s="98" t="s">
        <v>26</v>
      </c>
      <c r="E101" s="175">
        <v>10</v>
      </c>
      <c r="F101" s="175">
        <v>100</v>
      </c>
      <c r="G101" s="176">
        <v>1000</v>
      </c>
      <c r="H101" s="101">
        <v>31</v>
      </c>
      <c r="K101"/>
    </row>
    <row r="102" spans="1:11" x14ac:dyDescent="0.25">
      <c r="A102" s="174">
        <v>40797</v>
      </c>
      <c r="B102" s="161" t="s">
        <v>748</v>
      </c>
      <c r="C102" s="98" t="s">
        <v>747</v>
      </c>
      <c r="D102" s="98" t="s">
        <v>26</v>
      </c>
      <c r="E102" s="175">
        <v>2</v>
      </c>
      <c r="F102" s="175">
        <v>90</v>
      </c>
      <c r="G102" s="176">
        <v>180</v>
      </c>
      <c r="H102" s="101">
        <v>31</v>
      </c>
      <c r="K102"/>
    </row>
    <row r="103" spans="1:11" x14ac:dyDescent="0.25">
      <c r="A103" s="174">
        <v>40798</v>
      </c>
      <c r="B103" s="161" t="s">
        <v>745</v>
      </c>
      <c r="C103" s="98" t="s">
        <v>8</v>
      </c>
      <c r="D103" s="98" t="s">
        <v>26</v>
      </c>
      <c r="E103" s="175">
        <v>10</v>
      </c>
      <c r="F103" s="175">
        <v>35.35</v>
      </c>
      <c r="G103" s="176">
        <v>353.5</v>
      </c>
      <c r="H103" s="101">
        <v>31</v>
      </c>
      <c r="K103"/>
    </row>
    <row r="104" spans="1:11" x14ac:dyDescent="0.25">
      <c r="A104" s="174">
        <v>40798</v>
      </c>
      <c r="B104" s="161" t="s">
        <v>745</v>
      </c>
      <c r="C104" s="98" t="s">
        <v>8</v>
      </c>
      <c r="D104" s="98" t="s">
        <v>26</v>
      </c>
      <c r="E104" s="175">
        <v>10</v>
      </c>
      <c r="F104" s="175">
        <v>35.35</v>
      </c>
      <c r="G104" s="176">
        <v>353.5</v>
      </c>
      <c r="H104" s="101">
        <v>31</v>
      </c>
      <c r="K104"/>
    </row>
    <row r="105" spans="1:11" x14ac:dyDescent="0.25">
      <c r="A105" s="174">
        <v>40798</v>
      </c>
      <c r="B105" s="161" t="s">
        <v>742</v>
      </c>
      <c r="C105" s="98" t="s">
        <v>8</v>
      </c>
      <c r="D105" s="98" t="s">
        <v>26</v>
      </c>
      <c r="E105" s="175">
        <v>10</v>
      </c>
      <c r="F105" s="175">
        <v>44.2</v>
      </c>
      <c r="G105" s="176">
        <v>442</v>
      </c>
      <c r="H105" s="101">
        <v>31</v>
      </c>
      <c r="K105"/>
    </row>
    <row r="106" spans="1:11" x14ac:dyDescent="0.25">
      <c r="A106" s="174">
        <v>40798</v>
      </c>
      <c r="B106" s="161" t="s">
        <v>745</v>
      </c>
      <c r="C106" s="98" t="s">
        <v>8</v>
      </c>
      <c r="D106" s="98" t="s">
        <v>26</v>
      </c>
      <c r="E106" s="175">
        <v>7.5</v>
      </c>
      <c r="F106" s="175">
        <v>35.35</v>
      </c>
      <c r="G106" s="176">
        <v>265.125</v>
      </c>
      <c r="H106" s="101">
        <v>31</v>
      </c>
      <c r="K106"/>
    </row>
    <row r="107" spans="1:11" x14ac:dyDescent="0.25">
      <c r="A107" s="174">
        <v>40798</v>
      </c>
      <c r="B107" s="161" t="s">
        <v>745</v>
      </c>
      <c r="C107" s="98" t="s">
        <v>8</v>
      </c>
      <c r="D107" s="98" t="s">
        <v>26</v>
      </c>
      <c r="E107" s="175">
        <v>5.5</v>
      </c>
      <c r="F107" s="175">
        <v>35.35</v>
      </c>
      <c r="G107" s="176">
        <v>194.42500000000001</v>
      </c>
      <c r="H107" s="101">
        <v>31</v>
      </c>
      <c r="K107"/>
    </row>
    <row r="108" spans="1:11" x14ac:dyDescent="0.25">
      <c r="A108" s="174">
        <v>40798</v>
      </c>
      <c r="B108" s="161" t="s">
        <v>748</v>
      </c>
      <c r="C108" s="98" t="s">
        <v>747</v>
      </c>
      <c r="D108" s="98" t="s">
        <v>26</v>
      </c>
      <c r="E108" s="175">
        <v>10</v>
      </c>
      <c r="F108" s="175">
        <v>90</v>
      </c>
      <c r="G108" s="176">
        <v>900</v>
      </c>
      <c r="H108" s="101">
        <v>31</v>
      </c>
      <c r="K108"/>
    </row>
    <row r="109" spans="1:11" x14ac:dyDescent="0.25">
      <c r="A109" s="174">
        <v>40798</v>
      </c>
      <c r="B109" s="161" t="s">
        <v>763</v>
      </c>
      <c r="C109" s="98" t="s">
        <v>764</v>
      </c>
      <c r="D109" s="98" t="s">
        <v>26</v>
      </c>
      <c r="E109" s="175">
        <v>10</v>
      </c>
      <c r="F109" s="175">
        <v>100</v>
      </c>
      <c r="G109" s="176">
        <v>1000</v>
      </c>
      <c r="H109" s="101">
        <v>31</v>
      </c>
      <c r="K109"/>
    </row>
    <row r="110" spans="1:11" x14ac:dyDescent="0.25">
      <c r="A110" s="174">
        <v>40798</v>
      </c>
      <c r="B110" s="161" t="s">
        <v>768</v>
      </c>
      <c r="C110" s="98" t="s">
        <v>750</v>
      </c>
      <c r="D110" s="98" t="s">
        <v>26</v>
      </c>
      <c r="E110" s="175">
        <v>10</v>
      </c>
      <c r="F110" s="175">
        <v>95</v>
      </c>
      <c r="G110" s="176">
        <v>950</v>
      </c>
      <c r="H110" s="101">
        <v>31</v>
      </c>
      <c r="K110"/>
    </row>
    <row r="111" spans="1:11" x14ac:dyDescent="0.25">
      <c r="A111" s="174">
        <v>40798</v>
      </c>
      <c r="B111" s="161" t="s">
        <v>765</v>
      </c>
      <c r="C111" s="98" t="s">
        <v>766</v>
      </c>
      <c r="D111" s="98" t="s">
        <v>26</v>
      </c>
      <c r="E111" s="175">
        <v>10</v>
      </c>
      <c r="F111" s="175">
        <v>110</v>
      </c>
      <c r="G111" s="176">
        <v>1100</v>
      </c>
      <c r="H111" s="101">
        <v>31</v>
      </c>
      <c r="K111"/>
    </row>
    <row r="112" spans="1:11" x14ac:dyDescent="0.25">
      <c r="A112" s="174">
        <v>40799</v>
      </c>
      <c r="B112" s="161" t="s">
        <v>748</v>
      </c>
      <c r="C112" s="98" t="s">
        <v>747</v>
      </c>
      <c r="D112" s="98" t="s">
        <v>26</v>
      </c>
      <c r="E112" s="175">
        <v>10</v>
      </c>
      <c r="F112" s="175">
        <v>90</v>
      </c>
      <c r="G112" s="176">
        <v>900</v>
      </c>
      <c r="H112" s="101">
        <v>31</v>
      </c>
      <c r="K112"/>
    </row>
    <row r="113" spans="1:11" x14ac:dyDescent="0.25">
      <c r="A113" s="174">
        <v>40799</v>
      </c>
      <c r="B113" s="161" t="s">
        <v>763</v>
      </c>
      <c r="C113" s="98" t="s">
        <v>764</v>
      </c>
      <c r="D113" s="98" t="s">
        <v>26</v>
      </c>
      <c r="E113" s="175">
        <v>10</v>
      </c>
      <c r="F113" s="175">
        <v>100</v>
      </c>
      <c r="G113" s="176">
        <v>1000</v>
      </c>
      <c r="H113" s="101">
        <v>31</v>
      </c>
      <c r="K113"/>
    </row>
    <row r="114" spans="1:11" x14ac:dyDescent="0.25">
      <c r="A114" s="174">
        <v>40799</v>
      </c>
      <c r="B114" s="161" t="s">
        <v>742</v>
      </c>
      <c r="C114" s="98" t="s">
        <v>8</v>
      </c>
      <c r="D114" s="98" t="s">
        <v>26</v>
      </c>
      <c r="E114" s="175">
        <v>5</v>
      </c>
      <c r="F114" s="175">
        <v>44.2</v>
      </c>
      <c r="G114" s="176">
        <v>221</v>
      </c>
      <c r="H114" s="101">
        <v>31</v>
      </c>
      <c r="K114"/>
    </row>
    <row r="115" spans="1:11" x14ac:dyDescent="0.25">
      <c r="A115" s="174">
        <v>40799</v>
      </c>
      <c r="B115" s="161" t="s">
        <v>765</v>
      </c>
      <c r="C115" s="98" t="s">
        <v>766</v>
      </c>
      <c r="D115" s="98" t="s">
        <v>26</v>
      </c>
      <c r="E115" s="175">
        <v>10</v>
      </c>
      <c r="F115" s="175">
        <v>110</v>
      </c>
      <c r="G115" s="176">
        <v>1100</v>
      </c>
      <c r="H115" s="101">
        <v>31</v>
      </c>
      <c r="K115"/>
    </row>
    <row r="116" spans="1:11" x14ac:dyDescent="0.25">
      <c r="A116" s="174">
        <v>40799</v>
      </c>
      <c r="B116" s="161" t="s">
        <v>768</v>
      </c>
      <c r="C116" s="98" t="s">
        <v>750</v>
      </c>
      <c r="D116" s="98" t="s">
        <v>26</v>
      </c>
      <c r="E116" s="175">
        <v>10</v>
      </c>
      <c r="F116" s="175">
        <v>95</v>
      </c>
      <c r="G116" s="176">
        <v>950</v>
      </c>
      <c r="H116" s="101">
        <v>31</v>
      </c>
      <c r="K116"/>
    </row>
    <row r="117" spans="1:11" x14ac:dyDescent="0.25">
      <c r="A117" s="174">
        <v>40799</v>
      </c>
      <c r="B117" s="161" t="s">
        <v>745</v>
      </c>
      <c r="C117" s="98" t="s">
        <v>8</v>
      </c>
      <c r="D117" s="98" t="s">
        <v>26</v>
      </c>
      <c r="E117" s="175">
        <v>5</v>
      </c>
      <c r="F117" s="175">
        <v>35.35</v>
      </c>
      <c r="G117" s="176">
        <v>176.75</v>
      </c>
      <c r="H117" s="101">
        <v>31</v>
      </c>
      <c r="K117"/>
    </row>
    <row r="118" spans="1:11" x14ac:dyDescent="0.25">
      <c r="A118" s="174">
        <v>40800</v>
      </c>
      <c r="B118" s="161" t="s">
        <v>769</v>
      </c>
      <c r="C118" s="98" t="s">
        <v>770</v>
      </c>
      <c r="D118" s="98" t="s">
        <v>39</v>
      </c>
      <c r="E118" s="175">
        <v>1</v>
      </c>
      <c r="F118" s="175">
        <v>125</v>
      </c>
      <c r="G118" s="176">
        <v>125</v>
      </c>
      <c r="H118" s="101">
        <v>31</v>
      </c>
      <c r="K118"/>
    </row>
    <row r="119" spans="1:11" x14ac:dyDescent="0.25">
      <c r="A119" s="174">
        <v>40800</v>
      </c>
      <c r="B119" s="161" t="s">
        <v>768</v>
      </c>
      <c r="C119" s="98" t="s">
        <v>750</v>
      </c>
      <c r="D119" s="98" t="s">
        <v>26</v>
      </c>
      <c r="E119" s="175">
        <v>10</v>
      </c>
      <c r="F119" s="175">
        <v>95</v>
      </c>
      <c r="G119" s="176">
        <v>950</v>
      </c>
      <c r="H119" s="101">
        <v>31</v>
      </c>
      <c r="K119"/>
    </row>
    <row r="120" spans="1:11" x14ac:dyDescent="0.25">
      <c r="A120" s="174">
        <v>40800</v>
      </c>
      <c r="B120" s="161" t="s">
        <v>765</v>
      </c>
      <c r="C120" s="98" t="s">
        <v>766</v>
      </c>
      <c r="D120" s="98" t="s">
        <v>26</v>
      </c>
      <c r="E120" s="175">
        <v>10</v>
      </c>
      <c r="F120" s="175">
        <v>110</v>
      </c>
      <c r="G120" s="176">
        <v>1100</v>
      </c>
      <c r="H120" s="101">
        <v>31</v>
      </c>
      <c r="K120"/>
    </row>
    <row r="121" spans="1:11" x14ac:dyDescent="0.25">
      <c r="A121" s="174">
        <v>40800</v>
      </c>
      <c r="B121" s="161" t="s">
        <v>745</v>
      </c>
      <c r="C121" s="98" t="s">
        <v>8</v>
      </c>
      <c r="D121" s="98" t="s">
        <v>26</v>
      </c>
      <c r="E121" s="175">
        <v>10</v>
      </c>
      <c r="F121" s="175">
        <v>10.5</v>
      </c>
      <c r="G121" s="176">
        <v>105</v>
      </c>
      <c r="H121" s="101">
        <v>31</v>
      </c>
      <c r="K121"/>
    </row>
    <row r="122" spans="1:11" x14ac:dyDescent="0.25">
      <c r="A122" s="174">
        <v>40800</v>
      </c>
      <c r="B122" s="161" t="s">
        <v>763</v>
      </c>
      <c r="C122" s="98" t="s">
        <v>764</v>
      </c>
      <c r="D122" s="98" t="s">
        <v>26</v>
      </c>
      <c r="E122" s="175">
        <v>10</v>
      </c>
      <c r="F122" s="175">
        <v>100</v>
      </c>
      <c r="G122" s="176">
        <v>1000</v>
      </c>
      <c r="H122" s="101">
        <v>31</v>
      </c>
      <c r="K122"/>
    </row>
    <row r="123" spans="1:11" x14ac:dyDescent="0.25">
      <c r="A123" s="174">
        <v>40800</v>
      </c>
      <c r="B123" s="161" t="s">
        <v>748</v>
      </c>
      <c r="C123" s="98" t="s">
        <v>747</v>
      </c>
      <c r="D123" s="98" t="s">
        <v>26</v>
      </c>
      <c r="E123" s="175">
        <v>10</v>
      </c>
      <c r="F123" s="175">
        <v>90</v>
      </c>
      <c r="G123" s="176">
        <v>900</v>
      </c>
      <c r="H123" s="101">
        <v>31</v>
      </c>
      <c r="K123"/>
    </row>
    <row r="124" spans="1:11" x14ac:dyDescent="0.25">
      <c r="A124" s="174">
        <v>40800</v>
      </c>
      <c r="B124" s="161" t="s">
        <v>745</v>
      </c>
      <c r="C124" s="98" t="s">
        <v>8</v>
      </c>
      <c r="D124" s="98" t="s">
        <v>26</v>
      </c>
      <c r="E124" s="175">
        <v>8</v>
      </c>
      <c r="F124" s="175">
        <v>35.35</v>
      </c>
      <c r="G124" s="176">
        <v>282.8</v>
      </c>
      <c r="H124" s="101">
        <v>31</v>
      </c>
      <c r="K124"/>
    </row>
    <row r="125" spans="1:11" x14ac:dyDescent="0.25">
      <c r="A125" s="174">
        <v>40801</v>
      </c>
      <c r="B125" s="161" t="s">
        <v>769</v>
      </c>
      <c r="C125" s="98" t="s">
        <v>770</v>
      </c>
      <c r="D125" s="98" t="s">
        <v>39</v>
      </c>
      <c r="E125" s="175">
        <v>1</v>
      </c>
      <c r="F125" s="175">
        <v>125</v>
      </c>
      <c r="G125" s="176">
        <v>125</v>
      </c>
      <c r="H125" s="101">
        <v>31</v>
      </c>
      <c r="K125"/>
    </row>
    <row r="126" spans="1:11" x14ac:dyDescent="0.25">
      <c r="A126" s="174">
        <v>40801</v>
      </c>
      <c r="B126" s="161" t="s">
        <v>745</v>
      </c>
      <c r="C126" s="98" t="s">
        <v>8</v>
      </c>
      <c r="D126" s="98" t="s">
        <v>26</v>
      </c>
      <c r="E126" s="175">
        <v>10</v>
      </c>
      <c r="F126" s="175">
        <v>35.35</v>
      </c>
      <c r="G126" s="176">
        <v>353.5</v>
      </c>
      <c r="H126" s="101">
        <v>31</v>
      </c>
      <c r="K126"/>
    </row>
    <row r="127" spans="1:11" x14ac:dyDescent="0.25">
      <c r="A127" s="174">
        <v>40801</v>
      </c>
      <c r="B127" s="161" t="s">
        <v>745</v>
      </c>
      <c r="C127" s="98" t="s">
        <v>8</v>
      </c>
      <c r="D127" s="98" t="s">
        <v>26</v>
      </c>
      <c r="E127" s="175">
        <v>10</v>
      </c>
      <c r="F127" s="175">
        <v>10.5</v>
      </c>
      <c r="G127" s="176">
        <v>105</v>
      </c>
      <c r="H127" s="101">
        <v>31</v>
      </c>
      <c r="K127"/>
    </row>
    <row r="128" spans="1:11" x14ac:dyDescent="0.25">
      <c r="A128" s="174">
        <v>40801</v>
      </c>
      <c r="B128" s="161" t="s">
        <v>748</v>
      </c>
      <c r="C128" s="98" t="s">
        <v>747</v>
      </c>
      <c r="D128" s="98" t="s">
        <v>26</v>
      </c>
      <c r="E128" s="175">
        <v>10</v>
      </c>
      <c r="F128" s="175">
        <v>90</v>
      </c>
      <c r="G128" s="176">
        <v>900</v>
      </c>
      <c r="H128" s="101">
        <v>31</v>
      </c>
      <c r="K128"/>
    </row>
    <row r="129" spans="1:11" x14ac:dyDescent="0.25">
      <c r="A129" s="174">
        <v>40801</v>
      </c>
      <c r="B129" s="161" t="s">
        <v>765</v>
      </c>
      <c r="C129" s="98" t="s">
        <v>766</v>
      </c>
      <c r="D129" s="98" t="s">
        <v>26</v>
      </c>
      <c r="E129" s="175">
        <v>10</v>
      </c>
      <c r="F129" s="175">
        <v>110</v>
      </c>
      <c r="G129" s="176">
        <v>1100</v>
      </c>
      <c r="H129" s="101">
        <v>31</v>
      </c>
      <c r="K129"/>
    </row>
    <row r="130" spans="1:11" x14ac:dyDescent="0.25">
      <c r="A130" s="174">
        <v>40801</v>
      </c>
      <c r="B130" s="161" t="s">
        <v>768</v>
      </c>
      <c r="C130" s="98" t="s">
        <v>750</v>
      </c>
      <c r="D130" s="98" t="s">
        <v>26</v>
      </c>
      <c r="E130" s="175">
        <v>10</v>
      </c>
      <c r="F130" s="175">
        <v>95</v>
      </c>
      <c r="G130" s="176">
        <v>950</v>
      </c>
      <c r="H130" s="101">
        <v>31</v>
      </c>
      <c r="K130"/>
    </row>
    <row r="131" spans="1:11" x14ac:dyDescent="0.25">
      <c r="A131" s="174">
        <v>40802</v>
      </c>
      <c r="B131" s="161" t="s">
        <v>748</v>
      </c>
      <c r="C131" s="98" t="s">
        <v>747</v>
      </c>
      <c r="D131" s="98" t="s">
        <v>26</v>
      </c>
      <c r="E131" s="175">
        <v>8.5</v>
      </c>
      <c r="F131" s="175">
        <v>90</v>
      </c>
      <c r="G131" s="176">
        <v>765</v>
      </c>
      <c r="H131" s="101">
        <v>31</v>
      </c>
      <c r="K131"/>
    </row>
    <row r="132" spans="1:11" x14ac:dyDescent="0.25">
      <c r="A132" s="174">
        <v>40802</v>
      </c>
      <c r="B132" s="161" t="s">
        <v>763</v>
      </c>
      <c r="C132" s="98" t="s">
        <v>764</v>
      </c>
      <c r="D132" s="98" t="s">
        <v>26</v>
      </c>
      <c r="E132" s="175">
        <v>8</v>
      </c>
      <c r="F132" s="175">
        <v>100</v>
      </c>
      <c r="G132" s="176">
        <v>800</v>
      </c>
      <c r="H132" s="101">
        <v>31</v>
      </c>
      <c r="K132"/>
    </row>
    <row r="133" spans="1:11" x14ac:dyDescent="0.25">
      <c r="A133" s="174">
        <v>40802</v>
      </c>
      <c r="B133" s="161" t="s">
        <v>765</v>
      </c>
      <c r="C133" s="98" t="s">
        <v>766</v>
      </c>
      <c r="D133" s="98" t="s">
        <v>26</v>
      </c>
      <c r="E133" s="175">
        <v>8</v>
      </c>
      <c r="F133" s="175">
        <v>110</v>
      </c>
      <c r="G133" s="176">
        <v>880</v>
      </c>
      <c r="H133" s="101">
        <v>31</v>
      </c>
      <c r="K133"/>
    </row>
    <row r="134" spans="1:11" x14ac:dyDescent="0.25">
      <c r="A134" s="174">
        <v>40802</v>
      </c>
      <c r="B134" s="161" t="s">
        <v>745</v>
      </c>
      <c r="C134" s="98" t="s">
        <v>8</v>
      </c>
      <c r="D134" s="98" t="s">
        <v>26</v>
      </c>
      <c r="E134" s="175">
        <v>8</v>
      </c>
      <c r="F134" s="175">
        <v>35.35</v>
      </c>
      <c r="G134" s="176">
        <v>282.8</v>
      </c>
      <c r="H134" s="101">
        <v>31</v>
      </c>
      <c r="K134"/>
    </row>
    <row r="135" spans="1:11" x14ac:dyDescent="0.25">
      <c r="A135" s="174">
        <v>40802</v>
      </c>
      <c r="B135" s="161" t="s">
        <v>745</v>
      </c>
      <c r="C135" s="98" t="s">
        <v>8</v>
      </c>
      <c r="D135" s="98" t="s">
        <v>26</v>
      </c>
      <c r="E135" s="175">
        <v>8</v>
      </c>
      <c r="F135" s="175">
        <v>10.5</v>
      </c>
      <c r="G135" s="176">
        <v>84</v>
      </c>
      <c r="H135" s="101">
        <v>31</v>
      </c>
      <c r="K135"/>
    </row>
    <row r="136" spans="1:11" x14ac:dyDescent="0.25">
      <c r="A136" s="174">
        <v>40802</v>
      </c>
      <c r="B136" s="161" t="s">
        <v>359</v>
      </c>
      <c r="C136" s="98" t="s">
        <v>752</v>
      </c>
      <c r="D136" s="98" t="s">
        <v>26</v>
      </c>
      <c r="E136" s="175">
        <v>8</v>
      </c>
      <c r="F136" s="175">
        <v>11.67</v>
      </c>
      <c r="G136" s="176">
        <v>93.36</v>
      </c>
      <c r="H136" s="101">
        <v>31</v>
      </c>
      <c r="K136"/>
    </row>
    <row r="137" spans="1:11" x14ac:dyDescent="0.25">
      <c r="A137" s="174">
        <v>40802</v>
      </c>
      <c r="B137" s="161" t="s">
        <v>768</v>
      </c>
      <c r="C137" s="98" t="s">
        <v>750</v>
      </c>
      <c r="D137" s="98" t="s">
        <v>26</v>
      </c>
      <c r="E137" s="175">
        <v>8</v>
      </c>
      <c r="F137" s="175">
        <v>95</v>
      </c>
      <c r="G137" s="176">
        <v>760</v>
      </c>
      <c r="H137" s="101">
        <v>31</v>
      </c>
      <c r="K137"/>
    </row>
    <row r="138" spans="1:11" x14ac:dyDescent="0.25">
      <c r="A138" s="174">
        <v>40802</v>
      </c>
      <c r="B138" s="161" t="s">
        <v>769</v>
      </c>
      <c r="C138" s="98" t="s">
        <v>770</v>
      </c>
      <c r="D138" s="98" t="s">
        <v>39</v>
      </c>
      <c r="E138" s="175">
        <v>1</v>
      </c>
      <c r="F138" s="175">
        <v>125</v>
      </c>
      <c r="G138" s="176">
        <v>125</v>
      </c>
      <c r="H138" s="101">
        <v>31</v>
      </c>
      <c r="K138"/>
    </row>
    <row r="139" spans="1:11" x14ac:dyDescent="0.25">
      <c r="A139" s="174">
        <v>40803</v>
      </c>
      <c r="B139" s="161" t="s">
        <v>768</v>
      </c>
      <c r="C139" s="98" t="s">
        <v>750</v>
      </c>
      <c r="D139" s="98" t="s">
        <v>26</v>
      </c>
      <c r="E139" s="175">
        <v>8</v>
      </c>
      <c r="F139" s="175">
        <v>95</v>
      </c>
      <c r="G139" s="176">
        <v>760</v>
      </c>
      <c r="H139" s="101">
        <v>31</v>
      </c>
      <c r="K139"/>
    </row>
    <row r="140" spans="1:11" x14ac:dyDescent="0.25">
      <c r="A140" s="174">
        <v>40803</v>
      </c>
      <c r="B140" s="161" t="s">
        <v>765</v>
      </c>
      <c r="C140" s="98" t="s">
        <v>766</v>
      </c>
      <c r="D140" s="98" t="s">
        <v>26</v>
      </c>
      <c r="E140" s="175">
        <v>8</v>
      </c>
      <c r="F140" s="175">
        <v>110</v>
      </c>
      <c r="G140" s="176">
        <v>880</v>
      </c>
      <c r="H140" s="101">
        <v>31</v>
      </c>
      <c r="K140"/>
    </row>
    <row r="141" spans="1:11" x14ac:dyDescent="0.25">
      <c r="A141" s="174">
        <v>40803</v>
      </c>
      <c r="B141" s="161" t="s">
        <v>748</v>
      </c>
      <c r="C141" s="98" t="s">
        <v>747</v>
      </c>
      <c r="D141" s="98" t="s">
        <v>26</v>
      </c>
      <c r="E141" s="175">
        <v>8</v>
      </c>
      <c r="F141" s="175">
        <v>60</v>
      </c>
      <c r="G141" s="176">
        <v>480</v>
      </c>
      <c r="H141" s="101">
        <v>31</v>
      </c>
      <c r="K141"/>
    </row>
    <row r="142" spans="1:11" x14ac:dyDescent="0.25">
      <c r="A142" s="174">
        <v>40803</v>
      </c>
      <c r="B142" s="161" t="s">
        <v>745</v>
      </c>
      <c r="C142" s="98" t="s">
        <v>8</v>
      </c>
      <c r="D142" s="98" t="s">
        <v>26</v>
      </c>
      <c r="E142" s="175">
        <v>8</v>
      </c>
      <c r="F142" s="175">
        <v>35.35</v>
      </c>
      <c r="G142" s="176">
        <v>282.8</v>
      </c>
      <c r="H142" s="101">
        <v>31</v>
      </c>
      <c r="K142"/>
    </row>
    <row r="143" spans="1:11" x14ac:dyDescent="0.25">
      <c r="A143" s="174">
        <v>40803</v>
      </c>
      <c r="B143" s="161" t="s">
        <v>745</v>
      </c>
      <c r="C143" s="98" t="s">
        <v>8</v>
      </c>
      <c r="D143" s="98" t="s">
        <v>26</v>
      </c>
      <c r="E143" s="175">
        <v>8</v>
      </c>
      <c r="F143" s="175">
        <v>10.5</v>
      </c>
      <c r="G143" s="176">
        <v>84</v>
      </c>
      <c r="H143" s="101">
        <v>31</v>
      </c>
      <c r="K143"/>
    </row>
    <row r="144" spans="1:11" x14ac:dyDescent="0.25">
      <c r="A144" s="174">
        <v>40803</v>
      </c>
      <c r="B144" s="161" t="s">
        <v>769</v>
      </c>
      <c r="C144" s="98" t="s">
        <v>770</v>
      </c>
      <c r="D144" s="98" t="s">
        <v>39</v>
      </c>
      <c r="E144" s="175">
        <v>1</v>
      </c>
      <c r="F144" s="175">
        <v>125</v>
      </c>
      <c r="G144" s="176">
        <v>125</v>
      </c>
      <c r="H144" s="101">
        <v>31</v>
      </c>
      <c r="K144"/>
    </row>
    <row r="145" spans="1:11" x14ac:dyDescent="0.25">
      <c r="A145" s="174">
        <v>40803</v>
      </c>
      <c r="B145" s="161" t="s">
        <v>763</v>
      </c>
      <c r="C145" s="98" t="s">
        <v>764</v>
      </c>
      <c r="D145" s="98" t="s">
        <v>26</v>
      </c>
      <c r="E145" s="175">
        <v>1</v>
      </c>
      <c r="F145" s="175">
        <v>100</v>
      </c>
      <c r="G145" s="176">
        <v>100</v>
      </c>
      <c r="H145" s="101">
        <v>31</v>
      </c>
      <c r="K145"/>
    </row>
    <row r="146" spans="1:11" x14ac:dyDescent="0.25">
      <c r="A146" s="174">
        <v>40804</v>
      </c>
      <c r="B146" s="161" t="s">
        <v>748</v>
      </c>
      <c r="C146" s="98" t="s">
        <v>747</v>
      </c>
      <c r="D146" s="98" t="s">
        <v>26</v>
      </c>
      <c r="E146" s="175">
        <v>2</v>
      </c>
      <c r="F146" s="175">
        <v>60</v>
      </c>
      <c r="G146" s="176">
        <v>120</v>
      </c>
      <c r="H146" s="101">
        <v>31</v>
      </c>
      <c r="K146"/>
    </row>
    <row r="147" spans="1:11" x14ac:dyDescent="0.25">
      <c r="A147" s="174">
        <v>40804</v>
      </c>
      <c r="B147" s="161" t="s">
        <v>742</v>
      </c>
      <c r="C147" s="98" t="s">
        <v>8</v>
      </c>
      <c r="D147" s="98" t="s">
        <v>26</v>
      </c>
      <c r="E147" s="175">
        <v>2</v>
      </c>
      <c r="F147" s="175">
        <v>44.2</v>
      </c>
      <c r="G147" s="176">
        <v>88.4</v>
      </c>
      <c r="H147" s="101">
        <v>31</v>
      </c>
      <c r="K147"/>
    </row>
    <row r="148" spans="1:11" x14ac:dyDescent="0.25">
      <c r="A148" s="174">
        <v>40805</v>
      </c>
      <c r="B148" s="161" t="s">
        <v>745</v>
      </c>
      <c r="C148" s="98" t="s">
        <v>8</v>
      </c>
      <c r="D148" s="98" t="s">
        <v>26</v>
      </c>
      <c r="E148" s="175">
        <v>10</v>
      </c>
      <c r="F148" s="175">
        <v>10.5</v>
      </c>
      <c r="G148" s="176">
        <v>105</v>
      </c>
      <c r="H148" s="101">
        <v>31</v>
      </c>
      <c r="K148"/>
    </row>
    <row r="149" spans="1:11" x14ac:dyDescent="0.25">
      <c r="A149" s="174">
        <v>40805</v>
      </c>
      <c r="B149" s="161" t="s">
        <v>768</v>
      </c>
      <c r="C149" s="98" t="s">
        <v>750</v>
      </c>
      <c r="D149" s="98" t="s">
        <v>26</v>
      </c>
      <c r="E149" s="175">
        <v>10</v>
      </c>
      <c r="F149" s="175">
        <v>95</v>
      </c>
      <c r="G149" s="176">
        <v>950</v>
      </c>
      <c r="H149" s="101">
        <v>31</v>
      </c>
      <c r="K149"/>
    </row>
    <row r="150" spans="1:11" x14ac:dyDescent="0.25">
      <c r="A150" s="174">
        <v>40805</v>
      </c>
      <c r="B150" s="161" t="s">
        <v>769</v>
      </c>
      <c r="C150" s="98" t="s">
        <v>770</v>
      </c>
      <c r="D150" s="98" t="s">
        <v>39</v>
      </c>
      <c r="E150" s="175">
        <v>1</v>
      </c>
      <c r="F150" s="175">
        <v>125</v>
      </c>
      <c r="G150" s="176">
        <v>125</v>
      </c>
      <c r="H150" s="101">
        <v>31</v>
      </c>
      <c r="K150"/>
    </row>
    <row r="151" spans="1:11" x14ac:dyDescent="0.25">
      <c r="A151" s="174">
        <v>40805</v>
      </c>
      <c r="B151" s="161" t="s">
        <v>748</v>
      </c>
      <c r="C151" s="98" t="s">
        <v>747</v>
      </c>
      <c r="D151" s="98" t="s">
        <v>26</v>
      </c>
      <c r="E151" s="175">
        <v>10</v>
      </c>
      <c r="F151" s="175">
        <v>90</v>
      </c>
      <c r="G151" s="176">
        <v>900</v>
      </c>
      <c r="H151" s="101">
        <v>31</v>
      </c>
      <c r="K151"/>
    </row>
    <row r="152" spans="1:11" x14ac:dyDescent="0.25">
      <c r="A152" s="174">
        <v>40805</v>
      </c>
      <c r="B152" s="161" t="s">
        <v>765</v>
      </c>
      <c r="C152" s="98" t="s">
        <v>766</v>
      </c>
      <c r="D152" s="98" t="s">
        <v>26</v>
      </c>
      <c r="E152" s="175">
        <v>10</v>
      </c>
      <c r="F152" s="175">
        <v>110</v>
      </c>
      <c r="G152" s="176">
        <v>1100</v>
      </c>
      <c r="H152" s="101">
        <v>31</v>
      </c>
      <c r="K152"/>
    </row>
    <row r="153" spans="1:11" x14ac:dyDescent="0.25">
      <c r="A153" s="174">
        <v>40806</v>
      </c>
      <c r="B153" s="161" t="s">
        <v>748</v>
      </c>
      <c r="C153" s="98" t="s">
        <v>747</v>
      </c>
      <c r="D153" s="98" t="s">
        <v>26</v>
      </c>
      <c r="E153" s="175">
        <v>10</v>
      </c>
      <c r="F153" s="175">
        <v>90</v>
      </c>
      <c r="G153" s="176">
        <v>900</v>
      </c>
      <c r="H153" s="101">
        <v>31</v>
      </c>
      <c r="K153"/>
    </row>
    <row r="154" spans="1:11" x14ac:dyDescent="0.25">
      <c r="A154" s="174">
        <v>40806</v>
      </c>
      <c r="B154" s="161" t="s">
        <v>745</v>
      </c>
      <c r="C154" s="98" t="s">
        <v>8</v>
      </c>
      <c r="D154" s="98" t="s">
        <v>26</v>
      </c>
      <c r="E154" s="175">
        <v>7.5</v>
      </c>
      <c r="F154" s="175">
        <v>35.35</v>
      </c>
      <c r="G154" s="176">
        <v>265.125</v>
      </c>
      <c r="H154" s="101">
        <v>31</v>
      </c>
      <c r="K154"/>
    </row>
    <row r="155" spans="1:11" x14ac:dyDescent="0.25">
      <c r="A155" s="174">
        <v>40806</v>
      </c>
      <c r="B155" s="161" t="s">
        <v>745</v>
      </c>
      <c r="C155" s="98" t="s">
        <v>8</v>
      </c>
      <c r="D155" s="98" t="s">
        <v>26</v>
      </c>
      <c r="E155" s="175">
        <v>7.5</v>
      </c>
      <c r="F155" s="175">
        <v>10.5</v>
      </c>
      <c r="G155" s="176">
        <v>78.75</v>
      </c>
      <c r="H155" s="101">
        <v>31</v>
      </c>
      <c r="K155"/>
    </row>
    <row r="156" spans="1:11" x14ac:dyDescent="0.25">
      <c r="A156" s="174">
        <v>40806</v>
      </c>
      <c r="B156" s="161" t="s">
        <v>769</v>
      </c>
      <c r="C156" s="98" t="s">
        <v>770</v>
      </c>
      <c r="D156" s="98" t="s">
        <v>39</v>
      </c>
      <c r="E156" s="175">
        <v>1</v>
      </c>
      <c r="F156" s="175">
        <v>125</v>
      </c>
      <c r="G156" s="176">
        <v>125</v>
      </c>
      <c r="H156" s="101">
        <v>31</v>
      </c>
      <c r="K156"/>
    </row>
    <row r="157" spans="1:11" x14ac:dyDescent="0.25">
      <c r="A157" s="174">
        <v>40806</v>
      </c>
      <c r="B157" s="161" t="s">
        <v>765</v>
      </c>
      <c r="C157" s="98" t="s">
        <v>766</v>
      </c>
      <c r="D157" s="98" t="s">
        <v>26</v>
      </c>
      <c r="E157" s="175">
        <v>10</v>
      </c>
      <c r="F157" s="175">
        <v>110</v>
      </c>
      <c r="G157" s="176">
        <v>1100</v>
      </c>
      <c r="H157" s="101">
        <v>31</v>
      </c>
      <c r="K157"/>
    </row>
    <row r="158" spans="1:11" x14ac:dyDescent="0.25">
      <c r="A158" s="174">
        <v>40806</v>
      </c>
      <c r="B158" s="161" t="s">
        <v>768</v>
      </c>
      <c r="C158" s="98" t="s">
        <v>750</v>
      </c>
      <c r="D158" s="98" t="s">
        <v>26</v>
      </c>
      <c r="E158" s="175">
        <v>10</v>
      </c>
      <c r="F158" s="175">
        <v>95</v>
      </c>
      <c r="G158" s="176">
        <v>950</v>
      </c>
      <c r="H158" s="101">
        <v>31</v>
      </c>
      <c r="K158"/>
    </row>
    <row r="159" spans="1:11" x14ac:dyDescent="0.25">
      <c r="A159" s="174">
        <v>40807</v>
      </c>
      <c r="B159" s="161" t="s">
        <v>745</v>
      </c>
      <c r="C159" s="98" t="s">
        <v>8</v>
      </c>
      <c r="D159" s="98" t="s">
        <v>26</v>
      </c>
      <c r="E159" s="175">
        <v>8</v>
      </c>
      <c r="F159" s="175">
        <v>35.35</v>
      </c>
      <c r="G159" s="176">
        <v>282.8</v>
      </c>
      <c r="H159" s="101">
        <v>31</v>
      </c>
      <c r="K159"/>
    </row>
    <row r="160" spans="1:11" x14ac:dyDescent="0.25">
      <c r="A160" s="174">
        <v>40807</v>
      </c>
      <c r="B160" s="161" t="s">
        <v>763</v>
      </c>
      <c r="C160" s="98" t="s">
        <v>764</v>
      </c>
      <c r="D160" s="98" t="s">
        <v>26</v>
      </c>
      <c r="E160" s="175">
        <v>3</v>
      </c>
      <c r="F160" s="175">
        <v>100</v>
      </c>
      <c r="G160" s="176">
        <v>300</v>
      </c>
      <c r="H160" s="101">
        <v>31</v>
      </c>
      <c r="K160"/>
    </row>
    <row r="161" spans="1:11" x14ac:dyDescent="0.25">
      <c r="A161" s="174">
        <v>40807</v>
      </c>
      <c r="B161" s="161" t="s">
        <v>745</v>
      </c>
      <c r="C161" s="98" t="s">
        <v>8</v>
      </c>
      <c r="D161" s="98" t="s">
        <v>26</v>
      </c>
      <c r="E161" s="175">
        <v>8</v>
      </c>
      <c r="F161" s="175">
        <v>10.5</v>
      </c>
      <c r="G161" s="176">
        <v>84</v>
      </c>
      <c r="H161" s="101">
        <v>31</v>
      </c>
      <c r="K161"/>
    </row>
    <row r="162" spans="1:11" x14ac:dyDescent="0.25">
      <c r="A162" s="174">
        <v>40807</v>
      </c>
      <c r="B162" s="161" t="s">
        <v>748</v>
      </c>
      <c r="C162" s="98" t="s">
        <v>747</v>
      </c>
      <c r="D162" s="98" t="s">
        <v>26</v>
      </c>
      <c r="E162" s="175">
        <v>10</v>
      </c>
      <c r="F162" s="175">
        <v>90</v>
      </c>
      <c r="G162" s="176">
        <v>900</v>
      </c>
      <c r="H162" s="101">
        <v>31</v>
      </c>
      <c r="K162"/>
    </row>
    <row r="163" spans="1:11" x14ac:dyDescent="0.25">
      <c r="A163" s="174">
        <v>40807</v>
      </c>
      <c r="B163" s="161" t="s">
        <v>769</v>
      </c>
      <c r="C163" s="98" t="s">
        <v>770</v>
      </c>
      <c r="D163" s="98" t="s">
        <v>39</v>
      </c>
      <c r="E163" s="175">
        <v>1</v>
      </c>
      <c r="F163" s="175">
        <v>125</v>
      </c>
      <c r="G163" s="176">
        <v>125</v>
      </c>
      <c r="H163" s="101">
        <v>31</v>
      </c>
      <c r="K163"/>
    </row>
    <row r="164" spans="1:11" x14ac:dyDescent="0.25">
      <c r="A164" s="174">
        <v>40807</v>
      </c>
      <c r="B164" s="161" t="s">
        <v>768</v>
      </c>
      <c r="C164" s="98" t="s">
        <v>750</v>
      </c>
      <c r="D164" s="98" t="s">
        <v>26</v>
      </c>
      <c r="E164" s="175">
        <v>6.5</v>
      </c>
      <c r="F164" s="175">
        <v>95</v>
      </c>
      <c r="G164" s="176">
        <v>617.5</v>
      </c>
      <c r="H164" s="101">
        <v>31</v>
      </c>
      <c r="K164"/>
    </row>
    <row r="165" spans="1:11" x14ac:dyDescent="0.25">
      <c r="A165" s="174">
        <v>40807</v>
      </c>
      <c r="B165" s="161" t="s">
        <v>765</v>
      </c>
      <c r="C165" s="98" t="s">
        <v>766</v>
      </c>
      <c r="D165" s="98" t="s">
        <v>26</v>
      </c>
      <c r="E165" s="175">
        <v>6.5</v>
      </c>
      <c r="F165" s="175">
        <v>110</v>
      </c>
      <c r="G165" s="176">
        <v>715</v>
      </c>
      <c r="H165" s="101">
        <v>31</v>
      </c>
      <c r="K165"/>
    </row>
    <row r="166" spans="1:11" x14ac:dyDescent="0.25">
      <c r="A166" s="174">
        <v>40808</v>
      </c>
      <c r="B166" s="161" t="s">
        <v>765</v>
      </c>
      <c r="C166" s="98" t="s">
        <v>766</v>
      </c>
      <c r="D166" s="98" t="s">
        <v>26</v>
      </c>
      <c r="E166" s="175">
        <v>8</v>
      </c>
      <c r="F166" s="175">
        <v>110</v>
      </c>
      <c r="G166" s="176">
        <v>880</v>
      </c>
      <c r="H166" s="101">
        <v>31</v>
      </c>
      <c r="K166"/>
    </row>
    <row r="167" spans="1:11" x14ac:dyDescent="0.25">
      <c r="A167" s="174">
        <v>40808</v>
      </c>
      <c r="B167" s="161" t="s">
        <v>748</v>
      </c>
      <c r="C167" s="98" t="s">
        <v>747</v>
      </c>
      <c r="D167" s="98" t="s">
        <v>26</v>
      </c>
      <c r="E167" s="175">
        <v>10</v>
      </c>
      <c r="F167" s="175">
        <v>90</v>
      </c>
      <c r="G167" s="176">
        <v>900</v>
      </c>
      <c r="H167" s="101">
        <v>31</v>
      </c>
      <c r="K167"/>
    </row>
    <row r="168" spans="1:11" x14ac:dyDescent="0.25">
      <c r="A168" s="174">
        <v>40808</v>
      </c>
      <c r="B168" s="161" t="s">
        <v>359</v>
      </c>
      <c r="C168" s="98" t="s">
        <v>752</v>
      </c>
      <c r="D168" s="98" t="s">
        <v>26</v>
      </c>
      <c r="E168" s="175">
        <v>8</v>
      </c>
      <c r="F168" s="175">
        <v>11.67</v>
      </c>
      <c r="G168" s="176">
        <v>93.36</v>
      </c>
      <c r="H168" s="101">
        <v>31</v>
      </c>
      <c r="K168"/>
    </row>
    <row r="169" spans="1:11" x14ac:dyDescent="0.25">
      <c r="A169" s="174">
        <v>40808</v>
      </c>
      <c r="B169" s="161" t="s">
        <v>768</v>
      </c>
      <c r="C169" s="98" t="s">
        <v>750</v>
      </c>
      <c r="D169" s="98" t="s">
        <v>26</v>
      </c>
      <c r="E169" s="175">
        <v>8</v>
      </c>
      <c r="F169" s="175">
        <v>95</v>
      </c>
      <c r="G169" s="176">
        <v>760</v>
      </c>
      <c r="H169" s="101">
        <v>31</v>
      </c>
      <c r="K169"/>
    </row>
    <row r="170" spans="1:11" x14ac:dyDescent="0.25">
      <c r="A170" s="174">
        <v>40809</v>
      </c>
      <c r="B170" s="161" t="s">
        <v>748</v>
      </c>
      <c r="C170" s="98" t="s">
        <v>747</v>
      </c>
      <c r="D170" s="98" t="s">
        <v>26</v>
      </c>
      <c r="E170" s="175">
        <v>4</v>
      </c>
      <c r="F170" s="175">
        <v>90</v>
      </c>
      <c r="G170" s="176">
        <v>360</v>
      </c>
      <c r="H170" s="101">
        <v>31</v>
      </c>
      <c r="K170"/>
    </row>
    <row r="171" spans="1:11" x14ac:dyDescent="0.25">
      <c r="A171" s="174">
        <v>40809</v>
      </c>
      <c r="B171" s="161" t="s">
        <v>765</v>
      </c>
      <c r="C171" s="98" t="s">
        <v>766</v>
      </c>
      <c r="D171" s="98" t="s">
        <v>26</v>
      </c>
      <c r="E171" s="175">
        <v>2</v>
      </c>
      <c r="F171" s="175">
        <v>110</v>
      </c>
      <c r="G171" s="176">
        <v>220</v>
      </c>
      <c r="H171" s="101">
        <v>31</v>
      </c>
      <c r="K171"/>
    </row>
    <row r="172" spans="1:11" x14ac:dyDescent="0.25">
      <c r="A172" s="174">
        <v>40809</v>
      </c>
      <c r="B172" s="161" t="s">
        <v>763</v>
      </c>
      <c r="C172" s="98" t="s">
        <v>764</v>
      </c>
      <c r="D172" s="98" t="s">
        <v>26</v>
      </c>
      <c r="E172" s="175">
        <v>1</v>
      </c>
      <c r="F172" s="175">
        <v>100</v>
      </c>
      <c r="G172" s="176">
        <v>100</v>
      </c>
      <c r="H172" s="101">
        <v>31</v>
      </c>
      <c r="K172"/>
    </row>
    <row r="173" spans="1:11" x14ac:dyDescent="0.25">
      <c r="A173" s="174">
        <v>40810</v>
      </c>
      <c r="B173" s="161" t="s">
        <v>748</v>
      </c>
      <c r="C173" s="98" t="s">
        <v>747</v>
      </c>
      <c r="D173" s="98" t="s">
        <v>26</v>
      </c>
      <c r="E173" s="175">
        <v>2.5</v>
      </c>
      <c r="F173" s="175">
        <v>90</v>
      </c>
      <c r="G173" s="176">
        <v>225</v>
      </c>
      <c r="H173" s="101">
        <v>31</v>
      </c>
      <c r="K173"/>
    </row>
    <row r="174" spans="1:11" x14ac:dyDescent="0.25">
      <c r="A174" s="174">
        <v>40812</v>
      </c>
      <c r="B174" s="161" t="s">
        <v>748</v>
      </c>
      <c r="C174" s="98" t="s">
        <v>747</v>
      </c>
      <c r="D174" s="98" t="s">
        <v>26</v>
      </c>
      <c r="E174" s="175">
        <v>10</v>
      </c>
      <c r="F174" s="175">
        <v>90</v>
      </c>
      <c r="G174" s="176">
        <v>900</v>
      </c>
      <c r="H174" s="101">
        <v>31</v>
      </c>
      <c r="K174"/>
    </row>
    <row r="175" spans="1:11" x14ac:dyDescent="0.25">
      <c r="A175" s="174">
        <v>40813</v>
      </c>
      <c r="B175" s="161" t="s">
        <v>748</v>
      </c>
      <c r="C175" s="98" t="s">
        <v>747</v>
      </c>
      <c r="D175" s="98" t="s">
        <v>26</v>
      </c>
      <c r="E175" s="175">
        <v>10</v>
      </c>
      <c r="F175" s="175">
        <v>90</v>
      </c>
      <c r="G175" s="176">
        <v>900</v>
      </c>
      <c r="H175" s="101">
        <v>31</v>
      </c>
      <c r="K175"/>
    </row>
    <row r="176" spans="1:11" x14ac:dyDescent="0.25">
      <c r="A176" s="174">
        <v>40814</v>
      </c>
      <c r="B176" s="161" t="s">
        <v>748</v>
      </c>
      <c r="C176" s="98" t="s">
        <v>747</v>
      </c>
      <c r="D176" s="98" t="s">
        <v>26</v>
      </c>
      <c r="E176" s="175">
        <v>9</v>
      </c>
      <c r="F176" s="175">
        <v>90</v>
      </c>
      <c r="G176" s="176">
        <v>810</v>
      </c>
      <c r="H176" s="101">
        <v>31</v>
      </c>
      <c r="K176"/>
    </row>
    <row r="177" spans="1:11" x14ac:dyDescent="0.25">
      <c r="A177" s="174">
        <v>40815</v>
      </c>
      <c r="B177" s="161" t="s">
        <v>748</v>
      </c>
      <c r="C177" s="98" t="s">
        <v>747</v>
      </c>
      <c r="D177" s="98" t="s">
        <v>26</v>
      </c>
      <c r="E177" s="175">
        <v>10</v>
      </c>
      <c r="F177" s="175">
        <v>90</v>
      </c>
      <c r="G177" s="176">
        <v>900</v>
      </c>
      <c r="H177" s="101">
        <v>31</v>
      </c>
      <c r="K177"/>
    </row>
    <row r="178" spans="1:11" x14ac:dyDescent="0.25">
      <c r="A178" s="174">
        <v>40816</v>
      </c>
      <c r="B178" s="161" t="s">
        <v>771</v>
      </c>
      <c r="C178" s="98" t="s">
        <v>772</v>
      </c>
      <c r="D178" s="98" t="s">
        <v>715</v>
      </c>
      <c r="E178" s="175">
        <v>1</v>
      </c>
      <c r="F178" s="175">
        <v>4696.71</v>
      </c>
      <c r="G178" s="176">
        <v>4696.71</v>
      </c>
      <c r="H178" s="101">
        <v>31</v>
      </c>
      <c r="K178"/>
    </row>
    <row r="179" spans="1:11" x14ac:dyDescent="0.25">
      <c r="A179" s="174">
        <v>40819</v>
      </c>
      <c r="B179" s="161" t="s">
        <v>773</v>
      </c>
      <c r="C179" s="98" t="s">
        <v>774</v>
      </c>
      <c r="D179" s="98" t="s">
        <v>26</v>
      </c>
      <c r="E179" s="175">
        <v>5</v>
      </c>
      <c r="F179" s="175">
        <v>95</v>
      </c>
      <c r="G179" s="176">
        <v>475</v>
      </c>
      <c r="H179" s="101">
        <v>31</v>
      </c>
      <c r="K179"/>
    </row>
    <row r="180" spans="1:11" x14ac:dyDescent="0.25">
      <c r="A180" s="174">
        <v>40821</v>
      </c>
      <c r="B180" s="161" t="s">
        <v>773</v>
      </c>
      <c r="C180" s="98" t="s">
        <v>774</v>
      </c>
      <c r="D180" s="98" t="s">
        <v>26</v>
      </c>
      <c r="E180" s="175">
        <v>5</v>
      </c>
      <c r="F180" s="175">
        <v>95</v>
      </c>
      <c r="G180" s="176">
        <v>475</v>
      </c>
      <c r="H180" s="101">
        <v>31</v>
      </c>
      <c r="K180"/>
    </row>
    <row r="181" spans="1:11" x14ac:dyDescent="0.25">
      <c r="A181" s="174">
        <v>40822</v>
      </c>
      <c r="B181" s="161" t="s">
        <v>773</v>
      </c>
      <c r="C181" s="98" t="s">
        <v>774</v>
      </c>
      <c r="D181" s="98" t="s">
        <v>26</v>
      </c>
      <c r="E181" s="175">
        <v>5</v>
      </c>
      <c r="F181" s="175">
        <v>95</v>
      </c>
      <c r="G181" s="176">
        <v>475</v>
      </c>
      <c r="H181" s="101">
        <v>31</v>
      </c>
      <c r="K181"/>
    </row>
    <row r="182" spans="1:11" x14ac:dyDescent="0.25">
      <c r="A182" s="174">
        <v>40823</v>
      </c>
      <c r="B182" s="161" t="s">
        <v>773</v>
      </c>
      <c r="C182" s="98" t="s">
        <v>774</v>
      </c>
      <c r="D182" s="98" t="s">
        <v>26</v>
      </c>
      <c r="E182" s="175">
        <v>3.5</v>
      </c>
      <c r="F182" s="175">
        <v>95</v>
      </c>
      <c r="G182" s="176">
        <v>332.5</v>
      </c>
      <c r="H182" s="101">
        <v>31</v>
      </c>
      <c r="K182"/>
    </row>
    <row r="183" spans="1:11" x14ac:dyDescent="0.25">
      <c r="A183" s="174">
        <v>40826</v>
      </c>
      <c r="B183" s="161" t="s">
        <v>773</v>
      </c>
      <c r="C183" s="98" t="s">
        <v>774</v>
      </c>
      <c r="D183" s="98" t="s">
        <v>26</v>
      </c>
      <c r="E183" s="175">
        <v>5</v>
      </c>
      <c r="F183" s="175">
        <v>95</v>
      </c>
      <c r="G183" s="176">
        <v>475</v>
      </c>
      <c r="H183" s="101">
        <v>31</v>
      </c>
      <c r="K183"/>
    </row>
    <row r="184" spans="1:11" x14ac:dyDescent="0.25">
      <c r="A184" s="174">
        <v>40827</v>
      </c>
      <c r="B184" s="161" t="s">
        <v>773</v>
      </c>
      <c r="C184" s="98" t="s">
        <v>774</v>
      </c>
      <c r="D184" s="98" t="s">
        <v>26</v>
      </c>
      <c r="E184" s="175">
        <v>5</v>
      </c>
      <c r="F184" s="175">
        <v>95</v>
      </c>
      <c r="G184" s="176">
        <v>475</v>
      </c>
      <c r="H184" s="101">
        <v>31</v>
      </c>
      <c r="K184"/>
    </row>
    <row r="185" spans="1:11" x14ac:dyDescent="0.25">
      <c r="A185" s="174">
        <v>40828</v>
      </c>
      <c r="B185" s="161" t="s">
        <v>773</v>
      </c>
      <c r="C185" s="98" t="s">
        <v>774</v>
      </c>
      <c r="D185" s="98" t="s">
        <v>26</v>
      </c>
      <c r="E185" s="175">
        <v>5</v>
      </c>
      <c r="F185" s="175">
        <v>95</v>
      </c>
      <c r="G185" s="176">
        <v>475</v>
      </c>
      <c r="H185" s="101">
        <v>31</v>
      </c>
      <c r="K185"/>
    </row>
    <row r="186" spans="1:11" x14ac:dyDescent="0.25">
      <c r="A186" s="174">
        <v>40829</v>
      </c>
      <c r="B186" s="161" t="s">
        <v>765</v>
      </c>
      <c r="C186" s="98" t="s">
        <v>766</v>
      </c>
      <c r="D186" s="98" t="s">
        <v>26</v>
      </c>
      <c r="E186" s="175">
        <v>5</v>
      </c>
      <c r="F186" s="175">
        <v>110</v>
      </c>
      <c r="G186" s="176">
        <v>550</v>
      </c>
      <c r="H186" s="101">
        <v>31</v>
      </c>
      <c r="K186"/>
    </row>
    <row r="187" spans="1:11" x14ac:dyDescent="0.25">
      <c r="A187" s="174">
        <v>40829</v>
      </c>
      <c r="B187" s="161" t="s">
        <v>773</v>
      </c>
      <c r="C187" s="98" t="s">
        <v>774</v>
      </c>
      <c r="D187" s="98" t="s">
        <v>26</v>
      </c>
      <c r="E187" s="175">
        <v>5</v>
      </c>
      <c r="F187" s="175">
        <v>95</v>
      </c>
      <c r="G187" s="176">
        <v>475</v>
      </c>
      <c r="H187" s="101">
        <v>31</v>
      </c>
      <c r="K187"/>
    </row>
    <row r="188" spans="1:11" x14ac:dyDescent="0.25">
      <c r="A188" s="174">
        <v>40830</v>
      </c>
      <c r="B188" s="161" t="s">
        <v>773</v>
      </c>
      <c r="C188" s="98" t="s">
        <v>774</v>
      </c>
      <c r="D188" s="98" t="s">
        <v>26</v>
      </c>
      <c r="E188" s="175">
        <v>2</v>
      </c>
      <c r="F188" s="175">
        <v>95</v>
      </c>
      <c r="G188" s="176">
        <v>190</v>
      </c>
      <c r="H188" s="101">
        <v>31</v>
      </c>
      <c r="K188"/>
    </row>
    <row r="189" spans="1:11" x14ac:dyDescent="0.25">
      <c r="A189" s="174">
        <v>40830</v>
      </c>
      <c r="B189" s="161" t="s">
        <v>765</v>
      </c>
      <c r="C189" s="98" t="s">
        <v>766</v>
      </c>
      <c r="D189" s="98" t="s">
        <v>26</v>
      </c>
      <c r="E189" s="175">
        <v>4</v>
      </c>
      <c r="F189" s="175">
        <v>110</v>
      </c>
      <c r="G189" s="176">
        <v>440</v>
      </c>
      <c r="H189" s="101">
        <v>31</v>
      </c>
      <c r="K189"/>
    </row>
    <row r="190" spans="1:11" x14ac:dyDescent="0.25">
      <c r="A190" s="174">
        <v>40831</v>
      </c>
      <c r="B190" s="161" t="s">
        <v>773</v>
      </c>
      <c r="C190" s="98" t="s">
        <v>774</v>
      </c>
      <c r="D190" s="98" t="s">
        <v>26</v>
      </c>
      <c r="E190" s="175">
        <v>2</v>
      </c>
      <c r="F190" s="175">
        <v>100</v>
      </c>
      <c r="G190" s="176">
        <v>200</v>
      </c>
      <c r="H190" s="101">
        <v>31</v>
      </c>
      <c r="K190"/>
    </row>
    <row r="191" spans="1:11" x14ac:dyDescent="0.25">
      <c r="A191" s="174">
        <v>40833</v>
      </c>
      <c r="B191" s="161" t="s">
        <v>773</v>
      </c>
      <c r="C191" s="98" t="s">
        <v>774</v>
      </c>
      <c r="D191" s="98" t="s">
        <v>26</v>
      </c>
      <c r="E191" s="175">
        <v>5</v>
      </c>
      <c r="F191" s="175">
        <v>95</v>
      </c>
      <c r="G191" s="176">
        <v>475</v>
      </c>
      <c r="H191" s="101">
        <v>31</v>
      </c>
      <c r="K191"/>
    </row>
    <row r="192" spans="1:11" x14ac:dyDescent="0.25">
      <c r="A192" s="174">
        <v>40961</v>
      </c>
      <c r="B192" s="161" t="s">
        <v>757</v>
      </c>
      <c r="C192" s="98" t="s">
        <v>758</v>
      </c>
      <c r="D192" s="98" t="s">
        <v>26</v>
      </c>
      <c r="E192" s="175">
        <v>4.5</v>
      </c>
      <c r="F192" s="175">
        <v>90</v>
      </c>
      <c r="G192" s="176">
        <v>405</v>
      </c>
      <c r="H192" s="101">
        <v>31</v>
      </c>
      <c r="K192"/>
    </row>
    <row r="193" spans="1:11" x14ac:dyDescent="0.25">
      <c r="A193" s="174">
        <v>41031</v>
      </c>
      <c r="B193" s="161" t="s">
        <v>745</v>
      </c>
      <c r="C193" s="98" t="s">
        <v>8</v>
      </c>
      <c r="D193" s="98" t="s">
        <v>26</v>
      </c>
      <c r="E193" s="175">
        <v>2</v>
      </c>
      <c r="F193" s="175">
        <v>35.35</v>
      </c>
      <c r="G193" s="176">
        <v>70.7</v>
      </c>
      <c r="H193" s="101">
        <v>31</v>
      </c>
      <c r="K193"/>
    </row>
    <row r="194" spans="1:11" x14ac:dyDescent="0.25">
      <c r="A194" s="174">
        <v>41040</v>
      </c>
      <c r="B194" s="161" t="s">
        <v>745</v>
      </c>
      <c r="C194" s="98" t="s">
        <v>8</v>
      </c>
      <c r="D194" s="98" t="s">
        <v>26</v>
      </c>
      <c r="E194" s="175">
        <v>6.5</v>
      </c>
      <c r="F194" s="175">
        <v>35.35</v>
      </c>
      <c r="G194" s="176">
        <v>229.77500000000001</v>
      </c>
      <c r="H194" s="101">
        <v>31</v>
      </c>
      <c r="K194"/>
    </row>
    <row r="195" spans="1:11" x14ac:dyDescent="0.25">
      <c r="A195" s="174">
        <v>41040</v>
      </c>
      <c r="B195" s="161" t="s">
        <v>745</v>
      </c>
      <c r="C195" s="98" t="s">
        <v>8</v>
      </c>
      <c r="D195" s="98" t="s">
        <v>26</v>
      </c>
      <c r="E195" s="175">
        <v>6.5</v>
      </c>
      <c r="F195" s="175">
        <v>35.35</v>
      </c>
      <c r="G195" s="176">
        <v>229.77500000000001</v>
      </c>
      <c r="H195" s="101">
        <v>31</v>
      </c>
      <c r="K195"/>
    </row>
    <row r="196" spans="1:11" x14ac:dyDescent="0.25">
      <c r="A196" s="174">
        <v>41040</v>
      </c>
      <c r="B196" s="161" t="s">
        <v>749</v>
      </c>
      <c r="C196" s="98" t="s">
        <v>775</v>
      </c>
      <c r="D196" s="98" t="s">
        <v>26</v>
      </c>
      <c r="E196" s="175">
        <v>6</v>
      </c>
      <c r="F196" s="175">
        <v>65</v>
      </c>
      <c r="G196" s="176">
        <v>390</v>
      </c>
      <c r="H196" s="101">
        <v>31</v>
      </c>
      <c r="K196"/>
    </row>
    <row r="197" spans="1:11" x14ac:dyDescent="0.25">
      <c r="A197" s="174">
        <v>41040</v>
      </c>
      <c r="B197" s="161" t="s">
        <v>776</v>
      </c>
      <c r="C197" s="98" t="s">
        <v>775</v>
      </c>
      <c r="D197" s="98" t="s">
        <v>26</v>
      </c>
      <c r="E197" s="175">
        <v>7</v>
      </c>
      <c r="F197" s="175">
        <v>95</v>
      </c>
      <c r="G197" s="176">
        <v>665</v>
      </c>
      <c r="H197" s="101">
        <v>31</v>
      </c>
      <c r="K197"/>
    </row>
    <row r="198" spans="1:11" x14ac:dyDescent="0.25">
      <c r="A198" s="177" t="s">
        <v>643</v>
      </c>
      <c r="B198" s="178" t="s">
        <v>777</v>
      </c>
      <c r="C198" s="179" t="s">
        <v>643</v>
      </c>
      <c r="D198" s="179" t="s">
        <v>643</v>
      </c>
      <c r="E198" s="180"/>
      <c r="F198" s="180"/>
      <c r="G198" s="181">
        <v>72746.429999999993</v>
      </c>
      <c r="H198" s="188" t="s">
        <v>643</v>
      </c>
      <c r="K198"/>
    </row>
    <row r="199" spans="1:11" x14ac:dyDescent="0.25">
      <c r="A199" s="174" t="s">
        <v>643</v>
      </c>
      <c r="B199" s="161" t="s">
        <v>643</v>
      </c>
      <c r="C199" s="98" t="s">
        <v>643</v>
      </c>
      <c r="D199" s="98" t="s">
        <v>643</v>
      </c>
      <c r="E199" s="175"/>
      <c r="F199" s="175"/>
      <c r="G199" s="176"/>
      <c r="H199" s="101" t="s">
        <v>643</v>
      </c>
      <c r="K199"/>
    </row>
    <row r="200" spans="1:11" x14ac:dyDescent="0.25">
      <c r="A200" s="171" t="s">
        <v>643</v>
      </c>
      <c r="B200" s="164" t="s">
        <v>1176</v>
      </c>
      <c r="C200" s="100" t="s">
        <v>643</v>
      </c>
      <c r="D200" s="100" t="s">
        <v>643</v>
      </c>
      <c r="E200" s="172"/>
      <c r="F200" s="172"/>
      <c r="G200" s="173"/>
      <c r="H200" s="187" t="s">
        <v>643</v>
      </c>
      <c r="K200"/>
    </row>
    <row r="201" spans="1:11" x14ac:dyDescent="0.25">
      <c r="A201" s="174">
        <v>40827</v>
      </c>
      <c r="B201" s="161" t="s">
        <v>745</v>
      </c>
      <c r="C201" s="98" t="s">
        <v>8</v>
      </c>
      <c r="D201" s="98" t="s">
        <v>26</v>
      </c>
      <c r="E201" s="175">
        <v>9.5</v>
      </c>
      <c r="F201" s="175">
        <v>35.35</v>
      </c>
      <c r="G201" s="176">
        <v>335.82499999999999</v>
      </c>
      <c r="H201" s="101">
        <v>41</v>
      </c>
      <c r="K201"/>
    </row>
    <row r="202" spans="1:11" x14ac:dyDescent="0.25">
      <c r="A202" s="174">
        <v>40827</v>
      </c>
      <c r="B202" s="161" t="s">
        <v>745</v>
      </c>
      <c r="C202" s="98" t="s">
        <v>8</v>
      </c>
      <c r="D202" s="98" t="s">
        <v>26</v>
      </c>
      <c r="E202" s="175">
        <v>9.5</v>
      </c>
      <c r="F202" s="175">
        <v>35.35</v>
      </c>
      <c r="G202" s="176">
        <v>335.82499999999999</v>
      </c>
      <c r="H202" s="101">
        <v>41</v>
      </c>
      <c r="K202"/>
    </row>
    <row r="203" spans="1:11" x14ac:dyDescent="0.25">
      <c r="A203" s="174">
        <v>40827</v>
      </c>
      <c r="B203" s="161" t="s">
        <v>745</v>
      </c>
      <c r="C203" s="98" t="s">
        <v>8</v>
      </c>
      <c r="D203" s="98" t="s">
        <v>26</v>
      </c>
      <c r="E203" s="175">
        <v>9.5</v>
      </c>
      <c r="F203" s="175">
        <v>35.35</v>
      </c>
      <c r="G203" s="176">
        <v>335.82499999999999</v>
      </c>
      <c r="H203" s="101">
        <v>41</v>
      </c>
      <c r="K203"/>
    </row>
    <row r="204" spans="1:11" x14ac:dyDescent="0.25">
      <c r="A204" s="174">
        <v>40827</v>
      </c>
      <c r="B204" s="161" t="s">
        <v>778</v>
      </c>
      <c r="C204" s="98" t="s">
        <v>779</v>
      </c>
      <c r="D204" s="98" t="s">
        <v>26</v>
      </c>
      <c r="E204" s="175">
        <v>8.5</v>
      </c>
      <c r="F204" s="175">
        <v>90</v>
      </c>
      <c r="G204" s="176">
        <v>765</v>
      </c>
      <c r="H204" s="101">
        <v>41</v>
      </c>
      <c r="K204"/>
    </row>
    <row r="205" spans="1:11" x14ac:dyDescent="0.25">
      <c r="A205" s="174">
        <v>40827</v>
      </c>
      <c r="B205" s="161" t="s">
        <v>763</v>
      </c>
      <c r="C205" s="98" t="s">
        <v>764</v>
      </c>
      <c r="D205" s="98" t="s">
        <v>26</v>
      </c>
      <c r="E205" s="175">
        <v>8</v>
      </c>
      <c r="F205" s="175">
        <v>135</v>
      </c>
      <c r="G205" s="176">
        <v>1080</v>
      </c>
      <c r="H205" s="101">
        <v>41</v>
      </c>
      <c r="K205"/>
    </row>
    <row r="206" spans="1:11" x14ac:dyDescent="0.25">
      <c r="A206" s="174">
        <v>40857</v>
      </c>
      <c r="B206" s="161" t="s">
        <v>773</v>
      </c>
      <c r="C206" s="98" t="s">
        <v>774</v>
      </c>
      <c r="D206" s="98" t="s">
        <v>26</v>
      </c>
      <c r="E206" s="175">
        <v>5</v>
      </c>
      <c r="F206" s="175">
        <v>95</v>
      </c>
      <c r="G206" s="176">
        <v>475</v>
      </c>
      <c r="H206" s="101">
        <v>41</v>
      </c>
      <c r="K206"/>
    </row>
    <row r="207" spans="1:11" x14ac:dyDescent="0.25">
      <c r="A207" s="174">
        <v>40858</v>
      </c>
      <c r="B207" s="161" t="s">
        <v>778</v>
      </c>
      <c r="C207" s="98" t="s">
        <v>779</v>
      </c>
      <c r="D207" s="98" t="s">
        <v>26</v>
      </c>
      <c r="E207" s="175">
        <v>9</v>
      </c>
      <c r="F207" s="175">
        <v>100</v>
      </c>
      <c r="G207" s="176">
        <v>900</v>
      </c>
      <c r="H207" s="101">
        <v>41</v>
      </c>
      <c r="K207"/>
    </row>
    <row r="208" spans="1:11" x14ac:dyDescent="0.25">
      <c r="A208" s="174">
        <v>40858</v>
      </c>
      <c r="B208" s="161" t="s">
        <v>780</v>
      </c>
      <c r="C208" s="98" t="s">
        <v>764</v>
      </c>
      <c r="D208" s="98" t="s">
        <v>26</v>
      </c>
      <c r="E208" s="175">
        <v>9</v>
      </c>
      <c r="F208" s="175">
        <v>110</v>
      </c>
      <c r="G208" s="176">
        <v>990</v>
      </c>
      <c r="H208" s="101">
        <v>41</v>
      </c>
      <c r="K208"/>
    </row>
    <row r="209" spans="1:11" x14ac:dyDescent="0.25">
      <c r="A209" s="177" t="s">
        <v>643</v>
      </c>
      <c r="B209" s="178" t="s">
        <v>781</v>
      </c>
      <c r="C209" s="179" t="s">
        <v>643</v>
      </c>
      <c r="D209" s="179" t="s">
        <v>643</v>
      </c>
      <c r="E209" s="180"/>
      <c r="F209" s="180"/>
      <c r="G209" s="181">
        <v>5217.4750000000004</v>
      </c>
      <c r="H209" s="188" t="s">
        <v>643</v>
      </c>
      <c r="K209"/>
    </row>
    <row r="210" spans="1:11" x14ac:dyDescent="0.25">
      <c r="A210" s="174" t="s">
        <v>643</v>
      </c>
      <c r="B210" s="161" t="s">
        <v>643</v>
      </c>
      <c r="C210" s="98" t="s">
        <v>643</v>
      </c>
      <c r="D210" s="98" t="s">
        <v>643</v>
      </c>
      <c r="E210" s="175"/>
      <c r="F210" s="175"/>
      <c r="G210" s="176"/>
      <c r="H210" s="101" t="s">
        <v>643</v>
      </c>
      <c r="K210"/>
    </row>
    <row r="211" spans="1:11" x14ac:dyDescent="0.25">
      <c r="A211" s="171" t="s">
        <v>643</v>
      </c>
      <c r="B211" s="164" t="s">
        <v>1177</v>
      </c>
      <c r="C211" s="100" t="s">
        <v>643</v>
      </c>
      <c r="D211" s="100" t="s">
        <v>643</v>
      </c>
      <c r="E211" s="172"/>
      <c r="F211" s="172"/>
      <c r="G211" s="173"/>
      <c r="H211" s="187" t="s">
        <v>643</v>
      </c>
      <c r="K211"/>
    </row>
    <row r="212" spans="1:11" x14ac:dyDescent="0.25">
      <c r="A212" s="174">
        <v>40792</v>
      </c>
      <c r="B212" s="161" t="s">
        <v>745</v>
      </c>
      <c r="C212" s="98" t="s">
        <v>8</v>
      </c>
      <c r="D212" s="98" t="s">
        <v>26</v>
      </c>
      <c r="E212" s="175">
        <v>3</v>
      </c>
      <c r="F212" s="175">
        <v>35.35</v>
      </c>
      <c r="G212" s="176">
        <v>106.05</v>
      </c>
      <c r="H212" s="101">
        <v>53</v>
      </c>
      <c r="K212"/>
    </row>
    <row r="213" spans="1:11" x14ac:dyDescent="0.25">
      <c r="A213" s="174">
        <v>40792</v>
      </c>
      <c r="B213" s="161" t="s">
        <v>782</v>
      </c>
      <c r="C213" s="98" t="s">
        <v>750</v>
      </c>
      <c r="D213" s="98" t="s">
        <v>26</v>
      </c>
      <c r="E213" s="175">
        <v>3</v>
      </c>
      <c r="F213" s="175">
        <v>45</v>
      </c>
      <c r="G213" s="176">
        <v>135</v>
      </c>
      <c r="H213" s="101">
        <v>53</v>
      </c>
      <c r="K213"/>
    </row>
    <row r="214" spans="1:11" x14ac:dyDescent="0.25">
      <c r="A214" s="174">
        <v>40792</v>
      </c>
      <c r="B214" s="161" t="s">
        <v>742</v>
      </c>
      <c r="C214" s="98" t="s">
        <v>8</v>
      </c>
      <c r="D214" s="98" t="s">
        <v>26</v>
      </c>
      <c r="E214" s="175">
        <v>3</v>
      </c>
      <c r="F214" s="175">
        <v>44.2</v>
      </c>
      <c r="G214" s="176">
        <v>132.6</v>
      </c>
      <c r="H214" s="101">
        <v>53</v>
      </c>
      <c r="K214"/>
    </row>
    <row r="215" spans="1:11" x14ac:dyDescent="0.25">
      <c r="A215" s="174">
        <v>40792</v>
      </c>
      <c r="B215" s="161" t="s">
        <v>745</v>
      </c>
      <c r="C215" s="98" t="s">
        <v>8</v>
      </c>
      <c r="D215" s="98" t="s">
        <v>26</v>
      </c>
      <c r="E215" s="175">
        <v>3</v>
      </c>
      <c r="F215" s="175">
        <v>35.35</v>
      </c>
      <c r="G215" s="176">
        <v>106.05</v>
      </c>
      <c r="H215" s="101">
        <v>53</v>
      </c>
      <c r="K215"/>
    </row>
    <row r="216" spans="1:11" x14ac:dyDescent="0.25">
      <c r="A216" s="174">
        <v>40792</v>
      </c>
      <c r="B216" s="161" t="s">
        <v>783</v>
      </c>
      <c r="C216" s="98" t="s">
        <v>750</v>
      </c>
      <c r="D216" s="98" t="s">
        <v>26</v>
      </c>
      <c r="E216" s="175">
        <v>2</v>
      </c>
      <c r="F216" s="175">
        <v>95</v>
      </c>
      <c r="G216" s="176">
        <v>190</v>
      </c>
      <c r="H216" s="101">
        <v>53</v>
      </c>
      <c r="K216"/>
    </row>
    <row r="217" spans="1:11" x14ac:dyDescent="0.25">
      <c r="A217" s="174">
        <v>40792</v>
      </c>
      <c r="B217" s="161" t="s">
        <v>761</v>
      </c>
      <c r="C217" s="98" t="s">
        <v>8</v>
      </c>
      <c r="D217" s="98" t="s">
        <v>26</v>
      </c>
      <c r="E217" s="175">
        <v>3</v>
      </c>
      <c r="F217" s="175">
        <v>35.35</v>
      </c>
      <c r="G217" s="176">
        <v>106.05</v>
      </c>
      <c r="H217" s="101">
        <v>53</v>
      </c>
      <c r="K217"/>
    </row>
    <row r="218" spans="1:11" ht="30" x14ac:dyDescent="0.25">
      <c r="A218" s="174">
        <v>40792</v>
      </c>
      <c r="B218" s="161" t="s">
        <v>784</v>
      </c>
      <c r="C218" s="98" t="s">
        <v>766</v>
      </c>
      <c r="D218" s="98" t="s">
        <v>26</v>
      </c>
      <c r="E218" s="175">
        <v>3.5</v>
      </c>
      <c r="F218" s="175">
        <v>40</v>
      </c>
      <c r="G218" s="176">
        <v>140</v>
      </c>
      <c r="H218" s="101">
        <v>53</v>
      </c>
      <c r="K218"/>
    </row>
    <row r="219" spans="1:11" x14ac:dyDescent="0.25">
      <c r="A219" s="174">
        <v>40792</v>
      </c>
      <c r="B219" s="161" t="s">
        <v>745</v>
      </c>
      <c r="C219" s="98" t="s">
        <v>8</v>
      </c>
      <c r="D219" s="98" t="s">
        <v>26</v>
      </c>
      <c r="E219" s="175">
        <v>3</v>
      </c>
      <c r="F219" s="175">
        <v>35.35</v>
      </c>
      <c r="G219" s="176">
        <v>106.05</v>
      </c>
      <c r="H219" s="101">
        <v>53</v>
      </c>
      <c r="K219"/>
    </row>
    <row r="220" spans="1:11" x14ac:dyDescent="0.25">
      <c r="A220" s="174">
        <v>40792</v>
      </c>
      <c r="B220" s="161" t="s">
        <v>748</v>
      </c>
      <c r="C220" s="98" t="s">
        <v>747</v>
      </c>
      <c r="D220" s="98" t="s">
        <v>26</v>
      </c>
      <c r="E220" s="175">
        <v>3</v>
      </c>
      <c r="F220" s="175">
        <v>85</v>
      </c>
      <c r="G220" s="176">
        <v>255</v>
      </c>
      <c r="H220" s="101">
        <v>53</v>
      </c>
      <c r="K220"/>
    </row>
    <row r="221" spans="1:11" x14ac:dyDescent="0.25">
      <c r="A221" s="174">
        <v>40828</v>
      </c>
      <c r="B221" s="161" t="s">
        <v>745</v>
      </c>
      <c r="C221" s="98" t="s">
        <v>8</v>
      </c>
      <c r="D221" s="98" t="s">
        <v>26</v>
      </c>
      <c r="E221" s="175">
        <v>9.5</v>
      </c>
      <c r="F221" s="175">
        <v>35.35</v>
      </c>
      <c r="G221" s="176">
        <v>335.82499999999999</v>
      </c>
      <c r="H221" s="101">
        <v>53</v>
      </c>
      <c r="K221"/>
    </row>
    <row r="222" spans="1:11" x14ac:dyDescent="0.25">
      <c r="A222" s="174">
        <v>40828</v>
      </c>
      <c r="B222" s="161" t="s">
        <v>745</v>
      </c>
      <c r="C222" s="98" t="s">
        <v>8</v>
      </c>
      <c r="D222" s="98" t="s">
        <v>26</v>
      </c>
      <c r="E222" s="175">
        <v>9.5</v>
      </c>
      <c r="F222" s="175">
        <v>35.35</v>
      </c>
      <c r="G222" s="176">
        <v>335.82499999999999</v>
      </c>
      <c r="H222" s="101">
        <v>53</v>
      </c>
      <c r="K222"/>
    </row>
    <row r="223" spans="1:11" x14ac:dyDescent="0.25">
      <c r="A223" s="174">
        <v>40828</v>
      </c>
      <c r="B223" s="161" t="s">
        <v>778</v>
      </c>
      <c r="C223" s="98" t="s">
        <v>779</v>
      </c>
      <c r="D223" s="98" t="s">
        <v>26</v>
      </c>
      <c r="E223" s="175">
        <v>9.5</v>
      </c>
      <c r="F223" s="175">
        <v>90</v>
      </c>
      <c r="G223" s="176">
        <v>855</v>
      </c>
      <c r="H223" s="101">
        <v>53</v>
      </c>
      <c r="K223"/>
    </row>
    <row r="224" spans="1:11" x14ac:dyDescent="0.25">
      <c r="A224" s="174">
        <v>40828</v>
      </c>
      <c r="B224" s="161" t="s">
        <v>745</v>
      </c>
      <c r="C224" s="98" t="s">
        <v>8</v>
      </c>
      <c r="D224" s="98" t="s">
        <v>26</v>
      </c>
      <c r="E224" s="175">
        <v>9.5</v>
      </c>
      <c r="F224" s="175">
        <v>35.35</v>
      </c>
      <c r="G224" s="176">
        <v>335.82499999999999</v>
      </c>
      <c r="H224" s="101">
        <v>53</v>
      </c>
      <c r="K224"/>
    </row>
    <row r="225" spans="1:11" x14ac:dyDescent="0.25">
      <c r="A225" s="174">
        <v>40828</v>
      </c>
      <c r="B225" s="161" t="s">
        <v>785</v>
      </c>
      <c r="C225" s="98" t="s">
        <v>786</v>
      </c>
      <c r="D225" s="98" t="s">
        <v>26</v>
      </c>
      <c r="E225" s="175">
        <v>10</v>
      </c>
      <c r="F225" s="175">
        <v>150</v>
      </c>
      <c r="G225" s="176">
        <v>1500</v>
      </c>
      <c r="H225" s="101">
        <v>53</v>
      </c>
      <c r="K225"/>
    </row>
    <row r="226" spans="1:11" x14ac:dyDescent="0.25">
      <c r="A226" s="174">
        <v>40828</v>
      </c>
      <c r="B226" s="161" t="s">
        <v>763</v>
      </c>
      <c r="C226" s="98" t="s">
        <v>764</v>
      </c>
      <c r="D226" s="98" t="s">
        <v>26</v>
      </c>
      <c r="E226" s="175">
        <v>8.5</v>
      </c>
      <c r="F226" s="175">
        <v>110</v>
      </c>
      <c r="G226" s="176">
        <v>935</v>
      </c>
      <c r="H226" s="101">
        <v>53</v>
      </c>
      <c r="K226"/>
    </row>
    <row r="227" spans="1:11" x14ac:dyDescent="0.25">
      <c r="A227" s="174">
        <v>40829</v>
      </c>
      <c r="B227" s="161" t="s">
        <v>745</v>
      </c>
      <c r="C227" s="98" t="s">
        <v>8</v>
      </c>
      <c r="D227" s="98" t="s">
        <v>26</v>
      </c>
      <c r="E227" s="175">
        <v>8</v>
      </c>
      <c r="F227" s="175">
        <v>35.35</v>
      </c>
      <c r="G227" s="176">
        <v>282.8</v>
      </c>
      <c r="H227" s="101">
        <v>53</v>
      </c>
      <c r="K227"/>
    </row>
    <row r="228" spans="1:11" x14ac:dyDescent="0.25">
      <c r="A228" s="174">
        <v>40829</v>
      </c>
      <c r="B228" s="161" t="s">
        <v>745</v>
      </c>
      <c r="C228" s="98" t="s">
        <v>8</v>
      </c>
      <c r="D228" s="98" t="s">
        <v>26</v>
      </c>
      <c r="E228" s="175">
        <v>8</v>
      </c>
      <c r="F228" s="175">
        <v>35.35</v>
      </c>
      <c r="G228" s="176">
        <v>282.8</v>
      </c>
      <c r="H228" s="101">
        <v>53</v>
      </c>
      <c r="K228"/>
    </row>
    <row r="229" spans="1:11" x14ac:dyDescent="0.25">
      <c r="A229" s="174">
        <v>40829</v>
      </c>
      <c r="B229" s="161" t="s">
        <v>785</v>
      </c>
      <c r="C229" s="98" t="s">
        <v>786</v>
      </c>
      <c r="D229" s="98" t="s">
        <v>26</v>
      </c>
      <c r="E229" s="175">
        <v>10.5</v>
      </c>
      <c r="F229" s="175">
        <v>150</v>
      </c>
      <c r="G229" s="176">
        <v>1575</v>
      </c>
      <c r="H229" s="101">
        <v>53</v>
      </c>
      <c r="K229"/>
    </row>
    <row r="230" spans="1:11" x14ac:dyDescent="0.25">
      <c r="A230" s="174">
        <v>40829</v>
      </c>
      <c r="B230" s="161" t="s">
        <v>745</v>
      </c>
      <c r="C230" s="98" t="s">
        <v>8</v>
      </c>
      <c r="D230" s="98" t="s">
        <v>26</v>
      </c>
      <c r="E230" s="175">
        <v>8</v>
      </c>
      <c r="F230" s="175">
        <v>35.35</v>
      </c>
      <c r="G230" s="176">
        <v>282.8</v>
      </c>
      <c r="H230" s="101">
        <v>53</v>
      </c>
      <c r="K230"/>
    </row>
    <row r="231" spans="1:11" x14ac:dyDescent="0.25">
      <c r="A231" s="174">
        <v>40829</v>
      </c>
      <c r="B231" s="161" t="s">
        <v>745</v>
      </c>
      <c r="C231" s="98" t="s">
        <v>8</v>
      </c>
      <c r="D231" s="98" t="s">
        <v>26</v>
      </c>
      <c r="E231" s="175">
        <v>8</v>
      </c>
      <c r="F231" s="175">
        <v>35.35</v>
      </c>
      <c r="G231" s="176">
        <v>282.8</v>
      </c>
      <c r="H231" s="101">
        <v>53</v>
      </c>
      <c r="K231"/>
    </row>
    <row r="232" spans="1:11" x14ac:dyDescent="0.25">
      <c r="A232" s="174">
        <v>40829</v>
      </c>
      <c r="B232" s="161" t="s">
        <v>745</v>
      </c>
      <c r="C232" s="98" t="s">
        <v>8</v>
      </c>
      <c r="D232" s="98" t="s">
        <v>26</v>
      </c>
      <c r="E232" s="175">
        <v>8</v>
      </c>
      <c r="F232" s="175">
        <v>35.35</v>
      </c>
      <c r="G232" s="176">
        <v>282.8</v>
      </c>
      <c r="H232" s="101">
        <v>53</v>
      </c>
      <c r="K232"/>
    </row>
    <row r="233" spans="1:11" x14ac:dyDescent="0.25">
      <c r="A233" s="174">
        <v>40830</v>
      </c>
      <c r="B233" s="161" t="s">
        <v>763</v>
      </c>
      <c r="C233" s="98" t="s">
        <v>764</v>
      </c>
      <c r="D233" s="98" t="s">
        <v>26</v>
      </c>
      <c r="E233" s="175">
        <v>6</v>
      </c>
      <c r="F233" s="175">
        <v>135</v>
      </c>
      <c r="G233" s="176">
        <v>810</v>
      </c>
      <c r="H233" s="101">
        <v>53</v>
      </c>
      <c r="K233"/>
    </row>
    <row r="234" spans="1:11" x14ac:dyDescent="0.25">
      <c r="A234" s="174">
        <v>40830</v>
      </c>
      <c r="B234" s="161" t="s">
        <v>745</v>
      </c>
      <c r="C234" s="98" t="s">
        <v>8</v>
      </c>
      <c r="D234" s="98" t="s">
        <v>26</v>
      </c>
      <c r="E234" s="175">
        <v>6</v>
      </c>
      <c r="F234" s="175">
        <v>35.35</v>
      </c>
      <c r="G234" s="176">
        <v>212.1</v>
      </c>
      <c r="H234" s="101">
        <v>53</v>
      </c>
      <c r="K234"/>
    </row>
    <row r="235" spans="1:11" x14ac:dyDescent="0.25">
      <c r="A235" s="174">
        <v>40830</v>
      </c>
      <c r="B235" s="161" t="s">
        <v>778</v>
      </c>
      <c r="C235" s="98" t="s">
        <v>779</v>
      </c>
      <c r="D235" s="98" t="s">
        <v>26</v>
      </c>
      <c r="E235" s="175">
        <v>6.5</v>
      </c>
      <c r="F235" s="175">
        <v>90</v>
      </c>
      <c r="G235" s="176">
        <v>585</v>
      </c>
      <c r="H235" s="101">
        <v>53</v>
      </c>
      <c r="K235"/>
    </row>
    <row r="236" spans="1:11" x14ac:dyDescent="0.25">
      <c r="A236" s="174">
        <v>40830</v>
      </c>
      <c r="B236" s="161" t="s">
        <v>745</v>
      </c>
      <c r="C236" s="98" t="s">
        <v>8</v>
      </c>
      <c r="D236" s="98" t="s">
        <v>26</v>
      </c>
      <c r="E236" s="175">
        <v>6</v>
      </c>
      <c r="F236" s="175">
        <v>35.35</v>
      </c>
      <c r="G236" s="176">
        <v>212.1</v>
      </c>
      <c r="H236" s="101">
        <v>53</v>
      </c>
      <c r="K236"/>
    </row>
    <row r="237" spans="1:11" x14ac:dyDescent="0.25">
      <c r="A237" s="174">
        <v>40830</v>
      </c>
      <c r="B237" s="161" t="s">
        <v>745</v>
      </c>
      <c r="C237" s="98" t="s">
        <v>8</v>
      </c>
      <c r="D237" s="98" t="s">
        <v>26</v>
      </c>
      <c r="E237" s="175">
        <v>6</v>
      </c>
      <c r="F237" s="175">
        <v>35.35</v>
      </c>
      <c r="G237" s="176">
        <v>212.1</v>
      </c>
      <c r="H237" s="101">
        <v>53</v>
      </c>
      <c r="K237"/>
    </row>
    <row r="238" spans="1:11" x14ac:dyDescent="0.25">
      <c r="A238" s="174">
        <v>40831</v>
      </c>
      <c r="B238" s="161" t="s">
        <v>745</v>
      </c>
      <c r="C238" s="98" t="s">
        <v>8</v>
      </c>
      <c r="D238" s="98" t="s">
        <v>26</v>
      </c>
      <c r="E238" s="175">
        <v>4</v>
      </c>
      <c r="F238" s="175">
        <v>35.35</v>
      </c>
      <c r="G238" s="176">
        <v>141.4</v>
      </c>
      <c r="H238" s="101">
        <v>53</v>
      </c>
      <c r="K238"/>
    </row>
    <row r="239" spans="1:11" x14ac:dyDescent="0.25">
      <c r="A239" s="174">
        <v>40831</v>
      </c>
      <c r="B239" s="161" t="s">
        <v>763</v>
      </c>
      <c r="C239" s="98" t="s">
        <v>764</v>
      </c>
      <c r="D239" s="98" t="s">
        <v>26</v>
      </c>
      <c r="E239" s="175">
        <v>3</v>
      </c>
      <c r="F239" s="175">
        <v>135</v>
      </c>
      <c r="G239" s="176">
        <v>405</v>
      </c>
      <c r="H239" s="101">
        <v>53</v>
      </c>
      <c r="K239"/>
    </row>
    <row r="240" spans="1:11" x14ac:dyDescent="0.25">
      <c r="A240" s="174">
        <v>40831</v>
      </c>
      <c r="B240" s="161" t="s">
        <v>745</v>
      </c>
      <c r="C240" s="98" t="s">
        <v>8</v>
      </c>
      <c r="D240" s="98" t="s">
        <v>26</v>
      </c>
      <c r="E240" s="175">
        <v>4</v>
      </c>
      <c r="F240" s="175">
        <v>35.35</v>
      </c>
      <c r="G240" s="176">
        <v>141.4</v>
      </c>
      <c r="H240" s="101">
        <v>53</v>
      </c>
      <c r="K240"/>
    </row>
    <row r="241" spans="1:11" x14ac:dyDescent="0.25">
      <c r="A241" s="174">
        <v>40831</v>
      </c>
      <c r="B241" s="161" t="s">
        <v>787</v>
      </c>
      <c r="C241" s="98" t="s">
        <v>788</v>
      </c>
      <c r="D241" s="98" t="s">
        <v>26</v>
      </c>
      <c r="E241" s="175">
        <v>3</v>
      </c>
      <c r="F241" s="175">
        <v>95</v>
      </c>
      <c r="G241" s="176">
        <v>285</v>
      </c>
      <c r="H241" s="101">
        <v>53</v>
      </c>
      <c r="K241"/>
    </row>
    <row r="242" spans="1:11" x14ac:dyDescent="0.25">
      <c r="A242" s="174">
        <v>40831</v>
      </c>
      <c r="B242" s="161" t="s">
        <v>778</v>
      </c>
      <c r="C242" s="98" t="s">
        <v>779</v>
      </c>
      <c r="D242" s="98" t="s">
        <v>26</v>
      </c>
      <c r="E242" s="175">
        <v>3</v>
      </c>
      <c r="F242" s="175">
        <v>90</v>
      </c>
      <c r="G242" s="176">
        <v>270</v>
      </c>
      <c r="H242" s="101">
        <v>53</v>
      </c>
      <c r="K242"/>
    </row>
    <row r="243" spans="1:11" x14ac:dyDescent="0.25">
      <c r="A243" s="174">
        <v>40831</v>
      </c>
      <c r="B243" s="161" t="s">
        <v>745</v>
      </c>
      <c r="C243" s="98" t="s">
        <v>8</v>
      </c>
      <c r="D243" s="98" t="s">
        <v>26</v>
      </c>
      <c r="E243" s="175">
        <v>4</v>
      </c>
      <c r="F243" s="175">
        <v>35.35</v>
      </c>
      <c r="G243" s="176">
        <v>141.4</v>
      </c>
      <c r="H243" s="101">
        <v>53</v>
      </c>
      <c r="K243"/>
    </row>
    <row r="244" spans="1:11" x14ac:dyDescent="0.25">
      <c r="A244" s="174">
        <v>40833</v>
      </c>
      <c r="B244" s="161" t="s">
        <v>745</v>
      </c>
      <c r="C244" s="98" t="s">
        <v>8</v>
      </c>
      <c r="D244" s="98" t="s">
        <v>26</v>
      </c>
      <c r="E244" s="175">
        <v>7.5</v>
      </c>
      <c r="F244" s="175">
        <v>35.35</v>
      </c>
      <c r="G244" s="176">
        <v>265.125</v>
      </c>
      <c r="H244" s="101">
        <v>53</v>
      </c>
      <c r="K244"/>
    </row>
    <row r="245" spans="1:11" x14ac:dyDescent="0.25">
      <c r="A245" s="174">
        <v>40833</v>
      </c>
      <c r="B245" s="161" t="s">
        <v>787</v>
      </c>
      <c r="C245" s="98" t="s">
        <v>788</v>
      </c>
      <c r="D245" s="98" t="s">
        <v>26</v>
      </c>
      <c r="E245" s="175">
        <v>6.5</v>
      </c>
      <c r="F245" s="175">
        <v>95</v>
      </c>
      <c r="G245" s="176">
        <v>617.5</v>
      </c>
      <c r="H245" s="101">
        <v>53</v>
      </c>
      <c r="K245"/>
    </row>
    <row r="246" spans="1:11" x14ac:dyDescent="0.25">
      <c r="A246" s="174">
        <v>40833</v>
      </c>
      <c r="B246" s="161" t="s">
        <v>778</v>
      </c>
      <c r="C246" s="98" t="s">
        <v>779</v>
      </c>
      <c r="D246" s="98" t="s">
        <v>26</v>
      </c>
      <c r="E246" s="175">
        <v>7</v>
      </c>
      <c r="F246" s="175">
        <v>90</v>
      </c>
      <c r="G246" s="176">
        <v>630</v>
      </c>
      <c r="H246" s="101">
        <v>53</v>
      </c>
      <c r="K246"/>
    </row>
    <row r="247" spans="1:11" x14ac:dyDescent="0.25">
      <c r="A247" s="174">
        <v>40833</v>
      </c>
      <c r="B247" s="161" t="s">
        <v>745</v>
      </c>
      <c r="C247" s="98" t="s">
        <v>8</v>
      </c>
      <c r="D247" s="98" t="s">
        <v>26</v>
      </c>
      <c r="E247" s="175">
        <v>7.5</v>
      </c>
      <c r="F247" s="175">
        <v>35.35</v>
      </c>
      <c r="G247" s="176">
        <v>265.125</v>
      </c>
      <c r="H247" s="101">
        <v>53</v>
      </c>
      <c r="K247"/>
    </row>
    <row r="248" spans="1:11" x14ac:dyDescent="0.25">
      <c r="A248" s="174">
        <v>40833</v>
      </c>
      <c r="B248" s="161" t="s">
        <v>763</v>
      </c>
      <c r="C248" s="98" t="s">
        <v>764</v>
      </c>
      <c r="D248" s="98" t="s">
        <v>26</v>
      </c>
      <c r="E248" s="175">
        <v>7</v>
      </c>
      <c r="F248" s="175">
        <v>135</v>
      </c>
      <c r="G248" s="176">
        <v>945</v>
      </c>
      <c r="H248" s="101">
        <v>53</v>
      </c>
      <c r="K248"/>
    </row>
    <row r="249" spans="1:11" x14ac:dyDescent="0.25">
      <c r="A249" s="174">
        <v>40836</v>
      </c>
      <c r="B249" s="161" t="s">
        <v>745</v>
      </c>
      <c r="C249" s="98" t="s">
        <v>8</v>
      </c>
      <c r="D249" s="98" t="s">
        <v>26</v>
      </c>
      <c r="E249" s="175">
        <v>5</v>
      </c>
      <c r="F249" s="175">
        <v>35.35</v>
      </c>
      <c r="G249" s="176">
        <v>176.75</v>
      </c>
      <c r="H249" s="101">
        <v>53</v>
      </c>
      <c r="K249"/>
    </row>
    <row r="250" spans="1:11" x14ac:dyDescent="0.25">
      <c r="A250" s="174">
        <v>40841</v>
      </c>
      <c r="B250" s="161" t="s">
        <v>745</v>
      </c>
      <c r="C250" s="98" t="s">
        <v>8</v>
      </c>
      <c r="D250" s="98" t="s">
        <v>26</v>
      </c>
      <c r="E250" s="175">
        <v>3</v>
      </c>
      <c r="F250" s="175">
        <v>35.35</v>
      </c>
      <c r="G250" s="176">
        <v>106.05</v>
      </c>
      <c r="H250" s="101">
        <v>53</v>
      </c>
      <c r="K250"/>
    </row>
    <row r="251" spans="1:11" x14ac:dyDescent="0.25">
      <c r="A251" s="174">
        <v>40841</v>
      </c>
      <c r="B251" s="161" t="s">
        <v>745</v>
      </c>
      <c r="C251" s="98" t="s">
        <v>8</v>
      </c>
      <c r="D251" s="98" t="s">
        <v>26</v>
      </c>
      <c r="E251" s="175">
        <v>2</v>
      </c>
      <c r="F251" s="175">
        <v>35.35</v>
      </c>
      <c r="G251" s="176">
        <v>70.7</v>
      </c>
      <c r="H251" s="101">
        <v>53</v>
      </c>
      <c r="K251"/>
    </row>
    <row r="252" spans="1:11" x14ac:dyDescent="0.25">
      <c r="A252" s="174">
        <v>40841</v>
      </c>
      <c r="B252" s="161" t="s">
        <v>789</v>
      </c>
      <c r="C252" s="98" t="s">
        <v>764</v>
      </c>
      <c r="D252" s="98" t="s">
        <v>26</v>
      </c>
      <c r="E252" s="175">
        <v>3</v>
      </c>
      <c r="F252" s="175">
        <v>110</v>
      </c>
      <c r="G252" s="176">
        <v>330</v>
      </c>
      <c r="H252" s="101">
        <v>53</v>
      </c>
      <c r="K252"/>
    </row>
    <row r="253" spans="1:11" x14ac:dyDescent="0.25">
      <c r="A253" s="174">
        <v>40842</v>
      </c>
      <c r="B253" s="161" t="s">
        <v>778</v>
      </c>
      <c r="C253" s="98" t="s">
        <v>779</v>
      </c>
      <c r="D253" s="98" t="s">
        <v>26</v>
      </c>
      <c r="E253" s="175">
        <v>7.5</v>
      </c>
      <c r="F253" s="175">
        <v>90</v>
      </c>
      <c r="G253" s="176">
        <v>675</v>
      </c>
      <c r="H253" s="101">
        <v>53</v>
      </c>
      <c r="K253"/>
    </row>
    <row r="254" spans="1:11" x14ac:dyDescent="0.25">
      <c r="A254" s="174">
        <v>40842</v>
      </c>
      <c r="B254" s="161" t="s">
        <v>778</v>
      </c>
      <c r="C254" s="98" t="s">
        <v>779</v>
      </c>
      <c r="D254" s="98" t="s">
        <v>26</v>
      </c>
      <c r="E254" s="175">
        <v>9.5</v>
      </c>
      <c r="F254" s="175">
        <v>90</v>
      </c>
      <c r="G254" s="176">
        <v>855</v>
      </c>
      <c r="H254" s="101">
        <v>53</v>
      </c>
      <c r="K254"/>
    </row>
    <row r="255" spans="1:11" x14ac:dyDescent="0.25">
      <c r="A255" s="174">
        <v>40842</v>
      </c>
      <c r="B255" s="161" t="s">
        <v>789</v>
      </c>
      <c r="C255" s="98" t="s">
        <v>764</v>
      </c>
      <c r="D255" s="98" t="s">
        <v>26</v>
      </c>
      <c r="E255" s="175">
        <v>9</v>
      </c>
      <c r="F255" s="175">
        <v>135</v>
      </c>
      <c r="G255" s="176">
        <v>1215</v>
      </c>
      <c r="H255" s="101">
        <v>53</v>
      </c>
      <c r="K255"/>
    </row>
    <row r="256" spans="1:11" x14ac:dyDescent="0.25">
      <c r="A256" s="174">
        <v>40842</v>
      </c>
      <c r="B256" s="161" t="s">
        <v>745</v>
      </c>
      <c r="C256" s="98" t="s">
        <v>8</v>
      </c>
      <c r="D256" s="98" t="s">
        <v>26</v>
      </c>
      <c r="E256" s="175">
        <v>8</v>
      </c>
      <c r="F256" s="175">
        <v>35.35</v>
      </c>
      <c r="G256" s="176">
        <v>282.8</v>
      </c>
      <c r="H256" s="101">
        <v>53</v>
      </c>
      <c r="K256"/>
    </row>
    <row r="257" spans="1:11" x14ac:dyDescent="0.25">
      <c r="A257" s="174">
        <v>40842</v>
      </c>
      <c r="B257" s="161" t="s">
        <v>745</v>
      </c>
      <c r="C257" s="98" t="s">
        <v>8</v>
      </c>
      <c r="D257" s="98" t="s">
        <v>26</v>
      </c>
      <c r="E257" s="175">
        <v>2.5</v>
      </c>
      <c r="F257" s="175">
        <v>35.35</v>
      </c>
      <c r="G257" s="176">
        <v>88.375</v>
      </c>
      <c r="H257" s="101">
        <v>53</v>
      </c>
      <c r="K257"/>
    </row>
    <row r="258" spans="1:11" x14ac:dyDescent="0.25">
      <c r="A258" s="174">
        <v>40842</v>
      </c>
      <c r="B258" s="161" t="s">
        <v>763</v>
      </c>
      <c r="C258" s="98" t="s">
        <v>764</v>
      </c>
      <c r="D258" s="98" t="s">
        <v>26</v>
      </c>
      <c r="E258" s="175">
        <v>4.25</v>
      </c>
      <c r="F258" s="175">
        <v>110</v>
      </c>
      <c r="G258" s="176">
        <v>467.5</v>
      </c>
      <c r="H258" s="101">
        <v>53</v>
      </c>
      <c r="K258"/>
    </row>
    <row r="259" spans="1:11" x14ac:dyDescent="0.25">
      <c r="A259" s="174">
        <v>40842</v>
      </c>
      <c r="B259" s="161" t="s">
        <v>745</v>
      </c>
      <c r="C259" s="98" t="s">
        <v>8</v>
      </c>
      <c r="D259" s="98" t="s">
        <v>26</v>
      </c>
      <c r="E259" s="175">
        <v>9.5</v>
      </c>
      <c r="F259" s="175">
        <v>35.35</v>
      </c>
      <c r="G259" s="176">
        <v>335.82499999999999</v>
      </c>
      <c r="H259" s="101">
        <v>53</v>
      </c>
      <c r="K259"/>
    </row>
    <row r="260" spans="1:11" x14ac:dyDescent="0.25">
      <c r="A260" s="174">
        <v>40843</v>
      </c>
      <c r="B260" s="161" t="s">
        <v>745</v>
      </c>
      <c r="C260" s="98" t="s">
        <v>8</v>
      </c>
      <c r="D260" s="98" t="s">
        <v>26</v>
      </c>
      <c r="E260" s="175">
        <v>9.5</v>
      </c>
      <c r="F260" s="175">
        <v>35.35</v>
      </c>
      <c r="G260" s="176">
        <v>335.82499999999999</v>
      </c>
      <c r="H260" s="101">
        <v>53</v>
      </c>
      <c r="K260"/>
    </row>
    <row r="261" spans="1:11" x14ac:dyDescent="0.25">
      <c r="A261" s="174">
        <v>40843</v>
      </c>
      <c r="B261" s="161" t="s">
        <v>789</v>
      </c>
      <c r="C261" s="98" t="s">
        <v>764</v>
      </c>
      <c r="D261" s="98" t="s">
        <v>26</v>
      </c>
      <c r="E261" s="175">
        <v>8.5</v>
      </c>
      <c r="F261" s="175">
        <v>135</v>
      </c>
      <c r="G261" s="176">
        <v>1147.5</v>
      </c>
      <c r="H261" s="101">
        <v>53</v>
      </c>
      <c r="K261"/>
    </row>
    <row r="262" spans="1:11" x14ac:dyDescent="0.25">
      <c r="A262" s="174">
        <v>40843</v>
      </c>
      <c r="B262" s="161" t="s">
        <v>745</v>
      </c>
      <c r="C262" s="98" t="s">
        <v>8</v>
      </c>
      <c r="D262" s="98" t="s">
        <v>26</v>
      </c>
      <c r="E262" s="175">
        <v>8</v>
      </c>
      <c r="F262" s="175">
        <v>35.35</v>
      </c>
      <c r="G262" s="176">
        <v>282.8</v>
      </c>
      <c r="H262" s="101">
        <v>53</v>
      </c>
      <c r="K262"/>
    </row>
    <row r="263" spans="1:11" x14ac:dyDescent="0.25">
      <c r="A263" s="174">
        <v>40843</v>
      </c>
      <c r="B263" s="161" t="s">
        <v>778</v>
      </c>
      <c r="C263" s="98" t="s">
        <v>779</v>
      </c>
      <c r="D263" s="98" t="s">
        <v>26</v>
      </c>
      <c r="E263" s="175">
        <v>9</v>
      </c>
      <c r="F263" s="175">
        <v>90</v>
      </c>
      <c r="G263" s="176">
        <v>810</v>
      </c>
      <c r="H263" s="101">
        <v>53</v>
      </c>
      <c r="K263"/>
    </row>
    <row r="264" spans="1:11" x14ac:dyDescent="0.25">
      <c r="A264" s="174">
        <v>40843</v>
      </c>
      <c r="B264" s="161" t="s">
        <v>790</v>
      </c>
      <c r="C264" s="98" t="s">
        <v>788</v>
      </c>
      <c r="D264" s="98" t="s">
        <v>26</v>
      </c>
      <c r="E264" s="175">
        <v>4.5</v>
      </c>
      <c r="F264" s="175">
        <v>95</v>
      </c>
      <c r="G264" s="176">
        <v>427.5</v>
      </c>
      <c r="H264" s="101">
        <v>53</v>
      </c>
      <c r="K264"/>
    </row>
    <row r="265" spans="1:11" x14ac:dyDescent="0.25">
      <c r="A265" s="174">
        <v>40843</v>
      </c>
      <c r="B265" s="161" t="s">
        <v>791</v>
      </c>
      <c r="C265" s="98" t="s">
        <v>779</v>
      </c>
      <c r="D265" s="98" t="s">
        <v>26</v>
      </c>
      <c r="E265" s="175">
        <v>9</v>
      </c>
      <c r="F265" s="175">
        <v>90</v>
      </c>
      <c r="G265" s="176">
        <v>810</v>
      </c>
      <c r="H265" s="101">
        <v>53</v>
      </c>
      <c r="K265"/>
    </row>
    <row r="266" spans="1:11" x14ac:dyDescent="0.25">
      <c r="A266" s="174">
        <v>40844</v>
      </c>
      <c r="B266" s="161" t="s">
        <v>745</v>
      </c>
      <c r="C266" s="98" t="s">
        <v>8</v>
      </c>
      <c r="D266" s="98" t="s">
        <v>26</v>
      </c>
      <c r="E266" s="175">
        <v>9.5</v>
      </c>
      <c r="F266" s="175">
        <v>35.35</v>
      </c>
      <c r="G266" s="176">
        <v>335.82499999999999</v>
      </c>
      <c r="H266" s="101">
        <v>53</v>
      </c>
      <c r="K266"/>
    </row>
    <row r="267" spans="1:11" x14ac:dyDescent="0.25">
      <c r="A267" s="174">
        <v>40844</v>
      </c>
      <c r="B267" s="161" t="s">
        <v>745</v>
      </c>
      <c r="C267" s="98" t="s">
        <v>8</v>
      </c>
      <c r="D267" s="98" t="s">
        <v>26</v>
      </c>
      <c r="E267" s="175">
        <v>9.5</v>
      </c>
      <c r="F267" s="175">
        <v>35.35</v>
      </c>
      <c r="G267" s="176">
        <v>335.82499999999999</v>
      </c>
      <c r="H267" s="101">
        <v>53</v>
      </c>
      <c r="K267"/>
    </row>
    <row r="268" spans="1:11" x14ac:dyDescent="0.25">
      <c r="A268" s="174">
        <v>40844</v>
      </c>
      <c r="B268" s="161" t="s">
        <v>787</v>
      </c>
      <c r="C268" s="98" t="s">
        <v>788</v>
      </c>
      <c r="D268" s="98" t="s">
        <v>26</v>
      </c>
      <c r="E268" s="175">
        <v>5.5</v>
      </c>
      <c r="F268" s="175">
        <v>95</v>
      </c>
      <c r="G268" s="176">
        <v>522.5</v>
      </c>
      <c r="H268" s="101">
        <v>53</v>
      </c>
      <c r="K268"/>
    </row>
    <row r="269" spans="1:11" x14ac:dyDescent="0.25">
      <c r="A269" s="174">
        <v>40844</v>
      </c>
      <c r="B269" s="161" t="s">
        <v>745</v>
      </c>
      <c r="C269" s="98" t="s">
        <v>8</v>
      </c>
      <c r="D269" s="98" t="s">
        <v>26</v>
      </c>
      <c r="E269" s="175">
        <v>4.5</v>
      </c>
      <c r="F269" s="175">
        <v>35.35</v>
      </c>
      <c r="G269" s="176">
        <v>159.07499999999999</v>
      </c>
      <c r="H269" s="101">
        <v>53</v>
      </c>
      <c r="K269"/>
    </row>
    <row r="270" spans="1:11" x14ac:dyDescent="0.25">
      <c r="A270" s="174">
        <v>40844</v>
      </c>
      <c r="B270" s="161" t="s">
        <v>778</v>
      </c>
      <c r="C270" s="98" t="s">
        <v>779</v>
      </c>
      <c r="D270" s="98" t="s">
        <v>26</v>
      </c>
      <c r="E270" s="175">
        <v>8.5</v>
      </c>
      <c r="F270" s="175">
        <v>90</v>
      </c>
      <c r="G270" s="176">
        <v>765</v>
      </c>
      <c r="H270" s="101">
        <v>53</v>
      </c>
      <c r="K270"/>
    </row>
    <row r="271" spans="1:11" x14ac:dyDescent="0.25">
      <c r="A271" s="174">
        <v>40844</v>
      </c>
      <c r="B271" s="161" t="s">
        <v>792</v>
      </c>
      <c r="C271" s="98" t="s">
        <v>779</v>
      </c>
      <c r="D271" s="98" t="s">
        <v>26</v>
      </c>
      <c r="E271" s="175">
        <v>8.5</v>
      </c>
      <c r="F271" s="175">
        <v>90</v>
      </c>
      <c r="G271" s="176">
        <v>765</v>
      </c>
      <c r="H271" s="101">
        <v>53</v>
      </c>
      <c r="K271"/>
    </row>
    <row r="272" spans="1:11" x14ac:dyDescent="0.25">
      <c r="A272" s="174">
        <v>40844</v>
      </c>
      <c r="B272" s="161" t="s">
        <v>745</v>
      </c>
      <c r="C272" s="98" t="s">
        <v>8</v>
      </c>
      <c r="D272" s="98" t="s">
        <v>26</v>
      </c>
      <c r="E272" s="175">
        <v>5.5</v>
      </c>
      <c r="F272" s="175">
        <v>35.35</v>
      </c>
      <c r="G272" s="176">
        <v>194.42500000000001</v>
      </c>
      <c r="H272" s="101">
        <v>53</v>
      </c>
      <c r="K272"/>
    </row>
    <row r="273" spans="1:11" x14ac:dyDescent="0.25">
      <c r="A273" s="174">
        <v>40844</v>
      </c>
      <c r="B273" s="161" t="s">
        <v>789</v>
      </c>
      <c r="C273" s="98" t="s">
        <v>764</v>
      </c>
      <c r="D273" s="98" t="s">
        <v>26</v>
      </c>
      <c r="E273" s="175">
        <v>8.5</v>
      </c>
      <c r="F273" s="175">
        <v>135</v>
      </c>
      <c r="G273" s="176">
        <v>1147.5</v>
      </c>
      <c r="H273" s="101">
        <v>53</v>
      </c>
      <c r="K273"/>
    </row>
    <row r="274" spans="1:11" x14ac:dyDescent="0.25">
      <c r="A274" s="174">
        <v>40845</v>
      </c>
      <c r="B274" s="161" t="s">
        <v>745</v>
      </c>
      <c r="C274" s="98" t="s">
        <v>8</v>
      </c>
      <c r="D274" s="98" t="s">
        <v>26</v>
      </c>
      <c r="E274" s="175">
        <v>5.5</v>
      </c>
      <c r="F274" s="175">
        <v>35.35</v>
      </c>
      <c r="G274" s="176">
        <v>194.42500000000001</v>
      </c>
      <c r="H274" s="101">
        <v>53</v>
      </c>
      <c r="K274"/>
    </row>
    <row r="275" spans="1:11" x14ac:dyDescent="0.25">
      <c r="A275" s="174">
        <v>40845</v>
      </c>
      <c r="B275" s="161" t="s">
        <v>789</v>
      </c>
      <c r="C275" s="98" t="s">
        <v>764</v>
      </c>
      <c r="D275" s="98" t="s">
        <v>26</v>
      </c>
      <c r="E275" s="175">
        <v>4.5</v>
      </c>
      <c r="F275" s="175">
        <v>135</v>
      </c>
      <c r="G275" s="176">
        <v>607.5</v>
      </c>
      <c r="H275" s="101">
        <v>53</v>
      </c>
      <c r="K275"/>
    </row>
    <row r="276" spans="1:11" x14ac:dyDescent="0.25">
      <c r="A276" s="174">
        <v>40845</v>
      </c>
      <c r="B276" s="161" t="s">
        <v>745</v>
      </c>
      <c r="C276" s="98" t="s">
        <v>8</v>
      </c>
      <c r="D276" s="98" t="s">
        <v>26</v>
      </c>
      <c r="E276" s="175">
        <v>5.5</v>
      </c>
      <c r="F276" s="175">
        <v>35.35</v>
      </c>
      <c r="G276" s="176">
        <v>194.42500000000001</v>
      </c>
      <c r="H276" s="101">
        <v>53</v>
      </c>
      <c r="K276"/>
    </row>
    <row r="277" spans="1:11" x14ac:dyDescent="0.25">
      <c r="A277" s="174">
        <v>40845</v>
      </c>
      <c r="B277" s="161" t="s">
        <v>778</v>
      </c>
      <c r="C277" s="98" t="s">
        <v>779</v>
      </c>
      <c r="D277" s="98" t="s">
        <v>26</v>
      </c>
      <c r="E277" s="175">
        <v>5</v>
      </c>
      <c r="F277" s="175">
        <v>90</v>
      </c>
      <c r="G277" s="176">
        <v>450</v>
      </c>
      <c r="H277" s="101">
        <v>53</v>
      </c>
      <c r="K277"/>
    </row>
    <row r="278" spans="1:11" x14ac:dyDescent="0.25">
      <c r="A278" s="174">
        <v>40845</v>
      </c>
      <c r="B278" s="161" t="s">
        <v>745</v>
      </c>
      <c r="C278" s="98" t="s">
        <v>8</v>
      </c>
      <c r="D278" s="98" t="s">
        <v>26</v>
      </c>
      <c r="E278" s="175">
        <v>5.5</v>
      </c>
      <c r="F278" s="175">
        <v>35.35</v>
      </c>
      <c r="G278" s="176">
        <v>194.42500000000001</v>
      </c>
      <c r="H278" s="101">
        <v>53</v>
      </c>
      <c r="K278"/>
    </row>
    <row r="279" spans="1:11" x14ac:dyDescent="0.25">
      <c r="A279" s="174">
        <v>40847</v>
      </c>
      <c r="B279" s="161" t="s">
        <v>790</v>
      </c>
      <c r="C279" s="98" t="s">
        <v>788</v>
      </c>
      <c r="D279" s="98" t="s">
        <v>26</v>
      </c>
      <c r="E279" s="175">
        <v>6</v>
      </c>
      <c r="F279" s="175">
        <v>95</v>
      </c>
      <c r="G279" s="176">
        <v>570</v>
      </c>
      <c r="H279" s="101">
        <v>53</v>
      </c>
      <c r="K279"/>
    </row>
    <row r="280" spans="1:11" x14ac:dyDescent="0.25">
      <c r="A280" s="174">
        <v>40847</v>
      </c>
      <c r="B280" s="161" t="s">
        <v>789</v>
      </c>
      <c r="C280" s="98" t="s">
        <v>764</v>
      </c>
      <c r="D280" s="98" t="s">
        <v>26</v>
      </c>
      <c r="E280" s="175">
        <v>6.5</v>
      </c>
      <c r="F280" s="175">
        <v>135</v>
      </c>
      <c r="G280" s="176">
        <v>877.5</v>
      </c>
      <c r="H280" s="101">
        <v>53</v>
      </c>
      <c r="K280"/>
    </row>
    <row r="281" spans="1:11" x14ac:dyDescent="0.25">
      <c r="A281" s="174">
        <v>40847</v>
      </c>
      <c r="B281" s="161" t="s">
        <v>745</v>
      </c>
      <c r="C281" s="98" t="s">
        <v>8</v>
      </c>
      <c r="D281" s="98" t="s">
        <v>26</v>
      </c>
      <c r="E281" s="175">
        <v>7</v>
      </c>
      <c r="F281" s="175">
        <v>35.35</v>
      </c>
      <c r="G281" s="176">
        <v>247.45</v>
      </c>
      <c r="H281" s="101">
        <v>53</v>
      </c>
      <c r="K281"/>
    </row>
    <row r="282" spans="1:11" x14ac:dyDescent="0.25">
      <c r="A282" s="174">
        <v>40847</v>
      </c>
      <c r="B282" s="161" t="s">
        <v>745</v>
      </c>
      <c r="C282" s="98" t="s">
        <v>8</v>
      </c>
      <c r="D282" s="98" t="s">
        <v>26</v>
      </c>
      <c r="E282" s="175">
        <v>7</v>
      </c>
      <c r="F282" s="175">
        <v>35.35</v>
      </c>
      <c r="G282" s="176">
        <v>247.45</v>
      </c>
      <c r="H282" s="101">
        <v>53</v>
      </c>
      <c r="K282"/>
    </row>
    <row r="283" spans="1:11" x14ac:dyDescent="0.25">
      <c r="A283" s="174">
        <v>40855</v>
      </c>
      <c r="B283" s="161" t="s">
        <v>776</v>
      </c>
      <c r="C283" s="98" t="s">
        <v>775</v>
      </c>
      <c r="D283" s="98" t="s">
        <v>26</v>
      </c>
      <c r="E283" s="175">
        <v>10.5</v>
      </c>
      <c r="F283" s="175">
        <v>95</v>
      </c>
      <c r="G283" s="176">
        <v>997.5</v>
      </c>
      <c r="H283" s="101">
        <v>53</v>
      </c>
      <c r="K283"/>
    </row>
    <row r="284" spans="1:11" x14ac:dyDescent="0.25">
      <c r="A284" s="174">
        <v>40856</v>
      </c>
      <c r="B284" s="161" t="s">
        <v>776</v>
      </c>
      <c r="C284" s="98" t="s">
        <v>775</v>
      </c>
      <c r="D284" s="98" t="s">
        <v>26</v>
      </c>
      <c r="E284" s="175">
        <v>10.5</v>
      </c>
      <c r="F284" s="175">
        <v>95</v>
      </c>
      <c r="G284" s="176">
        <v>997.5</v>
      </c>
      <c r="H284" s="101">
        <v>53</v>
      </c>
      <c r="K284"/>
    </row>
    <row r="285" spans="1:11" x14ac:dyDescent="0.25">
      <c r="A285" s="174">
        <v>40856</v>
      </c>
      <c r="B285" s="161" t="s">
        <v>757</v>
      </c>
      <c r="C285" s="98" t="s">
        <v>758</v>
      </c>
      <c r="D285" s="98" t="s">
        <v>26</v>
      </c>
      <c r="E285" s="175">
        <v>9</v>
      </c>
      <c r="F285" s="175">
        <v>90</v>
      </c>
      <c r="G285" s="176">
        <v>810</v>
      </c>
      <c r="H285" s="101">
        <v>53</v>
      </c>
      <c r="K285"/>
    </row>
    <row r="286" spans="1:11" x14ac:dyDescent="0.25">
      <c r="A286" s="174">
        <v>40917</v>
      </c>
      <c r="B286" s="161" t="s">
        <v>745</v>
      </c>
      <c r="C286" s="98" t="s">
        <v>8</v>
      </c>
      <c r="D286" s="98" t="s">
        <v>26</v>
      </c>
      <c r="E286" s="175">
        <v>4</v>
      </c>
      <c r="F286" s="175">
        <v>35.35</v>
      </c>
      <c r="G286" s="176">
        <v>141.4</v>
      </c>
      <c r="H286" s="101">
        <v>53</v>
      </c>
      <c r="K286"/>
    </row>
    <row r="287" spans="1:11" x14ac:dyDescent="0.25">
      <c r="A287" s="174">
        <v>40917</v>
      </c>
      <c r="B287" s="161" t="s">
        <v>793</v>
      </c>
      <c r="C287" s="98" t="s">
        <v>794</v>
      </c>
      <c r="D287" s="98" t="s">
        <v>26</v>
      </c>
      <c r="E287" s="175">
        <v>7.5</v>
      </c>
      <c r="F287" s="175">
        <v>130</v>
      </c>
      <c r="G287" s="176">
        <v>975</v>
      </c>
      <c r="H287" s="101">
        <v>53</v>
      </c>
      <c r="K287"/>
    </row>
    <row r="288" spans="1:11" x14ac:dyDescent="0.25">
      <c r="A288" s="174">
        <v>40917</v>
      </c>
      <c r="B288" s="161" t="s">
        <v>778</v>
      </c>
      <c r="C288" s="98" t="s">
        <v>779</v>
      </c>
      <c r="D288" s="98" t="s">
        <v>26</v>
      </c>
      <c r="E288" s="175">
        <v>9</v>
      </c>
      <c r="F288" s="175">
        <v>95</v>
      </c>
      <c r="G288" s="176">
        <v>855</v>
      </c>
      <c r="H288" s="101">
        <v>53</v>
      </c>
      <c r="K288"/>
    </row>
    <row r="289" spans="1:11" x14ac:dyDescent="0.25">
      <c r="A289" s="174">
        <v>40932</v>
      </c>
      <c r="B289" s="161" t="s">
        <v>795</v>
      </c>
      <c r="C289" s="98" t="s">
        <v>758</v>
      </c>
      <c r="D289" s="98" t="s">
        <v>26</v>
      </c>
      <c r="E289" s="175">
        <v>9</v>
      </c>
      <c r="F289" s="175">
        <v>90</v>
      </c>
      <c r="G289" s="176">
        <v>810</v>
      </c>
      <c r="H289" s="101">
        <v>53</v>
      </c>
      <c r="K289"/>
    </row>
    <row r="290" spans="1:11" x14ac:dyDescent="0.25">
      <c r="A290" s="174">
        <v>40932</v>
      </c>
      <c r="B290" s="161" t="s">
        <v>745</v>
      </c>
      <c r="C290" s="98" t="s">
        <v>8</v>
      </c>
      <c r="D290" s="98" t="s">
        <v>26</v>
      </c>
      <c r="E290" s="175">
        <v>5</v>
      </c>
      <c r="F290" s="175">
        <v>35.35</v>
      </c>
      <c r="G290" s="176">
        <v>176.75</v>
      </c>
      <c r="H290" s="101">
        <v>53</v>
      </c>
      <c r="K290"/>
    </row>
    <row r="291" spans="1:11" x14ac:dyDescent="0.25">
      <c r="A291" s="174">
        <v>40932</v>
      </c>
      <c r="B291" s="161" t="s">
        <v>745</v>
      </c>
      <c r="C291" s="98" t="s">
        <v>8</v>
      </c>
      <c r="D291" s="98" t="s">
        <v>26</v>
      </c>
      <c r="E291" s="175">
        <v>5</v>
      </c>
      <c r="F291" s="175">
        <v>35.35</v>
      </c>
      <c r="G291" s="176">
        <v>176.75</v>
      </c>
      <c r="H291" s="101">
        <v>53</v>
      </c>
      <c r="K291"/>
    </row>
    <row r="292" spans="1:11" x14ac:dyDescent="0.25">
      <c r="A292" s="174">
        <v>40932</v>
      </c>
      <c r="B292" s="161" t="s">
        <v>742</v>
      </c>
      <c r="C292" s="98" t="s">
        <v>8</v>
      </c>
      <c r="D292" s="98" t="s">
        <v>26</v>
      </c>
      <c r="E292" s="175">
        <v>2</v>
      </c>
      <c r="F292" s="175">
        <v>44.2</v>
      </c>
      <c r="G292" s="176">
        <v>88.4</v>
      </c>
      <c r="H292" s="101">
        <v>53</v>
      </c>
      <c r="K292"/>
    </row>
    <row r="293" spans="1:11" x14ac:dyDescent="0.25">
      <c r="A293" s="174">
        <v>40933</v>
      </c>
      <c r="B293" s="161" t="s">
        <v>795</v>
      </c>
      <c r="C293" s="98" t="s">
        <v>758</v>
      </c>
      <c r="D293" s="98" t="s">
        <v>26</v>
      </c>
      <c r="E293" s="175">
        <v>5.75</v>
      </c>
      <c r="F293" s="175">
        <v>90</v>
      </c>
      <c r="G293" s="176">
        <v>517.5</v>
      </c>
      <c r="H293" s="101">
        <v>53</v>
      </c>
      <c r="K293"/>
    </row>
    <row r="294" spans="1:11" x14ac:dyDescent="0.25">
      <c r="A294" s="174">
        <v>40933</v>
      </c>
      <c r="B294" s="161" t="s">
        <v>745</v>
      </c>
      <c r="C294" s="98" t="s">
        <v>8</v>
      </c>
      <c r="D294" s="98" t="s">
        <v>26</v>
      </c>
      <c r="E294" s="175">
        <v>8</v>
      </c>
      <c r="F294" s="175">
        <v>35.35</v>
      </c>
      <c r="G294" s="176">
        <v>282.8</v>
      </c>
      <c r="H294" s="101">
        <v>53</v>
      </c>
      <c r="K294"/>
    </row>
    <row r="295" spans="1:11" x14ac:dyDescent="0.25">
      <c r="A295" s="174">
        <v>40933</v>
      </c>
      <c r="B295" s="161" t="s">
        <v>745</v>
      </c>
      <c r="C295" s="98" t="s">
        <v>8</v>
      </c>
      <c r="D295" s="98" t="s">
        <v>26</v>
      </c>
      <c r="E295" s="175">
        <v>8</v>
      </c>
      <c r="F295" s="175">
        <v>35.35</v>
      </c>
      <c r="G295" s="176">
        <v>282.8</v>
      </c>
      <c r="H295" s="101">
        <v>53</v>
      </c>
      <c r="K295"/>
    </row>
    <row r="296" spans="1:11" x14ac:dyDescent="0.25">
      <c r="A296" s="174">
        <v>40938</v>
      </c>
      <c r="B296" s="161" t="s">
        <v>745</v>
      </c>
      <c r="C296" s="98" t="s">
        <v>8</v>
      </c>
      <c r="D296" s="98" t="s">
        <v>26</v>
      </c>
      <c r="E296" s="175">
        <v>1.4990000000000001</v>
      </c>
      <c r="F296" s="175">
        <v>35.35</v>
      </c>
      <c r="G296" s="176">
        <v>52.989649999999997</v>
      </c>
      <c r="H296" s="101">
        <v>53</v>
      </c>
      <c r="K296"/>
    </row>
    <row r="297" spans="1:11" x14ac:dyDescent="0.25">
      <c r="A297" s="174">
        <v>40938</v>
      </c>
      <c r="B297" s="161" t="s">
        <v>795</v>
      </c>
      <c r="C297" s="98" t="s">
        <v>758</v>
      </c>
      <c r="D297" s="98" t="s">
        <v>26</v>
      </c>
      <c r="E297" s="175">
        <v>4.5</v>
      </c>
      <c r="F297" s="175">
        <v>90</v>
      </c>
      <c r="G297" s="176">
        <v>405</v>
      </c>
      <c r="H297" s="101">
        <v>53</v>
      </c>
      <c r="K297"/>
    </row>
    <row r="298" spans="1:11" x14ac:dyDescent="0.25">
      <c r="A298" s="174">
        <v>40938</v>
      </c>
      <c r="B298" s="161" t="s">
        <v>745</v>
      </c>
      <c r="C298" s="98" t="s">
        <v>8</v>
      </c>
      <c r="D298" s="98" t="s">
        <v>26</v>
      </c>
      <c r="E298" s="175">
        <v>3.5</v>
      </c>
      <c r="F298" s="175">
        <v>35.35</v>
      </c>
      <c r="G298" s="176">
        <v>123.72499999999999</v>
      </c>
      <c r="H298" s="101">
        <v>53</v>
      </c>
      <c r="K298"/>
    </row>
    <row r="299" spans="1:11" x14ac:dyDescent="0.25">
      <c r="A299" s="174">
        <v>40948</v>
      </c>
      <c r="B299" s="161" t="s">
        <v>795</v>
      </c>
      <c r="C299" s="98" t="s">
        <v>758</v>
      </c>
      <c r="D299" s="98" t="s">
        <v>26</v>
      </c>
      <c r="E299" s="175">
        <v>3.5</v>
      </c>
      <c r="F299" s="175">
        <v>90</v>
      </c>
      <c r="G299" s="176">
        <v>315</v>
      </c>
      <c r="H299" s="101">
        <v>53</v>
      </c>
      <c r="K299"/>
    </row>
    <row r="300" spans="1:11" x14ac:dyDescent="0.25">
      <c r="A300" s="174">
        <v>40949</v>
      </c>
      <c r="B300" s="161" t="s">
        <v>745</v>
      </c>
      <c r="C300" s="98" t="s">
        <v>8</v>
      </c>
      <c r="D300" s="98" t="s">
        <v>26</v>
      </c>
      <c r="E300" s="175">
        <v>3</v>
      </c>
      <c r="F300" s="175">
        <v>35.35</v>
      </c>
      <c r="G300" s="176">
        <v>106.05</v>
      </c>
      <c r="H300" s="101">
        <v>53</v>
      </c>
      <c r="K300"/>
    </row>
    <row r="301" spans="1:11" x14ac:dyDescent="0.25">
      <c r="A301" s="174">
        <v>40949</v>
      </c>
      <c r="B301" s="161" t="s">
        <v>795</v>
      </c>
      <c r="C301" s="98" t="s">
        <v>758</v>
      </c>
      <c r="D301" s="98" t="s">
        <v>26</v>
      </c>
      <c r="E301" s="175">
        <v>3.5</v>
      </c>
      <c r="F301" s="175">
        <v>90</v>
      </c>
      <c r="G301" s="176">
        <v>315</v>
      </c>
      <c r="H301" s="101">
        <v>53</v>
      </c>
      <c r="K301"/>
    </row>
    <row r="302" spans="1:11" x14ac:dyDescent="0.25">
      <c r="A302" s="174">
        <v>40949</v>
      </c>
      <c r="B302" s="161" t="s">
        <v>745</v>
      </c>
      <c r="C302" s="98" t="s">
        <v>8</v>
      </c>
      <c r="D302" s="98" t="s">
        <v>26</v>
      </c>
      <c r="E302" s="175">
        <v>3</v>
      </c>
      <c r="F302" s="175">
        <v>35.35</v>
      </c>
      <c r="G302" s="176">
        <v>106.05</v>
      </c>
      <c r="H302" s="101">
        <v>53</v>
      </c>
      <c r="K302"/>
    </row>
    <row r="303" spans="1:11" x14ac:dyDescent="0.25">
      <c r="A303" s="174">
        <v>40961</v>
      </c>
      <c r="B303" s="161" t="s">
        <v>745</v>
      </c>
      <c r="C303" s="98" t="s">
        <v>8</v>
      </c>
      <c r="D303" s="98" t="s">
        <v>26</v>
      </c>
      <c r="E303" s="175">
        <v>4</v>
      </c>
      <c r="F303" s="175">
        <v>35.35</v>
      </c>
      <c r="G303" s="176">
        <v>141.4</v>
      </c>
      <c r="H303" s="101">
        <v>53</v>
      </c>
      <c r="K303"/>
    </row>
    <row r="304" spans="1:11" x14ac:dyDescent="0.25">
      <c r="A304" s="174">
        <v>40961</v>
      </c>
      <c r="B304" s="161" t="s">
        <v>745</v>
      </c>
      <c r="C304" s="98" t="s">
        <v>8</v>
      </c>
      <c r="D304" s="98" t="s">
        <v>26</v>
      </c>
      <c r="E304" s="175">
        <v>4</v>
      </c>
      <c r="F304" s="175">
        <v>35.35</v>
      </c>
      <c r="G304" s="176">
        <v>141.4</v>
      </c>
      <c r="H304" s="101">
        <v>53</v>
      </c>
      <c r="K304"/>
    </row>
    <row r="305" spans="1:11" x14ac:dyDescent="0.25">
      <c r="A305" s="174">
        <v>40961</v>
      </c>
      <c r="B305" s="161" t="s">
        <v>757</v>
      </c>
      <c r="C305" s="98" t="s">
        <v>758</v>
      </c>
      <c r="D305" s="98" t="s">
        <v>26</v>
      </c>
      <c r="E305" s="175">
        <v>5.2</v>
      </c>
      <c r="F305" s="175">
        <v>90</v>
      </c>
      <c r="G305" s="176">
        <v>468</v>
      </c>
      <c r="H305" s="101">
        <v>53</v>
      </c>
      <c r="K305"/>
    </row>
    <row r="306" spans="1:11" x14ac:dyDescent="0.25">
      <c r="A306" s="174">
        <v>40989</v>
      </c>
      <c r="B306" s="161" t="s">
        <v>795</v>
      </c>
      <c r="C306" s="98" t="s">
        <v>758</v>
      </c>
      <c r="D306" s="98" t="s">
        <v>26</v>
      </c>
      <c r="E306" s="175">
        <v>3.5</v>
      </c>
      <c r="F306" s="175">
        <v>90</v>
      </c>
      <c r="G306" s="176">
        <v>315</v>
      </c>
      <c r="H306" s="101">
        <v>53</v>
      </c>
      <c r="K306"/>
    </row>
    <row r="307" spans="1:11" x14ac:dyDescent="0.25">
      <c r="A307" s="174">
        <v>41026</v>
      </c>
      <c r="B307" s="161" t="s">
        <v>796</v>
      </c>
      <c r="C307" s="98" t="s">
        <v>740</v>
      </c>
      <c r="D307" s="98" t="s">
        <v>26</v>
      </c>
      <c r="E307" s="175">
        <v>9</v>
      </c>
      <c r="F307" s="175">
        <v>105</v>
      </c>
      <c r="G307" s="176">
        <v>945</v>
      </c>
      <c r="H307" s="101">
        <v>53</v>
      </c>
      <c r="K307"/>
    </row>
    <row r="308" spans="1:11" x14ac:dyDescent="0.25">
      <c r="A308" s="174">
        <v>41026</v>
      </c>
      <c r="B308" s="161" t="s">
        <v>783</v>
      </c>
      <c r="C308" s="98" t="s">
        <v>740</v>
      </c>
      <c r="D308" s="98" t="s">
        <v>26</v>
      </c>
      <c r="E308" s="175">
        <v>9</v>
      </c>
      <c r="F308" s="175">
        <v>95</v>
      </c>
      <c r="G308" s="176">
        <v>855</v>
      </c>
      <c r="H308" s="101">
        <v>53</v>
      </c>
      <c r="K308"/>
    </row>
    <row r="309" spans="1:11" x14ac:dyDescent="0.25">
      <c r="A309" s="174">
        <v>41059</v>
      </c>
      <c r="B309" s="161" t="s">
        <v>796</v>
      </c>
      <c r="C309" s="98" t="s">
        <v>740</v>
      </c>
      <c r="D309" s="98" t="s">
        <v>26</v>
      </c>
      <c r="E309" s="175">
        <v>7</v>
      </c>
      <c r="F309" s="175">
        <v>105</v>
      </c>
      <c r="G309" s="176">
        <v>735</v>
      </c>
      <c r="H309" s="101">
        <v>53</v>
      </c>
      <c r="K309"/>
    </row>
    <row r="310" spans="1:11" x14ac:dyDescent="0.25">
      <c r="A310" s="174">
        <v>41059</v>
      </c>
      <c r="B310" s="161" t="s">
        <v>783</v>
      </c>
      <c r="C310" s="98" t="s">
        <v>740</v>
      </c>
      <c r="D310" s="98" t="s">
        <v>26</v>
      </c>
      <c r="E310" s="175">
        <v>7</v>
      </c>
      <c r="F310" s="175">
        <v>95</v>
      </c>
      <c r="G310" s="176">
        <v>665</v>
      </c>
      <c r="H310" s="101">
        <v>53</v>
      </c>
      <c r="K310"/>
    </row>
    <row r="311" spans="1:11" x14ac:dyDescent="0.25">
      <c r="A311" s="177" t="s">
        <v>643</v>
      </c>
      <c r="B311" s="178" t="s">
        <v>797</v>
      </c>
      <c r="C311" s="179" t="s">
        <v>643</v>
      </c>
      <c r="D311" s="179" t="s">
        <v>643</v>
      </c>
      <c r="E311" s="180"/>
      <c r="F311" s="180"/>
      <c r="G311" s="181">
        <v>43727.489650000003</v>
      </c>
      <c r="H311" s="188" t="s">
        <v>643</v>
      </c>
      <c r="K311"/>
    </row>
    <row r="312" spans="1:11" x14ac:dyDescent="0.25">
      <c r="A312" s="174" t="s">
        <v>643</v>
      </c>
      <c r="B312" s="161" t="s">
        <v>643</v>
      </c>
      <c r="C312" s="98" t="s">
        <v>643</v>
      </c>
      <c r="D312" s="98" t="s">
        <v>643</v>
      </c>
      <c r="E312" s="175"/>
      <c r="F312" s="175"/>
      <c r="G312" s="176"/>
      <c r="H312" s="101" t="s">
        <v>643</v>
      </c>
      <c r="K312"/>
    </row>
    <row r="313" spans="1:11" x14ac:dyDescent="0.25">
      <c r="A313" s="171" t="s">
        <v>643</v>
      </c>
      <c r="B313" s="164" t="s">
        <v>1178</v>
      </c>
      <c r="C313" s="100" t="s">
        <v>643</v>
      </c>
      <c r="D313" s="100" t="s">
        <v>643</v>
      </c>
      <c r="E313" s="172"/>
      <c r="F313" s="172"/>
      <c r="G313" s="173"/>
      <c r="H313" s="187" t="s">
        <v>643</v>
      </c>
      <c r="K313"/>
    </row>
    <row r="314" spans="1:11" x14ac:dyDescent="0.25">
      <c r="A314" s="174">
        <v>40817</v>
      </c>
      <c r="B314" s="161" t="s">
        <v>798</v>
      </c>
      <c r="C314" s="98" t="s">
        <v>799</v>
      </c>
      <c r="D314" s="98" t="s">
        <v>715</v>
      </c>
      <c r="E314" s="175">
        <v>1</v>
      </c>
      <c r="F314" s="175">
        <v>3750</v>
      </c>
      <c r="G314" s="176">
        <v>3750</v>
      </c>
      <c r="H314" s="101">
        <v>61</v>
      </c>
      <c r="K314"/>
    </row>
    <row r="315" spans="1:11" ht="30" x14ac:dyDescent="0.25">
      <c r="A315" s="174">
        <v>40817</v>
      </c>
      <c r="B315" s="161" t="s">
        <v>800</v>
      </c>
      <c r="C315" s="98" t="s">
        <v>801</v>
      </c>
      <c r="D315" s="98" t="s">
        <v>715</v>
      </c>
      <c r="E315" s="175">
        <v>1</v>
      </c>
      <c r="F315" s="175">
        <v>3750</v>
      </c>
      <c r="G315" s="176">
        <v>3750</v>
      </c>
      <c r="H315" s="101">
        <v>61</v>
      </c>
      <c r="K315"/>
    </row>
    <row r="316" spans="1:11" x14ac:dyDescent="0.25">
      <c r="A316" s="174">
        <v>40817</v>
      </c>
      <c r="B316" s="161" t="s">
        <v>745</v>
      </c>
      <c r="C316" s="98" t="s">
        <v>8</v>
      </c>
      <c r="D316" s="98" t="s">
        <v>26</v>
      </c>
      <c r="E316" s="175">
        <v>5.5</v>
      </c>
      <c r="F316" s="175">
        <v>35.35</v>
      </c>
      <c r="G316" s="176">
        <v>194.42500000000001</v>
      </c>
      <c r="H316" s="101">
        <v>61</v>
      </c>
      <c r="K316"/>
    </row>
    <row r="317" spans="1:11" x14ac:dyDescent="0.25">
      <c r="A317" s="174">
        <v>40817</v>
      </c>
      <c r="B317" s="161" t="s">
        <v>51</v>
      </c>
      <c r="C317" s="98" t="s">
        <v>750</v>
      </c>
      <c r="D317" s="98" t="s">
        <v>26</v>
      </c>
      <c r="E317" s="175">
        <v>6</v>
      </c>
      <c r="F317" s="175">
        <v>125</v>
      </c>
      <c r="G317" s="176">
        <v>750</v>
      </c>
      <c r="H317" s="101">
        <v>61</v>
      </c>
      <c r="K317"/>
    </row>
    <row r="318" spans="1:11" x14ac:dyDescent="0.25">
      <c r="A318" s="174">
        <v>40817</v>
      </c>
      <c r="B318" s="161" t="s">
        <v>763</v>
      </c>
      <c r="C318" s="98" t="s">
        <v>764</v>
      </c>
      <c r="D318" s="98" t="s">
        <v>26</v>
      </c>
      <c r="E318" s="175">
        <v>8</v>
      </c>
      <c r="F318" s="175">
        <v>100</v>
      </c>
      <c r="G318" s="176">
        <v>800</v>
      </c>
      <c r="H318" s="101">
        <v>61</v>
      </c>
      <c r="K318"/>
    </row>
    <row r="319" spans="1:11" x14ac:dyDescent="0.25">
      <c r="A319" s="174">
        <v>40817</v>
      </c>
      <c r="B319" s="161" t="s">
        <v>745</v>
      </c>
      <c r="C319" s="98" t="s">
        <v>8</v>
      </c>
      <c r="D319" s="98" t="s">
        <v>26</v>
      </c>
      <c r="E319" s="175">
        <v>7</v>
      </c>
      <c r="F319" s="175">
        <v>35.35</v>
      </c>
      <c r="G319" s="176">
        <v>247.45</v>
      </c>
      <c r="H319" s="101">
        <v>61</v>
      </c>
      <c r="K319"/>
    </row>
    <row r="320" spans="1:11" x14ac:dyDescent="0.25">
      <c r="A320" s="174">
        <v>40817</v>
      </c>
      <c r="B320" s="161" t="s">
        <v>745</v>
      </c>
      <c r="C320" s="98" t="s">
        <v>8</v>
      </c>
      <c r="D320" s="98" t="s">
        <v>26</v>
      </c>
      <c r="E320" s="175">
        <v>7</v>
      </c>
      <c r="F320" s="175">
        <v>35.35</v>
      </c>
      <c r="G320" s="176">
        <v>247.45</v>
      </c>
      <c r="H320" s="101">
        <v>61</v>
      </c>
      <c r="K320"/>
    </row>
    <row r="321" spans="1:11" x14ac:dyDescent="0.25">
      <c r="A321" s="174">
        <v>40817</v>
      </c>
      <c r="B321" s="161" t="s">
        <v>748</v>
      </c>
      <c r="C321" s="98" t="s">
        <v>747</v>
      </c>
      <c r="D321" s="98" t="s">
        <v>26</v>
      </c>
      <c r="E321" s="175">
        <v>7</v>
      </c>
      <c r="F321" s="175">
        <v>90</v>
      </c>
      <c r="G321" s="176">
        <v>630</v>
      </c>
      <c r="H321" s="101">
        <v>61</v>
      </c>
      <c r="K321"/>
    </row>
    <row r="322" spans="1:11" x14ac:dyDescent="0.25">
      <c r="A322" s="174">
        <v>40819</v>
      </c>
      <c r="B322" s="161" t="s">
        <v>773</v>
      </c>
      <c r="C322" s="98" t="s">
        <v>774</v>
      </c>
      <c r="D322" s="98" t="s">
        <v>26</v>
      </c>
      <c r="E322" s="175">
        <v>4.5</v>
      </c>
      <c r="F322" s="175">
        <v>95</v>
      </c>
      <c r="G322" s="176">
        <v>427.5</v>
      </c>
      <c r="H322" s="101">
        <v>61</v>
      </c>
      <c r="K322"/>
    </row>
    <row r="323" spans="1:11" x14ac:dyDescent="0.25">
      <c r="A323" s="174">
        <v>40819</v>
      </c>
      <c r="B323" s="161" t="s">
        <v>745</v>
      </c>
      <c r="C323" s="98" t="s">
        <v>8</v>
      </c>
      <c r="D323" s="98" t="s">
        <v>26</v>
      </c>
      <c r="E323" s="175">
        <v>10</v>
      </c>
      <c r="F323" s="175">
        <v>35.35</v>
      </c>
      <c r="G323" s="176">
        <v>353.5</v>
      </c>
      <c r="H323" s="101">
        <v>61</v>
      </c>
      <c r="K323"/>
    </row>
    <row r="324" spans="1:11" x14ac:dyDescent="0.25">
      <c r="A324" s="174">
        <v>40819</v>
      </c>
      <c r="B324" s="161" t="s">
        <v>745</v>
      </c>
      <c r="C324" s="98" t="s">
        <v>8</v>
      </c>
      <c r="D324" s="98" t="s">
        <v>26</v>
      </c>
      <c r="E324" s="175">
        <v>5.5</v>
      </c>
      <c r="F324" s="175">
        <v>35.35</v>
      </c>
      <c r="G324" s="176">
        <v>194.42500000000001</v>
      </c>
      <c r="H324" s="101">
        <v>61</v>
      </c>
      <c r="K324"/>
    </row>
    <row r="325" spans="1:11" x14ac:dyDescent="0.25">
      <c r="A325" s="174">
        <v>40819</v>
      </c>
      <c r="B325" s="161" t="s">
        <v>745</v>
      </c>
      <c r="C325" s="98" t="s">
        <v>8</v>
      </c>
      <c r="D325" s="98" t="s">
        <v>26</v>
      </c>
      <c r="E325" s="175">
        <v>10</v>
      </c>
      <c r="F325" s="175">
        <v>35.35</v>
      </c>
      <c r="G325" s="176">
        <v>353.5</v>
      </c>
      <c r="H325" s="101">
        <v>61</v>
      </c>
      <c r="K325"/>
    </row>
    <row r="326" spans="1:11" x14ac:dyDescent="0.25">
      <c r="A326" s="174">
        <v>40819</v>
      </c>
      <c r="B326" s="161" t="s">
        <v>748</v>
      </c>
      <c r="C326" s="98" t="s">
        <v>747</v>
      </c>
      <c r="D326" s="98" t="s">
        <v>26</v>
      </c>
      <c r="E326" s="175">
        <v>10</v>
      </c>
      <c r="F326" s="175">
        <v>90</v>
      </c>
      <c r="G326" s="176">
        <v>900</v>
      </c>
      <c r="H326" s="101">
        <v>61</v>
      </c>
      <c r="K326"/>
    </row>
    <row r="327" spans="1:11" x14ac:dyDescent="0.25">
      <c r="A327" s="174">
        <v>40819</v>
      </c>
      <c r="B327" s="161" t="s">
        <v>763</v>
      </c>
      <c r="C327" s="98" t="s">
        <v>764</v>
      </c>
      <c r="D327" s="98" t="s">
        <v>26</v>
      </c>
      <c r="E327" s="175">
        <v>8</v>
      </c>
      <c r="F327" s="175">
        <v>110</v>
      </c>
      <c r="G327" s="176">
        <v>880</v>
      </c>
      <c r="H327" s="101">
        <v>61</v>
      </c>
      <c r="K327"/>
    </row>
    <row r="328" spans="1:11" x14ac:dyDescent="0.25">
      <c r="A328" s="174">
        <v>40819</v>
      </c>
      <c r="B328" s="161" t="s">
        <v>802</v>
      </c>
      <c r="C328" s="98" t="s">
        <v>803</v>
      </c>
      <c r="D328" s="98" t="s">
        <v>39</v>
      </c>
      <c r="E328" s="175">
        <v>1</v>
      </c>
      <c r="F328" s="175">
        <v>1500</v>
      </c>
      <c r="G328" s="176">
        <v>1500</v>
      </c>
      <c r="H328" s="101">
        <v>61</v>
      </c>
      <c r="K328"/>
    </row>
    <row r="329" spans="1:11" x14ac:dyDescent="0.25">
      <c r="A329" s="174">
        <v>40819</v>
      </c>
      <c r="B329" s="161" t="s">
        <v>745</v>
      </c>
      <c r="C329" s="98" t="s">
        <v>8</v>
      </c>
      <c r="D329" s="98" t="s">
        <v>26</v>
      </c>
      <c r="E329" s="175">
        <v>10</v>
      </c>
      <c r="F329" s="175">
        <v>35.35</v>
      </c>
      <c r="G329" s="176">
        <v>353.5</v>
      </c>
      <c r="H329" s="101">
        <v>61</v>
      </c>
      <c r="K329"/>
    </row>
    <row r="330" spans="1:11" x14ac:dyDescent="0.25">
      <c r="A330" s="174">
        <v>40820</v>
      </c>
      <c r="B330" s="161" t="s">
        <v>745</v>
      </c>
      <c r="C330" s="98" t="s">
        <v>8</v>
      </c>
      <c r="D330" s="98" t="s">
        <v>26</v>
      </c>
      <c r="E330" s="175">
        <v>10</v>
      </c>
      <c r="F330" s="175">
        <v>35.35</v>
      </c>
      <c r="G330" s="176">
        <v>353.5</v>
      </c>
      <c r="H330" s="101">
        <v>61</v>
      </c>
      <c r="K330"/>
    </row>
    <row r="331" spans="1:11" x14ac:dyDescent="0.25">
      <c r="A331" s="174">
        <v>40820</v>
      </c>
      <c r="B331" s="161" t="s">
        <v>748</v>
      </c>
      <c r="C331" s="98" t="s">
        <v>747</v>
      </c>
      <c r="D331" s="98" t="s">
        <v>26</v>
      </c>
      <c r="E331" s="175">
        <v>10.5</v>
      </c>
      <c r="F331" s="175">
        <v>120</v>
      </c>
      <c r="G331" s="176">
        <v>1260</v>
      </c>
      <c r="H331" s="101">
        <v>61</v>
      </c>
      <c r="K331"/>
    </row>
    <row r="332" spans="1:11" x14ac:dyDescent="0.25">
      <c r="A332" s="174">
        <v>40820</v>
      </c>
      <c r="B332" s="161" t="s">
        <v>745</v>
      </c>
      <c r="C332" s="98" t="s">
        <v>8</v>
      </c>
      <c r="D332" s="98" t="s">
        <v>26</v>
      </c>
      <c r="E332" s="175">
        <v>10</v>
      </c>
      <c r="F332" s="175">
        <v>35.35</v>
      </c>
      <c r="G332" s="176">
        <v>353.5</v>
      </c>
      <c r="H332" s="101">
        <v>61</v>
      </c>
      <c r="K332"/>
    </row>
    <row r="333" spans="1:11" x14ac:dyDescent="0.25">
      <c r="A333" s="174">
        <v>40820</v>
      </c>
      <c r="B333" s="161" t="s">
        <v>763</v>
      </c>
      <c r="C333" s="98" t="s">
        <v>764</v>
      </c>
      <c r="D333" s="98" t="s">
        <v>26</v>
      </c>
      <c r="E333" s="175">
        <v>10</v>
      </c>
      <c r="F333" s="175">
        <v>100</v>
      </c>
      <c r="G333" s="176">
        <v>1000</v>
      </c>
      <c r="H333" s="101">
        <v>61</v>
      </c>
      <c r="K333"/>
    </row>
    <row r="334" spans="1:11" x14ac:dyDescent="0.25">
      <c r="A334" s="174">
        <v>40820</v>
      </c>
      <c r="B334" s="161" t="s">
        <v>745</v>
      </c>
      <c r="C334" s="98" t="s">
        <v>8</v>
      </c>
      <c r="D334" s="98" t="s">
        <v>26</v>
      </c>
      <c r="E334" s="175">
        <v>5.5</v>
      </c>
      <c r="F334" s="175">
        <v>35.35</v>
      </c>
      <c r="G334" s="176">
        <v>194.42500000000001</v>
      </c>
      <c r="H334" s="101">
        <v>61</v>
      </c>
      <c r="K334"/>
    </row>
    <row r="335" spans="1:11" x14ac:dyDescent="0.25">
      <c r="A335" s="174">
        <v>40820</v>
      </c>
      <c r="B335" s="161" t="s">
        <v>745</v>
      </c>
      <c r="C335" s="98" t="s">
        <v>8</v>
      </c>
      <c r="D335" s="98" t="s">
        <v>26</v>
      </c>
      <c r="E335" s="175">
        <v>10</v>
      </c>
      <c r="F335" s="175">
        <v>35.35</v>
      </c>
      <c r="G335" s="176">
        <v>353.5</v>
      </c>
      <c r="H335" s="101">
        <v>61</v>
      </c>
      <c r="K335"/>
    </row>
    <row r="336" spans="1:11" x14ac:dyDescent="0.25">
      <c r="A336" s="174">
        <v>40820</v>
      </c>
      <c r="B336" s="161" t="s">
        <v>802</v>
      </c>
      <c r="C336" s="98" t="s">
        <v>803</v>
      </c>
      <c r="D336" s="98" t="s">
        <v>39</v>
      </c>
      <c r="E336" s="175">
        <v>1</v>
      </c>
      <c r="F336" s="175">
        <v>1500</v>
      </c>
      <c r="G336" s="176">
        <v>1500</v>
      </c>
      <c r="H336" s="101">
        <v>61</v>
      </c>
      <c r="K336"/>
    </row>
    <row r="337" spans="1:11" x14ac:dyDescent="0.25">
      <c r="A337" s="174">
        <v>40820</v>
      </c>
      <c r="B337" s="161" t="s">
        <v>804</v>
      </c>
      <c r="C337" s="98" t="s">
        <v>750</v>
      </c>
      <c r="D337" s="98" t="s">
        <v>26</v>
      </c>
      <c r="E337" s="175">
        <v>5</v>
      </c>
      <c r="F337" s="175">
        <v>45</v>
      </c>
      <c r="G337" s="176">
        <v>225</v>
      </c>
      <c r="H337" s="101">
        <v>61</v>
      </c>
      <c r="K337"/>
    </row>
    <row r="338" spans="1:11" x14ac:dyDescent="0.25">
      <c r="A338" s="174">
        <v>40821</v>
      </c>
      <c r="B338" s="161" t="s">
        <v>773</v>
      </c>
      <c r="C338" s="98" t="s">
        <v>774</v>
      </c>
      <c r="D338" s="98" t="s">
        <v>26</v>
      </c>
      <c r="E338" s="175">
        <v>5</v>
      </c>
      <c r="F338" s="175">
        <v>95</v>
      </c>
      <c r="G338" s="176">
        <v>475</v>
      </c>
      <c r="H338" s="101">
        <v>61</v>
      </c>
      <c r="K338"/>
    </row>
    <row r="339" spans="1:11" x14ac:dyDescent="0.25">
      <c r="A339" s="174">
        <v>40821</v>
      </c>
      <c r="B339" s="161" t="s">
        <v>805</v>
      </c>
      <c r="C339" s="98" t="s">
        <v>806</v>
      </c>
      <c r="D339" s="98" t="s">
        <v>26</v>
      </c>
      <c r="E339" s="175">
        <v>10</v>
      </c>
      <c r="F339" s="175">
        <v>80</v>
      </c>
      <c r="G339" s="176">
        <v>800</v>
      </c>
      <c r="H339" s="101">
        <v>61</v>
      </c>
      <c r="K339"/>
    </row>
    <row r="340" spans="1:11" x14ac:dyDescent="0.25">
      <c r="A340" s="174">
        <v>40821</v>
      </c>
      <c r="B340" s="161" t="s">
        <v>745</v>
      </c>
      <c r="C340" s="98" t="s">
        <v>8</v>
      </c>
      <c r="D340" s="98" t="s">
        <v>26</v>
      </c>
      <c r="E340" s="175">
        <v>5.5</v>
      </c>
      <c r="F340" s="175">
        <v>35.35</v>
      </c>
      <c r="G340" s="176">
        <v>194.42500000000001</v>
      </c>
      <c r="H340" s="101">
        <v>61</v>
      </c>
      <c r="K340"/>
    </row>
    <row r="341" spans="1:11" x14ac:dyDescent="0.25">
      <c r="A341" s="174">
        <v>40821</v>
      </c>
      <c r="B341" s="161" t="s">
        <v>748</v>
      </c>
      <c r="C341" s="98" t="s">
        <v>747</v>
      </c>
      <c r="D341" s="98" t="s">
        <v>26</v>
      </c>
      <c r="E341" s="175">
        <v>9.5</v>
      </c>
      <c r="F341" s="175">
        <v>120</v>
      </c>
      <c r="G341" s="176">
        <v>1140</v>
      </c>
      <c r="H341" s="101">
        <v>61</v>
      </c>
      <c r="K341"/>
    </row>
    <row r="342" spans="1:11" x14ac:dyDescent="0.25">
      <c r="A342" s="174">
        <v>40822</v>
      </c>
      <c r="B342" s="161" t="s">
        <v>745</v>
      </c>
      <c r="C342" s="98" t="s">
        <v>8</v>
      </c>
      <c r="D342" s="98" t="s">
        <v>26</v>
      </c>
      <c r="E342" s="175">
        <v>10</v>
      </c>
      <c r="F342" s="175">
        <v>35.35</v>
      </c>
      <c r="G342" s="176">
        <v>353.5</v>
      </c>
      <c r="H342" s="101">
        <v>61</v>
      </c>
      <c r="K342"/>
    </row>
    <row r="343" spans="1:11" x14ac:dyDescent="0.25">
      <c r="A343" s="174">
        <v>40822</v>
      </c>
      <c r="B343" s="161" t="s">
        <v>745</v>
      </c>
      <c r="C343" s="98" t="s">
        <v>8</v>
      </c>
      <c r="D343" s="98" t="s">
        <v>26</v>
      </c>
      <c r="E343" s="175">
        <v>10</v>
      </c>
      <c r="F343" s="175">
        <v>35.35</v>
      </c>
      <c r="G343" s="176">
        <v>353.5</v>
      </c>
      <c r="H343" s="101">
        <v>61</v>
      </c>
      <c r="K343"/>
    </row>
    <row r="344" spans="1:11" x14ac:dyDescent="0.25">
      <c r="A344" s="174">
        <v>40822</v>
      </c>
      <c r="B344" s="161" t="s">
        <v>745</v>
      </c>
      <c r="C344" s="98" t="s">
        <v>8</v>
      </c>
      <c r="D344" s="98" t="s">
        <v>26</v>
      </c>
      <c r="E344" s="175">
        <v>10</v>
      </c>
      <c r="F344" s="175">
        <v>35.35</v>
      </c>
      <c r="G344" s="176">
        <v>353.5</v>
      </c>
      <c r="H344" s="101">
        <v>61</v>
      </c>
      <c r="K344"/>
    </row>
    <row r="345" spans="1:11" x14ac:dyDescent="0.25">
      <c r="A345" s="174">
        <v>40822</v>
      </c>
      <c r="B345" s="161" t="s">
        <v>557</v>
      </c>
      <c r="C345" s="98" t="s">
        <v>747</v>
      </c>
      <c r="D345" s="98" t="s">
        <v>26</v>
      </c>
      <c r="E345" s="175">
        <v>2</v>
      </c>
      <c r="F345" s="175">
        <v>55</v>
      </c>
      <c r="G345" s="176">
        <v>110</v>
      </c>
      <c r="H345" s="101">
        <v>61</v>
      </c>
      <c r="K345"/>
    </row>
    <row r="346" spans="1:11" x14ac:dyDescent="0.25">
      <c r="A346" s="174">
        <v>40822</v>
      </c>
      <c r="B346" s="161" t="s">
        <v>748</v>
      </c>
      <c r="C346" s="98" t="s">
        <v>747</v>
      </c>
      <c r="D346" s="98" t="s">
        <v>26</v>
      </c>
      <c r="E346" s="175">
        <v>10.5</v>
      </c>
      <c r="F346" s="175">
        <v>120</v>
      </c>
      <c r="G346" s="176">
        <v>1260</v>
      </c>
      <c r="H346" s="101">
        <v>61</v>
      </c>
      <c r="K346"/>
    </row>
    <row r="347" spans="1:11" x14ac:dyDescent="0.25">
      <c r="A347" s="174">
        <v>40822</v>
      </c>
      <c r="B347" s="161" t="s">
        <v>773</v>
      </c>
      <c r="C347" s="98" t="s">
        <v>774</v>
      </c>
      <c r="D347" s="98" t="s">
        <v>26</v>
      </c>
      <c r="E347" s="175">
        <v>5</v>
      </c>
      <c r="F347" s="175">
        <v>95</v>
      </c>
      <c r="G347" s="176">
        <v>475</v>
      </c>
      <c r="H347" s="101">
        <v>61</v>
      </c>
      <c r="K347"/>
    </row>
    <row r="348" spans="1:11" x14ac:dyDescent="0.25">
      <c r="A348" s="174">
        <v>40822</v>
      </c>
      <c r="B348" s="161" t="s">
        <v>807</v>
      </c>
      <c r="C348" s="98" t="s">
        <v>750</v>
      </c>
      <c r="D348" s="98" t="s">
        <v>26</v>
      </c>
      <c r="E348" s="175">
        <v>5</v>
      </c>
      <c r="F348" s="175">
        <v>45</v>
      </c>
      <c r="G348" s="176">
        <v>225</v>
      </c>
      <c r="H348" s="101">
        <v>61</v>
      </c>
      <c r="K348"/>
    </row>
    <row r="349" spans="1:11" x14ac:dyDescent="0.25">
      <c r="A349" s="174">
        <v>40822</v>
      </c>
      <c r="B349" s="161" t="s">
        <v>804</v>
      </c>
      <c r="C349" s="98" t="s">
        <v>750</v>
      </c>
      <c r="D349" s="98" t="s">
        <v>26</v>
      </c>
      <c r="E349" s="175">
        <v>4</v>
      </c>
      <c r="F349" s="175">
        <v>130</v>
      </c>
      <c r="G349" s="176">
        <v>520</v>
      </c>
      <c r="H349" s="101">
        <v>61</v>
      </c>
      <c r="K349"/>
    </row>
    <row r="350" spans="1:11" x14ac:dyDescent="0.25">
      <c r="A350" s="177" t="s">
        <v>643</v>
      </c>
      <c r="B350" s="178" t="s">
        <v>808</v>
      </c>
      <c r="C350" s="179" t="s">
        <v>643</v>
      </c>
      <c r="D350" s="179" t="s">
        <v>643</v>
      </c>
      <c r="E350" s="180"/>
      <c r="F350" s="180"/>
      <c r="G350" s="181">
        <v>26831.599999999999</v>
      </c>
      <c r="H350" s="188" t="s">
        <v>643</v>
      </c>
      <c r="K350"/>
    </row>
    <row r="351" spans="1:11" x14ac:dyDescent="0.25">
      <c r="A351" s="174" t="s">
        <v>643</v>
      </c>
      <c r="B351" s="161" t="s">
        <v>643</v>
      </c>
      <c r="C351" s="98" t="s">
        <v>643</v>
      </c>
      <c r="D351" s="98" t="s">
        <v>643</v>
      </c>
      <c r="E351" s="175"/>
      <c r="F351" s="175"/>
      <c r="G351" s="176"/>
      <c r="H351" s="101" t="s">
        <v>643</v>
      </c>
      <c r="K351"/>
    </row>
    <row r="352" spans="1:11" x14ac:dyDescent="0.25">
      <c r="A352" s="171" t="s">
        <v>643</v>
      </c>
      <c r="B352" s="164" t="s">
        <v>1179</v>
      </c>
      <c r="C352" s="100" t="s">
        <v>643</v>
      </c>
      <c r="D352" s="100" t="s">
        <v>643</v>
      </c>
      <c r="E352" s="172"/>
      <c r="F352" s="172"/>
      <c r="G352" s="173"/>
      <c r="H352" s="187" t="s">
        <v>643</v>
      </c>
      <c r="K352"/>
    </row>
    <row r="353" spans="1:11" x14ac:dyDescent="0.25">
      <c r="A353" s="174">
        <v>40794</v>
      </c>
      <c r="B353" s="161" t="s">
        <v>51</v>
      </c>
      <c r="C353" s="98" t="s">
        <v>750</v>
      </c>
      <c r="D353" s="98" t="s">
        <v>26</v>
      </c>
      <c r="E353" s="175">
        <v>5</v>
      </c>
      <c r="F353" s="175">
        <v>95</v>
      </c>
      <c r="G353" s="176">
        <v>475</v>
      </c>
      <c r="H353" s="101">
        <v>62</v>
      </c>
      <c r="K353"/>
    </row>
    <row r="354" spans="1:11" x14ac:dyDescent="0.25">
      <c r="A354" s="174">
        <v>40794</v>
      </c>
      <c r="B354" s="161" t="s">
        <v>346</v>
      </c>
      <c r="C354" s="98" t="s">
        <v>751</v>
      </c>
      <c r="D354" s="98" t="s">
        <v>26</v>
      </c>
      <c r="E354" s="175">
        <v>2</v>
      </c>
      <c r="F354" s="175">
        <v>26.46</v>
      </c>
      <c r="G354" s="176">
        <v>52.92</v>
      </c>
      <c r="H354" s="101">
        <v>62</v>
      </c>
      <c r="K354"/>
    </row>
    <row r="355" spans="1:11" x14ac:dyDescent="0.25">
      <c r="A355" s="174">
        <v>40816</v>
      </c>
      <c r="B355" s="161" t="s">
        <v>763</v>
      </c>
      <c r="C355" s="98" t="s">
        <v>764</v>
      </c>
      <c r="D355" s="98" t="s">
        <v>26</v>
      </c>
      <c r="E355" s="175">
        <v>6</v>
      </c>
      <c r="F355" s="175">
        <v>100</v>
      </c>
      <c r="G355" s="176">
        <v>600</v>
      </c>
      <c r="H355" s="101">
        <v>62</v>
      </c>
      <c r="K355"/>
    </row>
    <row r="356" spans="1:11" x14ac:dyDescent="0.25">
      <c r="A356" s="174">
        <v>40821</v>
      </c>
      <c r="B356" s="161" t="s">
        <v>745</v>
      </c>
      <c r="C356" s="98" t="s">
        <v>8</v>
      </c>
      <c r="D356" s="98" t="s">
        <v>26</v>
      </c>
      <c r="E356" s="175">
        <v>10</v>
      </c>
      <c r="F356" s="175">
        <v>35.35</v>
      </c>
      <c r="G356" s="176">
        <v>353.5</v>
      </c>
      <c r="H356" s="101">
        <v>62</v>
      </c>
      <c r="K356"/>
    </row>
    <row r="357" spans="1:11" x14ac:dyDescent="0.25">
      <c r="A357" s="174">
        <v>40821</v>
      </c>
      <c r="B357" s="161" t="s">
        <v>745</v>
      </c>
      <c r="C357" s="98" t="s">
        <v>8</v>
      </c>
      <c r="D357" s="98" t="s">
        <v>26</v>
      </c>
      <c r="E357" s="175">
        <v>10</v>
      </c>
      <c r="F357" s="175">
        <v>35.35</v>
      </c>
      <c r="G357" s="176">
        <v>353.5</v>
      </c>
      <c r="H357" s="101">
        <v>62</v>
      </c>
      <c r="K357"/>
    </row>
    <row r="358" spans="1:11" x14ac:dyDescent="0.25">
      <c r="A358" s="174">
        <v>40823</v>
      </c>
      <c r="B358" s="161" t="s">
        <v>745</v>
      </c>
      <c r="C358" s="98" t="s">
        <v>8</v>
      </c>
      <c r="D358" s="98" t="s">
        <v>26</v>
      </c>
      <c r="E358" s="175">
        <v>8</v>
      </c>
      <c r="F358" s="175">
        <v>35.35</v>
      </c>
      <c r="G358" s="176">
        <v>282.8</v>
      </c>
      <c r="H358" s="101">
        <v>62</v>
      </c>
      <c r="K358"/>
    </row>
    <row r="359" spans="1:11" x14ac:dyDescent="0.25">
      <c r="A359" s="174">
        <v>40823</v>
      </c>
      <c r="B359" s="161" t="s">
        <v>748</v>
      </c>
      <c r="C359" s="98" t="s">
        <v>747</v>
      </c>
      <c r="D359" s="98" t="s">
        <v>26</v>
      </c>
      <c r="E359" s="175">
        <v>7.5</v>
      </c>
      <c r="F359" s="175">
        <v>120</v>
      </c>
      <c r="G359" s="176">
        <v>900</v>
      </c>
      <c r="H359" s="101">
        <v>62</v>
      </c>
      <c r="K359"/>
    </row>
    <row r="360" spans="1:11" x14ac:dyDescent="0.25">
      <c r="A360" s="174">
        <v>40823</v>
      </c>
      <c r="B360" s="161" t="s">
        <v>745</v>
      </c>
      <c r="C360" s="98" t="s">
        <v>8</v>
      </c>
      <c r="D360" s="98" t="s">
        <v>26</v>
      </c>
      <c r="E360" s="175">
        <v>8</v>
      </c>
      <c r="F360" s="175">
        <v>35.35</v>
      </c>
      <c r="G360" s="176">
        <v>282.8</v>
      </c>
      <c r="H360" s="101">
        <v>62</v>
      </c>
      <c r="K360"/>
    </row>
    <row r="361" spans="1:11" x14ac:dyDescent="0.25">
      <c r="A361" s="174">
        <v>40823</v>
      </c>
      <c r="B361" s="161" t="s">
        <v>749</v>
      </c>
      <c r="C361" s="98" t="s">
        <v>750</v>
      </c>
      <c r="D361" s="98" t="s">
        <v>26</v>
      </c>
      <c r="E361" s="175">
        <v>8</v>
      </c>
      <c r="F361" s="175">
        <v>125</v>
      </c>
      <c r="G361" s="176">
        <v>1000</v>
      </c>
      <c r="H361" s="101">
        <v>62</v>
      </c>
      <c r="K361"/>
    </row>
    <row r="362" spans="1:11" x14ac:dyDescent="0.25">
      <c r="A362" s="174">
        <v>40823</v>
      </c>
      <c r="B362" s="161" t="s">
        <v>773</v>
      </c>
      <c r="C362" s="98" t="s">
        <v>774</v>
      </c>
      <c r="D362" s="98" t="s">
        <v>26</v>
      </c>
      <c r="E362" s="175">
        <v>5</v>
      </c>
      <c r="F362" s="175">
        <v>95</v>
      </c>
      <c r="G362" s="176">
        <v>475</v>
      </c>
      <c r="H362" s="101">
        <v>62</v>
      </c>
      <c r="K362"/>
    </row>
    <row r="363" spans="1:11" x14ac:dyDescent="0.25">
      <c r="A363" s="174">
        <v>40824</v>
      </c>
      <c r="B363" s="161" t="s">
        <v>773</v>
      </c>
      <c r="C363" s="98" t="s">
        <v>774</v>
      </c>
      <c r="D363" s="98" t="s">
        <v>26</v>
      </c>
      <c r="E363" s="175">
        <v>5.5</v>
      </c>
      <c r="F363" s="175">
        <v>95</v>
      </c>
      <c r="G363" s="176">
        <v>522.5</v>
      </c>
      <c r="H363" s="101">
        <v>62</v>
      </c>
      <c r="K363"/>
    </row>
    <row r="364" spans="1:11" x14ac:dyDescent="0.25">
      <c r="A364" s="174">
        <v>40826</v>
      </c>
      <c r="B364" s="161" t="s">
        <v>748</v>
      </c>
      <c r="C364" s="98" t="s">
        <v>747</v>
      </c>
      <c r="D364" s="98" t="s">
        <v>26</v>
      </c>
      <c r="E364" s="175">
        <v>9.5</v>
      </c>
      <c r="F364" s="175">
        <v>120</v>
      </c>
      <c r="G364" s="176">
        <v>1140</v>
      </c>
      <c r="H364" s="101">
        <v>62</v>
      </c>
      <c r="K364"/>
    </row>
    <row r="365" spans="1:11" x14ac:dyDescent="0.25">
      <c r="A365" s="174">
        <v>40826</v>
      </c>
      <c r="B365" s="161" t="s">
        <v>773</v>
      </c>
      <c r="C365" s="98" t="s">
        <v>774</v>
      </c>
      <c r="D365" s="98" t="s">
        <v>26</v>
      </c>
      <c r="E365" s="175">
        <v>5</v>
      </c>
      <c r="F365" s="175">
        <v>95</v>
      </c>
      <c r="G365" s="176">
        <v>475</v>
      </c>
      <c r="H365" s="101">
        <v>62</v>
      </c>
      <c r="K365"/>
    </row>
    <row r="366" spans="1:11" x14ac:dyDescent="0.25">
      <c r="A366" s="174">
        <v>40826</v>
      </c>
      <c r="B366" s="161" t="s">
        <v>745</v>
      </c>
      <c r="C366" s="98" t="s">
        <v>8</v>
      </c>
      <c r="D366" s="98" t="s">
        <v>26</v>
      </c>
      <c r="E366" s="175">
        <v>10</v>
      </c>
      <c r="F366" s="175">
        <v>35.35</v>
      </c>
      <c r="G366" s="176">
        <v>353.5</v>
      </c>
      <c r="H366" s="101">
        <v>62</v>
      </c>
      <c r="K366"/>
    </row>
    <row r="367" spans="1:11" x14ac:dyDescent="0.25">
      <c r="A367" s="174">
        <v>40826</v>
      </c>
      <c r="B367" s="161" t="s">
        <v>745</v>
      </c>
      <c r="C367" s="98" t="s">
        <v>8</v>
      </c>
      <c r="D367" s="98" t="s">
        <v>26</v>
      </c>
      <c r="E367" s="175">
        <v>10</v>
      </c>
      <c r="F367" s="175">
        <v>35.35</v>
      </c>
      <c r="G367" s="176">
        <v>353.5</v>
      </c>
      <c r="H367" s="101">
        <v>62</v>
      </c>
      <c r="K367"/>
    </row>
    <row r="368" spans="1:11" x14ac:dyDescent="0.25">
      <c r="A368" s="174">
        <v>40826</v>
      </c>
      <c r="B368" s="161" t="s">
        <v>749</v>
      </c>
      <c r="C368" s="98" t="s">
        <v>750</v>
      </c>
      <c r="D368" s="98" t="s">
        <v>26</v>
      </c>
      <c r="E368" s="175">
        <v>10</v>
      </c>
      <c r="F368" s="175">
        <v>125</v>
      </c>
      <c r="G368" s="176">
        <v>1250</v>
      </c>
      <c r="H368" s="101">
        <v>62</v>
      </c>
      <c r="K368"/>
    </row>
    <row r="369" spans="1:11" x14ac:dyDescent="0.25">
      <c r="A369" s="174">
        <v>40826</v>
      </c>
      <c r="B369" s="161" t="s">
        <v>557</v>
      </c>
      <c r="C369" s="98" t="s">
        <v>747</v>
      </c>
      <c r="D369" s="98" t="s">
        <v>26</v>
      </c>
      <c r="E369" s="175">
        <v>1</v>
      </c>
      <c r="F369" s="175">
        <v>55</v>
      </c>
      <c r="G369" s="176">
        <v>55</v>
      </c>
      <c r="H369" s="101">
        <v>62</v>
      </c>
      <c r="K369"/>
    </row>
    <row r="370" spans="1:11" x14ac:dyDescent="0.25">
      <c r="A370" s="174">
        <v>40827</v>
      </c>
      <c r="B370" s="161" t="s">
        <v>749</v>
      </c>
      <c r="C370" s="98" t="s">
        <v>750</v>
      </c>
      <c r="D370" s="98" t="s">
        <v>26</v>
      </c>
      <c r="E370" s="175">
        <v>10.5</v>
      </c>
      <c r="F370" s="175">
        <v>125</v>
      </c>
      <c r="G370" s="176">
        <v>1312.5</v>
      </c>
      <c r="H370" s="101">
        <v>62</v>
      </c>
      <c r="K370"/>
    </row>
    <row r="371" spans="1:11" x14ac:dyDescent="0.25">
      <c r="A371" s="174">
        <v>40827</v>
      </c>
      <c r="B371" s="161" t="s">
        <v>745</v>
      </c>
      <c r="C371" s="98" t="s">
        <v>8</v>
      </c>
      <c r="D371" s="98" t="s">
        <v>26</v>
      </c>
      <c r="E371" s="175">
        <v>10</v>
      </c>
      <c r="F371" s="175">
        <v>35.35</v>
      </c>
      <c r="G371" s="176">
        <v>353.5</v>
      </c>
      <c r="H371" s="101">
        <v>62</v>
      </c>
      <c r="K371"/>
    </row>
    <row r="372" spans="1:11" x14ac:dyDescent="0.25">
      <c r="A372" s="174">
        <v>40827</v>
      </c>
      <c r="B372" s="161" t="s">
        <v>748</v>
      </c>
      <c r="C372" s="98" t="s">
        <v>747</v>
      </c>
      <c r="D372" s="98" t="s">
        <v>26</v>
      </c>
      <c r="E372" s="175">
        <v>10</v>
      </c>
      <c r="F372" s="175">
        <v>120</v>
      </c>
      <c r="G372" s="176">
        <v>1200</v>
      </c>
      <c r="H372" s="101">
        <v>62</v>
      </c>
      <c r="K372"/>
    </row>
    <row r="373" spans="1:11" x14ac:dyDescent="0.25">
      <c r="A373" s="174">
        <v>40827</v>
      </c>
      <c r="B373" s="161" t="s">
        <v>785</v>
      </c>
      <c r="C373" s="98" t="s">
        <v>786</v>
      </c>
      <c r="D373" s="98" t="s">
        <v>26</v>
      </c>
      <c r="E373" s="175">
        <v>10.25</v>
      </c>
      <c r="F373" s="175">
        <v>150</v>
      </c>
      <c r="G373" s="176">
        <v>1537.5</v>
      </c>
      <c r="H373" s="101">
        <v>62</v>
      </c>
      <c r="K373"/>
    </row>
    <row r="374" spans="1:11" x14ac:dyDescent="0.25">
      <c r="A374" s="174">
        <v>40827</v>
      </c>
      <c r="B374" s="161" t="s">
        <v>773</v>
      </c>
      <c r="C374" s="98" t="s">
        <v>774</v>
      </c>
      <c r="D374" s="98" t="s">
        <v>26</v>
      </c>
      <c r="E374" s="175">
        <v>5</v>
      </c>
      <c r="F374" s="175">
        <v>95</v>
      </c>
      <c r="G374" s="176">
        <v>475</v>
      </c>
      <c r="H374" s="101">
        <v>62</v>
      </c>
      <c r="K374"/>
    </row>
    <row r="375" spans="1:11" x14ac:dyDescent="0.25">
      <c r="A375" s="174">
        <v>40828</v>
      </c>
      <c r="B375" s="161" t="s">
        <v>748</v>
      </c>
      <c r="C375" s="98" t="s">
        <v>747</v>
      </c>
      <c r="D375" s="98" t="s">
        <v>26</v>
      </c>
      <c r="E375" s="175">
        <v>10.5</v>
      </c>
      <c r="F375" s="175">
        <v>120</v>
      </c>
      <c r="G375" s="176">
        <v>1260</v>
      </c>
      <c r="H375" s="101">
        <v>62</v>
      </c>
      <c r="K375"/>
    </row>
    <row r="376" spans="1:11" x14ac:dyDescent="0.25">
      <c r="A376" s="174">
        <v>40828</v>
      </c>
      <c r="B376" s="161" t="s">
        <v>773</v>
      </c>
      <c r="C376" s="98" t="s">
        <v>774</v>
      </c>
      <c r="D376" s="98" t="s">
        <v>26</v>
      </c>
      <c r="E376" s="175">
        <v>5</v>
      </c>
      <c r="F376" s="175">
        <v>95</v>
      </c>
      <c r="G376" s="176">
        <v>475</v>
      </c>
      <c r="H376" s="101">
        <v>62</v>
      </c>
      <c r="K376"/>
    </row>
    <row r="377" spans="1:11" x14ac:dyDescent="0.25">
      <c r="A377" s="174">
        <v>40828</v>
      </c>
      <c r="B377" s="161" t="s">
        <v>809</v>
      </c>
      <c r="C377" s="98" t="s">
        <v>810</v>
      </c>
      <c r="D377" s="98" t="s">
        <v>811</v>
      </c>
      <c r="E377" s="175">
        <v>1</v>
      </c>
      <c r="F377" s="175">
        <v>1490.71</v>
      </c>
      <c r="G377" s="176">
        <v>1490.71</v>
      </c>
      <c r="H377" s="101">
        <v>62</v>
      </c>
      <c r="K377"/>
    </row>
    <row r="378" spans="1:11" x14ac:dyDescent="0.25">
      <c r="A378" s="174">
        <v>40828</v>
      </c>
      <c r="B378" s="161" t="s">
        <v>745</v>
      </c>
      <c r="C378" s="98" t="s">
        <v>8</v>
      </c>
      <c r="D378" s="98" t="s">
        <v>26</v>
      </c>
      <c r="E378" s="175">
        <v>10</v>
      </c>
      <c r="F378" s="175">
        <v>35.35</v>
      </c>
      <c r="G378" s="176">
        <v>353.5</v>
      </c>
      <c r="H378" s="101">
        <v>62</v>
      </c>
      <c r="K378"/>
    </row>
    <row r="379" spans="1:11" x14ac:dyDescent="0.25">
      <c r="A379" s="174">
        <v>40828</v>
      </c>
      <c r="B379" s="161" t="s">
        <v>749</v>
      </c>
      <c r="C379" s="98" t="s">
        <v>750</v>
      </c>
      <c r="D379" s="98" t="s">
        <v>26</v>
      </c>
      <c r="E379" s="175">
        <v>10.5</v>
      </c>
      <c r="F379" s="175">
        <v>125</v>
      </c>
      <c r="G379" s="176">
        <v>1312.5</v>
      </c>
      <c r="H379" s="101">
        <v>62</v>
      </c>
      <c r="K379"/>
    </row>
    <row r="380" spans="1:11" x14ac:dyDescent="0.25">
      <c r="A380" s="174">
        <v>40828</v>
      </c>
      <c r="B380" s="161" t="s">
        <v>748</v>
      </c>
      <c r="C380" s="98" t="s">
        <v>747</v>
      </c>
      <c r="D380" s="98" t="s">
        <v>26</v>
      </c>
      <c r="E380" s="175">
        <v>1</v>
      </c>
      <c r="F380" s="175">
        <v>55</v>
      </c>
      <c r="G380" s="176">
        <v>55</v>
      </c>
      <c r="H380" s="101">
        <v>62</v>
      </c>
      <c r="K380"/>
    </row>
    <row r="381" spans="1:11" x14ac:dyDescent="0.25">
      <c r="A381" s="174">
        <v>40829</v>
      </c>
      <c r="B381" s="161" t="s">
        <v>745</v>
      </c>
      <c r="C381" s="98" t="s">
        <v>8</v>
      </c>
      <c r="D381" s="98" t="s">
        <v>26</v>
      </c>
      <c r="E381" s="175">
        <v>10</v>
      </c>
      <c r="F381" s="175">
        <v>35.35</v>
      </c>
      <c r="G381" s="176">
        <v>353.5</v>
      </c>
      <c r="H381" s="101">
        <v>62</v>
      </c>
      <c r="K381"/>
    </row>
    <row r="382" spans="1:11" x14ac:dyDescent="0.25">
      <c r="A382" s="174">
        <v>40829</v>
      </c>
      <c r="B382" s="161" t="s">
        <v>748</v>
      </c>
      <c r="C382" s="98" t="s">
        <v>747</v>
      </c>
      <c r="D382" s="98" t="s">
        <v>26</v>
      </c>
      <c r="E382" s="175">
        <v>10.5</v>
      </c>
      <c r="F382" s="175">
        <v>120</v>
      </c>
      <c r="G382" s="176">
        <v>1260</v>
      </c>
      <c r="H382" s="101">
        <v>62</v>
      </c>
      <c r="K382"/>
    </row>
    <row r="383" spans="1:11" x14ac:dyDescent="0.25">
      <c r="A383" s="174">
        <v>40829</v>
      </c>
      <c r="B383" s="161" t="s">
        <v>773</v>
      </c>
      <c r="C383" s="98" t="s">
        <v>774</v>
      </c>
      <c r="D383" s="98" t="s">
        <v>26</v>
      </c>
      <c r="E383" s="175">
        <v>5</v>
      </c>
      <c r="F383" s="175">
        <v>95</v>
      </c>
      <c r="G383" s="176">
        <v>475</v>
      </c>
      <c r="H383" s="101">
        <v>62</v>
      </c>
      <c r="K383"/>
    </row>
    <row r="384" spans="1:11" x14ac:dyDescent="0.25">
      <c r="A384" s="174">
        <v>40829</v>
      </c>
      <c r="B384" s="161" t="s">
        <v>745</v>
      </c>
      <c r="C384" s="98" t="s">
        <v>8</v>
      </c>
      <c r="D384" s="98" t="s">
        <v>26</v>
      </c>
      <c r="E384" s="175">
        <v>10</v>
      </c>
      <c r="F384" s="175">
        <v>35.35</v>
      </c>
      <c r="G384" s="176">
        <v>353.5</v>
      </c>
      <c r="H384" s="101">
        <v>62</v>
      </c>
      <c r="K384"/>
    </row>
    <row r="385" spans="1:11" x14ac:dyDescent="0.25">
      <c r="A385" s="174">
        <v>40829</v>
      </c>
      <c r="B385" s="161" t="s">
        <v>749</v>
      </c>
      <c r="C385" s="98" t="s">
        <v>750</v>
      </c>
      <c r="D385" s="98" t="s">
        <v>26</v>
      </c>
      <c r="E385" s="175">
        <v>10.5</v>
      </c>
      <c r="F385" s="175">
        <v>125</v>
      </c>
      <c r="G385" s="176">
        <v>1312.5</v>
      </c>
      <c r="H385" s="101">
        <v>62</v>
      </c>
      <c r="K385"/>
    </row>
    <row r="386" spans="1:11" x14ac:dyDescent="0.25">
      <c r="A386" s="174">
        <v>40829</v>
      </c>
      <c r="B386" s="161" t="s">
        <v>748</v>
      </c>
      <c r="C386" s="98" t="s">
        <v>747</v>
      </c>
      <c r="D386" s="98" t="s">
        <v>26</v>
      </c>
      <c r="E386" s="175">
        <v>10.5</v>
      </c>
      <c r="F386" s="175">
        <v>120</v>
      </c>
      <c r="G386" s="176">
        <v>1260</v>
      </c>
      <c r="H386" s="101">
        <v>62</v>
      </c>
      <c r="K386"/>
    </row>
    <row r="387" spans="1:11" x14ac:dyDescent="0.25">
      <c r="A387" s="174">
        <v>40829</v>
      </c>
      <c r="B387" s="161" t="s">
        <v>557</v>
      </c>
      <c r="C387" s="98" t="s">
        <v>747</v>
      </c>
      <c r="D387" s="98" t="s">
        <v>26</v>
      </c>
      <c r="E387" s="175">
        <v>3</v>
      </c>
      <c r="F387" s="175">
        <v>55</v>
      </c>
      <c r="G387" s="176">
        <v>165</v>
      </c>
      <c r="H387" s="101">
        <v>62</v>
      </c>
      <c r="K387"/>
    </row>
    <row r="388" spans="1:11" x14ac:dyDescent="0.25">
      <c r="A388" s="174">
        <v>40830</v>
      </c>
      <c r="B388" s="161" t="s">
        <v>773</v>
      </c>
      <c r="C388" s="98" t="s">
        <v>774</v>
      </c>
      <c r="D388" s="98" t="s">
        <v>26</v>
      </c>
      <c r="E388" s="175">
        <v>6</v>
      </c>
      <c r="F388" s="175">
        <v>95</v>
      </c>
      <c r="G388" s="176">
        <v>570</v>
      </c>
      <c r="H388" s="101">
        <v>62</v>
      </c>
      <c r="K388"/>
    </row>
    <row r="389" spans="1:11" x14ac:dyDescent="0.25">
      <c r="A389" s="174">
        <v>40830</v>
      </c>
      <c r="B389" s="161" t="s">
        <v>745</v>
      </c>
      <c r="C389" s="98" t="s">
        <v>8</v>
      </c>
      <c r="D389" s="98" t="s">
        <v>26</v>
      </c>
      <c r="E389" s="175">
        <v>4</v>
      </c>
      <c r="F389" s="175">
        <v>35.35</v>
      </c>
      <c r="G389" s="176">
        <v>141.4</v>
      </c>
      <c r="H389" s="101">
        <v>62</v>
      </c>
      <c r="K389"/>
    </row>
    <row r="390" spans="1:11" x14ac:dyDescent="0.25">
      <c r="A390" s="174">
        <v>40830</v>
      </c>
      <c r="B390" s="161" t="s">
        <v>763</v>
      </c>
      <c r="C390" s="98" t="s">
        <v>764</v>
      </c>
      <c r="D390" s="98" t="s">
        <v>26</v>
      </c>
      <c r="E390" s="175">
        <v>3</v>
      </c>
      <c r="F390" s="175">
        <v>135</v>
      </c>
      <c r="G390" s="176">
        <v>405</v>
      </c>
      <c r="H390" s="101">
        <v>62</v>
      </c>
      <c r="K390"/>
    </row>
    <row r="391" spans="1:11" x14ac:dyDescent="0.25">
      <c r="A391" s="174">
        <v>40830</v>
      </c>
      <c r="B391" s="161" t="s">
        <v>749</v>
      </c>
      <c r="C391" s="98" t="s">
        <v>750</v>
      </c>
      <c r="D391" s="98" t="s">
        <v>26</v>
      </c>
      <c r="E391" s="175">
        <v>5</v>
      </c>
      <c r="F391" s="175">
        <v>125</v>
      </c>
      <c r="G391" s="176">
        <v>625</v>
      </c>
      <c r="H391" s="101">
        <v>62</v>
      </c>
      <c r="K391"/>
    </row>
    <row r="392" spans="1:11" x14ac:dyDescent="0.25">
      <c r="A392" s="174">
        <v>40830</v>
      </c>
      <c r="B392" s="161" t="s">
        <v>745</v>
      </c>
      <c r="C392" s="98" t="s">
        <v>8</v>
      </c>
      <c r="D392" s="98" t="s">
        <v>26</v>
      </c>
      <c r="E392" s="175">
        <v>8</v>
      </c>
      <c r="F392" s="175">
        <v>35.35</v>
      </c>
      <c r="G392" s="176">
        <v>282.8</v>
      </c>
      <c r="H392" s="101">
        <v>62</v>
      </c>
      <c r="K392"/>
    </row>
    <row r="393" spans="1:11" x14ac:dyDescent="0.25">
      <c r="A393" s="174">
        <v>40830</v>
      </c>
      <c r="B393" s="161" t="s">
        <v>745</v>
      </c>
      <c r="C393" s="98" t="s">
        <v>8</v>
      </c>
      <c r="D393" s="98" t="s">
        <v>26</v>
      </c>
      <c r="E393" s="175">
        <v>4</v>
      </c>
      <c r="F393" s="175">
        <v>35.35</v>
      </c>
      <c r="G393" s="176">
        <v>141.4</v>
      </c>
      <c r="H393" s="101">
        <v>62</v>
      </c>
      <c r="K393"/>
    </row>
    <row r="394" spans="1:11" x14ac:dyDescent="0.25">
      <c r="A394" s="174">
        <v>40830</v>
      </c>
      <c r="B394" s="161" t="s">
        <v>778</v>
      </c>
      <c r="C394" s="98" t="s">
        <v>779</v>
      </c>
      <c r="D394" s="98" t="s">
        <v>26</v>
      </c>
      <c r="E394" s="175">
        <v>3</v>
      </c>
      <c r="F394" s="175">
        <v>90</v>
      </c>
      <c r="G394" s="176">
        <v>270</v>
      </c>
      <c r="H394" s="101">
        <v>62</v>
      </c>
      <c r="K394"/>
    </row>
    <row r="395" spans="1:11" x14ac:dyDescent="0.25">
      <c r="A395" s="174">
        <v>40830</v>
      </c>
      <c r="B395" s="161" t="s">
        <v>785</v>
      </c>
      <c r="C395" s="98" t="s">
        <v>786</v>
      </c>
      <c r="D395" s="98" t="s">
        <v>26</v>
      </c>
      <c r="E395" s="175">
        <v>1</v>
      </c>
      <c r="F395" s="175">
        <v>60</v>
      </c>
      <c r="G395" s="176">
        <v>60</v>
      </c>
      <c r="H395" s="101">
        <v>62</v>
      </c>
      <c r="K395"/>
    </row>
    <row r="396" spans="1:11" x14ac:dyDescent="0.25">
      <c r="A396" s="174">
        <v>40830</v>
      </c>
      <c r="B396" s="161" t="s">
        <v>785</v>
      </c>
      <c r="C396" s="98" t="s">
        <v>786</v>
      </c>
      <c r="D396" s="98" t="s">
        <v>26</v>
      </c>
      <c r="E396" s="175">
        <v>5</v>
      </c>
      <c r="F396" s="175">
        <v>150</v>
      </c>
      <c r="G396" s="176">
        <v>750</v>
      </c>
      <c r="H396" s="101">
        <v>62</v>
      </c>
      <c r="K396"/>
    </row>
    <row r="397" spans="1:11" x14ac:dyDescent="0.25">
      <c r="A397" s="174">
        <v>40830</v>
      </c>
      <c r="B397" s="161" t="s">
        <v>745</v>
      </c>
      <c r="C397" s="98" t="s">
        <v>8</v>
      </c>
      <c r="D397" s="98" t="s">
        <v>26</v>
      </c>
      <c r="E397" s="175">
        <v>4</v>
      </c>
      <c r="F397" s="175">
        <v>35.35</v>
      </c>
      <c r="G397" s="176">
        <v>141.4</v>
      </c>
      <c r="H397" s="101">
        <v>62</v>
      </c>
      <c r="K397"/>
    </row>
    <row r="398" spans="1:11" x14ac:dyDescent="0.25">
      <c r="A398" s="174">
        <v>40830</v>
      </c>
      <c r="B398" s="161" t="s">
        <v>557</v>
      </c>
      <c r="C398" s="98" t="s">
        <v>747</v>
      </c>
      <c r="D398" s="98" t="s">
        <v>26</v>
      </c>
      <c r="E398" s="175">
        <v>4</v>
      </c>
      <c r="F398" s="175">
        <v>120</v>
      </c>
      <c r="G398" s="176">
        <v>480</v>
      </c>
      <c r="H398" s="101">
        <v>62</v>
      </c>
      <c r="K398"/>
    </row>
    <row r="399" spans="1:11" x14ac:dyDescent="0.25">
      <c r="A399" s="174">
        <v>40831</v>
      </c>
      <c r="B399" s="161" t="s">
        <v>787</v>
      </c>
      <c r="C399" s="98" t="s">
        <v>788</v>
      </c>
      <c r="D399" s="98" t="s">
        <v>26</v>
      </c>
      <c r="E399" s="175">
        <v>1.5</v>
      </c>
      <c r="F399" s="175">
        <v>95</v>
      </c>
      <c r="G399" s="176">
        <v>142.5</v>
      </c>
      <c r="H399" s="101">
        <v>62</v>
      </c>
      <c r="K399"/>
    </row>
    <row r="400" spans="1:11" x14ac:dyDescent="0.25">
      <c r="A400" s="174">
        <v>40831</v>
      </c>
      <c r="B400" s="161" t="s">
        <v>778</v>
      </c>
      <c r="C400" s="98" t="s">
        <v>779</v>
      </c>
      <c r="D400" s="98" t="s">
        <v>26</v>
      </c>
      <c r="E400" s="175">
        <v>1</v>
      </c>
      <c r="F400" s="175">
        <v>90</v>
      </c>
      <c r="G400" s="176">
        <v>90</v>
      </c>
      <c r="H400" s="101">
        <v>62</v>
      </c>
      <c r="K400"/>
    </row>
    <row r="401" spans="1:11" x14ac:dyDescent="0.25">
      <c r="A401" s="174">
        <v>40831</v>
      </c>
      <c r="B401" s="161" t="s">
        <v>745</v>
      </c>
      <c r="C401" s="98" t="s">
        <v>8</v>
      </c>
      <c r="D401" s="98" t="s">
        <v>26</v>
      </c>
      <c r="E401" s="175">
        <v>2</v>
      </c>
      <c r="F401" s="175">
        <v>35.35</v>
      </c>
      <c r="G401" s="176">
        <v>70.7</v>
      </c>
      <c r="H401" s="101">
        <v>62</v>
      </c>
      <c r="K401"/>
    </row>
    <row r="402" spans="1:11" x14ac:dyDescent="0.25">
      <c r="A402" s="174">
        <v>40831</v>
      </c>
      <c r="B402" s="161" t="s">
        <v>763</v>
      </c>
      <c r="C402" s="98" t="s">
        <v>764</v>
      </c>
      <c r="D402" s="98" t="s">
        <v>26</v>
      </c>
      <c r="E402" s="175">
        <v>1.5</v>
      </c>
      <c r="F402" s="175">
        <v>135</v>
      </c>
      <c r="G402" s="176">
        <v>202.5</v>
      </c>
      <c r="H402" s="101">
        <v>62</v>
      </c>
      <c r="K402"/>
    </row>
    <row r="403" spans="1:11" x14ac:dyDescent="0.25">
      <c r="A403" s="174">
        <v>40831</v>
      </c>
      <c r="B403" s="161" t="s">
        <v>773</v>
      </c>
      <c r="C403" s="98" t="s">
        <v>774</v>
      </c>
      <c r="D403" s="98" t="s">
        <v>26</v>
      </c>
      <c r="E403" s="175">
        <v>2.5</v>
      </c>
      <c r="F403" s="175">
        <v>100</v>
      </c>
      <c r="G403" s="176">
        <v>250</v>
      </c>
      <c r="H403" s="101">
        <v>62</v>
      </c>
      <c r="K403"/>
    </row>
    <row r="404" spans="1:11" x14ac:dyDescent="0.25">
      <c r="A404" s="174">
        <v>40831</v>
      </c>
      <c r="B404" s="161" t="s">
        <v>745</v>
      </c>
      <c r="C404" s="98" t="s">
        <v>8</v>
      </c>
      <c r="D404" s="98" t="s">
        <v>26</v>
      </c>
      <c r="E404" s="175">
        <v>2</v>
      </c>
      <c r="F404" s="175">
        <v>35.35</v>
      </c>
      <c r="G404" s="176">
        <v>70.7</v>
      </c>
      <c r="H404" s="101">
        <v>62</v>
      </c>
      <c r="K404"/>
    </row>
    <row r="405" spans="1:11" x14ac:dyDescent="0.25">
      <c r="A405" s="174">
        <v>40831</v>
      </c>
      <c r="B405" s="161" t="s">
        <v>745</v>
      </c>
      <c r="C405" s="98" t="s">
        <v>8</v>
      </c>
      <c r="D405" s="98" t="s">
        <v>26</v>
      </c>
      <c r="E405" s="175">
        <v>2</v>
      </c>
      <c r="F405" s="175">
        <v>35.35</v>
      </c>
      <c r="G405" s="176">
        <v>70.7</v>
      </c>
      <c r="H405" s="101">
        <v>62</v>
      </c>
      <c r="K405"/>
    </row>
    <row r="406" spans="1:11" x14ac:dyDescent="0.25">
      <c r="A406" s="174">
        <v>40833</v>
      </c>
      <c r="B406" s="161" t="s">
        <v>763</v>
      </c>
      <c r="C406" s="98" t="s">
        <v>764</v>
      </c>
      <c r="D406" s="98" t="s">
        <v>26</v>
      </c>
      <c r="E406" s="175">
        <v>1.5</v>
      </c>
      <c r="F406" s="175">
        <v>135</v>
      </c>
      <c r="G406" s="176">
        <v>202.5</v>
      </c>
      <c r="H406" s="101">
        <v>62</v>
      </c>
      <c r="K406"/>
    </row>
    <row r="407" spans="1:11" x14ac:dyDescent="0.25">
      <c r="A407" s="174">
        <v>40833</v>
      </c>
      <c r="B407" s="161" t="s">
        <v>745</v>
      </c>
      <c r="C407" s="98" t="s">
        <v>8</v>
      </c>
      <c r="D407" s="98" t="s">
        <v>26</v>
      </c>
      <c r="E407" s="175">
        <v>2</v>
      </c>
      <c r="F407" s="175">
        <v>35.35</v>
      </c>
      <c r="G407" s="176">
        <v>70.7</v>
      </c>
      <c r="H407" s="101">
        <v>62</v>
      </c>
      <c r="K407"/>
    </row>
    <row r="408" spans="1:11" x14ac:dyDescent="0.25">
      <c r="A408" s="174">
        <v>40833</v>
      </c>
      <c r="B408" s="161" t="s">
        <v>773</v>
      </c>
      <c r="C408" s="98" t="s">
        <v>774</v>
      </c>
      <c r="D408" s="98" t="s">
        <v>26</v>
      </c>
      <c r="E408" s="175">
        <v>5</v>
      </c>
      <c r="F408" s="175">
        <v>95</v>
      </c>
      <c r="G408" s="176">
        <v>475</v>
      </c>
      <c r="H408" s="101">
        <v>62</v>
      </c>
      <c r="K408"/>
    </row>
    <row r="409" spans="1:11" x14ac:dyDescent="0.25">
      <c r="A409" s="174">
        <v>40833</v>
      </c>
      <c r="B409" s="161" t="s">
        <v>785</v>
      </c>
      <c r="C409" s="98" t="s">
        <v>786</v>
      </c>
      <c r="D409" s="98" t="s">
        <v>26</v>
      </c>
      <c r="E409" s="175">
        <v>10</v>
      </c>
      <c r="F409" s="175">
        <v>150</v>
      </c>
      <c r="G409" s="176">
        <v>1500</v>
      </c>
      <c r="H409" s="101">
        <v>62</v>
      </c>
      <c r="K409"/>
    </row>
    <row r="410" spans="1:11" x14ac:dyDescent="0.25">
      <c r="A410" s="174">
        <v>40833</v>
      </c>
      <c r="B410" s="161" t="s">
        <v>748</v>
      </c>
      <c r="C410" s="98" t="s">
        <v>747</v>
      </c>
      <c r="D410" s="98" t="s">
        <v>26</v>
      </c>
      <c r="E410" s="175">
        <v>9.5</v>
      </c>
      <c r="F410" s="175">
        <v>120</v>
      </c>
      <c r="G410" s="176">
        <v>1140</v>
      </c>
      <c r="H410" s="101">
        <v>62</v>
      </c>
      <c r="K410"/>
    </row>
    <row r="411" spans="1:11" x14ac:dyDescent="0.25">
      <c r="A411" s="174">
        <v>40833</v>
      </c>
      <c r="B411" s="161" t="s">
        <v>745</v>
      </c>
      <c r="C411" s="98" t="s">
        <v>8</v>
      </c>
      <c r="D411" s="98" t="s">
        <v>26</v>
      </c>
      <c r="E411" s="175">
        <v>10</v>
      </c>
      <c r="F411" s="175">
        <v>35.35</v>
      </c>
      <c r="G411" s="176">
        <v>353.5</v>
      </c>
      <c r="H411" s="101">
        <v>62</v>
      </c>
      <c r="K411"/>
    </row>
    <row r="412" spans="1:11" x14ac:dyDescent="0.25">
      <c r="A412" s="174">
        <v>40833</v>
      </c>
      <c r="B412" s="161" t="s">
        <v>812</v>
      </c>
      <c r="C412" s="98" t="s">
        <v>764</v>
      </c>
      <c r="D412" s="98" t="s">
        <v>26</v>
      </c>
      <c r="E412" s="175">
        <v>7</v>
      </c>
      <c r="F412" s="175">
        <v>110</v>
      </c>
      <c r="G412" s="176">
        <v>770</v>
      </c>
      <c r="H412" s="101">
        <v>62</v>
      </c>
      <c r="K412"/>
    </row>
    <row r="413" spans="1:11" x14ac:dyDescent="0.25">
      <c r="A413" s="174">
        <v>40833</v>
      </c>
      <c r="B413" s="161" t="s">
        <v>778</v>
      </c>
      <c r="C413" s="98" t="s">
        <v>779</v>
      </c>
      <c r="D413" s="98" t="s">
        <v>26</v>
      </c>
      <c r="E413" s="175">
        <v>1</v>
      </c>
      <c r="F413" s="175">
        <v>90</v>
      </c>
      <c r="G413" s="176">
        <v>90</v>
      </c>
      <c r="H413" s="101">
        <v>62</v>
      </c>
      <c r="K413"/>
    </row>
    <row r="414" spans="1:11" x14ac:dyDescent="0.25">
      <c r="A414" s="174">
        <v>40833</v>
      </c>
      <c r="B414" s="161" t="s">
        <v>787</v>
      </c>
      <c r="C414" s="98" t="s">
        <v>788</v>
      </c>
      <c r="D414" s="98" t="s">
        <v>26</v>
      </c>
      <c r="E414" s="175">
        <v>1</v>
      </c>
      <c r="F414" s="175">
        <v>95</v>
      </c>
      <c r="G414" s="176">
        <v>95</v>
      </c>
      <c r="H414" s="101">
        <v>62</v>
      </c>
      <c r="K414"/>
    </row>
    <row r="415" spans="1:11" x14ac:dyDescent="0.25">
      <c r="A415" s="174">
        <v>40833</v>
      </c>
      <c r="B415" s="161" t="s">
        <v>745</v>
      </c>
      <c r="C415" s="98" t="s">
        <v>8</v>
      </c>
      <c r="D415" s="98" t="s">
        <v>26</v>
      </c>
      <c r="E415" s="175">
        <v>2</v>
      </c>
      <c r="F415" s="175">
        <v>35.35</v>
      </c>
      <c r="G415" s="176">
        <v>70.7</v>
      </c>
      <c r="H415" s="101">
        <v>62</v>
      </c>
      <c r="K415"/>
    </row>
    <row r="416" spans="1:11" x14ac:dyDescent="0.25">
      <c r="A416" s="174">
        <v>40833</v>
      </c>
      <c r="B416" s="161" t="s">
        <v>557</v>
      </c>
      <c r="C416" s="98" t="s">
        <v>747</v>
      </c>
      <c r="D416" s="98" t="s">
        <v>26</v>
      </c>
      <c r="E416" s="175">
        <v>2</v>
      </c>
      <c r="F416" s="175">
        <v>55</v>
      </c>
      <c r="G416" s="176">
        <v>110</v>
      </c>
      <c r="H416" s="101">
        <v>62</v>
      </c>
      <c r="K416"/>
    </row>
    <row r="417" spans="1:11" x14ac:dyDescent="0.25">
      <c r="A417" s="174">
        <v>40834</v>
      </c>
      <c r="B417" s="161" t="s">
        <v>757</v>
      </c>
      <c r="C417" s="98" t="s">
        <v>758</v>
      </c>
      <c r="D417" s="98" t="s">
        <v>26</v>
      </c>
      <c r="E417" s="175">
        <v>3</v>
      </c>
      <c r="F417" s="175">
        <v>90</v>
      </c>
      <c r="G417" s="176">
        <v>270</v>
      </c>
      <c r="H417" s="101">
        <v>62</v>
      </c>
      <c r="K417"/>
    </row>
    <row r="418" spans="1:11" x14ac:dyDescent="0.25">
      <c r="A418" s="174">
        <v>40834</v>
      </c>
      <c r="B418" s="161" t="s">
        <v>745</v>
      </c>
      <c r="C418" s="98" t="s">
        <v>8</v>
      </c>
      <c r="D418" s="98" t="s">
        <v>26</v>
      </c>
      <c r="E418" s="175">
        <v>8.5</v>
      </c>
      <c r="F418" s="175">
        <v>35.35</v>
      </c>
      <c r="G418" s="176">
        <v>300.47500000000002</v>
      </c>
      <c r="H418" s="101">
        <v>62</v>
      </c>
      <c r="K418"/>
    </row>
    <row r="419" spans="1:11" x14ac:dyDescent="0.25">
      <c r="A419" s="174">
        <v>40834</v>
      </c>
      <c r="B419" s="161" t="s">
        <v>773</v>
      </c>
      <c r="C419" s="98" t="s">
        <v>774</v>
      </c>
      <c r="D419" s="98" t="s">
        <v>26</v>
      </c>
      <c r="E419" s="175">
        <v>6</v>
      </c>
      <c r="F419" s="175">
        <v>95</v>
      </c>
      <c r="G419" s="176">
        <v>570</v>
      </c>
      <c r="H419" s="101">
        <v>62</v>
      </c>
      <c r="K419"/>
    </row>
    <row r="420" spans="1:11" x14ac:dyDescent="0.25">
      <c r="A420" s="174">
        <v>40834</v>
      </c>
      <c r="B420" s="161" t="s">
        <v>813</v>
      </c>
      <c r="C420" s="98" t="s">
        <v>814</v>
      </c>
      <c r="D420" s="98" t="s">
        <v>715</v>
      </c>
      <c r="E420" s="175">
        <v>1</v>
      </c>
      <c r="F420" s="175">
        <v>640</v>
      </c>
      <c r="G420" s="176">
        <v>640</v>
      </c>
      <c r="H420" s="101">
        <v>62</v>
      </c>
      <c r="K420"/>
    </row>
    <row r="421" spans="1:11" x14ac:dyDescent="0.25">
      <c r="A421" s="174">
        <v>40835</v>
      </c>
      <c r="B421" s="161" t="s">
        <v>815</v>
      </c>
      <c r="C421" s="98" t="s">
        <v>766</v>
      </c>
      <c r="D421" s="98" t="s">
        <v>26</v>
      </c>
      <c r="E421" s="175">
        <v>5</v>
      </c>
      <c r="F421" s="175">
        <v>110</v>
      </c>
      <c r="G421" s="176">
        <v>550</v>
      </c>
      <c r="H421" s="101">
        <v>62</v>
      </c>
      <c r="K421"/>
    </row>
    <row r="422" spans="1:11" x14ac:dyDescent="0.25">
      <c r="A422" s="174">
        <v>40835</v>
      </c>
      <c r="B422" s="161" t="s">
        <v>773</v>
      </c>
      <c r="C422" s="98" t="s">
        <v>774</v>
      </c>
      <c r="D422" s="98" t="s">
        <v>26</v>
      </c>
      <c r="E422" s="175">
        <v>4.5</v>
      </c>
      <c r="F422" s="175">
        <v>95</v>
      </c>
      <c r="G422" s="176">
        <v>427.5</v>
      </c>
      <c r="H422" s="101">
        <v>62</v>
      </c>
      <c r="K422"/>
    </row>
    <row r="423" spans="1:11" x14ac:dyDescent="0.25">
      <c r="A423" s="174">
        <v>40835</v>
      </c>
      <c r="B423" s="161" t="s">
        <v>743</v>
      </c>
      <c r="C423" s="98" t="s">
        <v>744</v>
      </c>
      <c r="D423" s="98" t="s">
        <v>26</v>
      </c>
      <c r="E423" s="175">
        <v>10</v>
      </c>
      <c r="F423" s="175">
        <v>145</v>
      </c>
      <c r="G423" s="176">
        <v>1450</v>
      </c>
      <c r="H423" s="101">
        <v>62</v>
      </c>
      <c r="K423"/>
    </row>
    <row r="424" spans="1:11" x14ac:dyDescent="0.25">
      <c r="A424" s="174">
        <v>40835</v>
      </c>
      <c r="B424" s="161" t="s">
        <v>773</v>
      </c>
      <c r="C424" s="98" t="s">
        <v>774</v>
      </c>
      <c r="D424" s="98" t="s">
        <v>26</v>
      </c>
      <c r="E424" s="175">
        <v>4</v>
      </c>
      <c r="F424" s="175">
        <v>95</v>
      </c>
      <c r="G424" s="176">
        <v>380</v>
      </c>
      <c r="H424" s="101">
        <v>62</v>
      </c>
      <c r="K424"/>
    </row>
    <row r="425" spans="1:11" x14ac:dyDescent="0.25">
      <c r="A425" s="174">
        <v>40835</v>
      </c>
      <c r="B425" s="161" t="s">
        <v>757</v>
      </c>
      <c r="C425" s="98" t="s">
        <v>758</v>
      </c>
      <c r="D425" s="98" t="s">
        <v>26</v>
      </c>
      <c r="E425" s="175">
        <v>10</v>
      </c>
      <c r="F425" s="175">
        <v>90</v>
      </c>
      <c r="G425" s="176">
        <v>900</v>
      </c>
      <c r="H425" s="101">
        <v>62</v>
      </c>
      <c r="K425"/>
    </row>
    <row r="426" spans="1:11" x14ac:dyDescent="0.25">
      <c r="A426" s="174">
        <v>40835</v>
      </c>
      <c r="B426" s="161" t="s">
        <v>742</v>
      </c>
      <c r="C426" s="98" t="s">
        <v>8</v>
      </c>
      <c r="D426" s="98" t="s">
        <v>26</v>
      </c>
      <c r="E426" s="175">
        <v>5</v>
      </c>
      <c r="F426" s="175">
        <v>44.2</v>
      </c>
      <c r="G426" s="176">
        <v>221</v>
      </c>
      <c r="H426" s="101">
        <v>62</v>
      </c>
      <c r="K426"/>
    </row>
    <row r="427" spans="1:11" x14ac:dyDescent="0.25">
      <c r="A427" s="174">
        <v>40835</v>
      </c>
      <c r="B427" s="161" t="s">
        <v>816</v>
      </c>
      <c r="C427" s="98" t="s">
        <v>774</v>
      </c>
      <c r="D427" s="98" t="s">
        <v>26</v>
      </c>
      <c r="E427" s="175">
        <v>3</v>
      </c>
      <c r="F427" s="175">
        <v>95</v>
      </c>
      <c r="G427" s="176">
        <v>285</v>
      </c>
      <c r="H427" s="101">
        <v>62</v>
      </c>
      <c r="K427"/>
    </row>
    <row r="428" spans="1:11" x14ac:dyDescent="0.25">
      <c r="A428" s="174">
        <v>40835</v>
      </c>
      <c r="B428" s="161" t="s">
        <v>745</v>
      </c>
      <c r="C428" s="98" t="s">
        <v>8</v>
      </c>
      <c r="D428" s="98" t="s">
        <v>26</v>
      </c>
      <c r="E428" s="175">
        <v>10</v>
      </c>
      <c r="F428" s="175">
        <v>35.35</v>
      </c>
      <c r="G428" s="176">
        <v>353.5</v>
      </c>
      <c r="H428" s="101">
        <v>62</v>
      </c>
      <c r="K428"/>
    </row>
    <row r="429" spans="1:11" x14ac:dyDescent="0.25">
      <c r="A429" s="174">
        <v>40835</v>
      </c>
      <c r="B429" s="161" t="s">
        <v>359</v>
      </c>
      <c r="C429" s="98" t="s">
        <v>752</v>
      </c>
      <c r="D429" s="98" t="s">
        <v>26</v>
      </c>
      <c r="E429" s="175">
        <v>5</v>
      </c>
      <c r="F429" s="175">
        <v>11.67</v>
      </c>
      <c r="G429" s="176">
        <v>58.35</v>
      </c>
      <c r="H429" s="101">
        <v>62</v>
      </c>
      <c r="K429"/>
    </row>
    <row r="430" spans="1:11" x14ac:dyDescent="0.25">
      <c r="A430" s="174">
        <v>40835</v>
      </c>
      <c r="B430" s="161" t="s">
        <v>745</v>
      </c>
      <c r="C430" s="98" t="s">
        <v>8</v>
      </c>
      <c r="D430" s="98" t="s">
        <v>26</v>
      </c>
      <c r="E430" s="175">
        <v>10</v>
      </c>
      <c r="F430" s="175">
        <v>35.35</v>
      </c>
      <c r="G430" s="176">
        <v>353.5</v>
      </c>
      <c r="H430" s="101">
        <v>62</v>
      </c>
      <c r="K430"/>
    </row>
    <row r="431" spans="1:11" x14ac:dyDescent="0.25">
      <c r="A431" s="174">
        <v>40835</v>
      </c>
      <c r="B431" s="161" t="s">
        <v>557</v>
      </c>
      <c r="C431" s="98" t="s">
        <v>747</v>
      </c>
      <c r="D431" s="98" t="s">
        <v>26</v>
      </c>
      <c r="E431" s="175">
        <v>4.5</v>
      </c>
      <c r="F431" s="175">
        <v>55</v>
      </c>
      <c r="G431" s="176">
        <v>247.5</v>
      </c>
      <c r="H431" s="101">
        <v>62</v>
      </c>
      <c r="K431"/>
    </row>
    <row r="432" spans="1:11" x14ac:dyDescent="0.25">
      <c r="A432" s="174">
        <v>40836</v>
      </c>
      <c r="B432" s="161" t="s">
        <v>757</v>
      </c>
      <c r="C432" s="98" t="s">
        <v>758</v>
      </c>
      <c r="D432" s="98" t="s">
        <v>26</v>
      </c>
      <c r="E432" s="175">
        <v>10</v>
      </c>
      <c r="F432" s="175">
        <v>90</v>
      </c>
      <c r="G432" s="176">
        <v>900</v>
      </c>
      <c r="H432" s="101">
        <v>62</v>
      </c>
      <c r="K432"/>
    </row>
    <row r="433" spans="1:11" x14ac:dyDescent="0.25">
      <c r="A433" s="174">
        <v>40836</v>
      </c>
      <c r="B433" s="161" t="s">
        <v>359</v>
      </c>
      <c r="C433" s="98" t="s">
        <v>752</v>
      </c>
      <c r="D433" s="98" t="s">
        <v>26</v>
      </c>
      <c r="E433" s="175">
        <v>5</v>
      </c>
      <c r="F433" s="175">
        <v>11.67</v>
      </c>
      <c r="G433" s="176">
        <v>58.35</v>
      </c>
      <c r="H433" s="101">
        <v>62</v>
      </c>
      <c r="K433"/>
    </row>
    <row r="434" spans="1:11" x14ac:dyDescent="0.25">
      <c r="A434" s="174">
        <v>40836</v>
      </c>
      <c r="B434" s="161" t="s">
        <v>743</v>
      </c>
      <c r="C434" s="98" t="s">
        <v>744</v>
      </c>
      <c r="D434" s="98" t="s">
        <v>26</v>
      </c>
      <c r="E434" s="175">
        <v>10</v>
      </c>
      <c r="F434" s="175">
        <v>145</v>
      </c>
      <c r="G434" s="176">
        <v>1450</v>
      </c>
      <c r="H434" s="101">
        <v>62</v>
      </c>
      <c r="K434"/>
    </row>
    <row r="435" spans="1:11" x14ac:dyDescent="0.25">
      <c r="A435" s="174">
        <v>40836</v>
      </c>
      <c r="B435" s="161" t="s">
        <v>745</v>
      </c>
      <c r="C435" s="98" t="s">
        <v>8</v>
      </c>
      <c r="D435" s="98" t="s">
        <v>26</v>
      </c>
      <c r="E435" s="175">
        <v>10</v>
      </c>
      <c r="F435" s="175">
        <v>35.35</v>
      </c>
      <c r="G435" s="176">
        <v>353.5</v>
      </c>
      <c r="H435" s="101">
        <v>62</v>
      </c>
      <c r="K435"/>
    </row>
    <row r="436" spans="1:11" x14ac:dyDescent="0.25">
      <c r="A436" s="174">
        <v>40836</v>
      </c>
      <c r="B436" s="161" t="s">
        <v>745</v>
      </c>
      <c r="C436" s="98" t="s">
        <v>8</v>
      </c>
      <c r="D436" s="98" t="s">
        <v>26</v>
      </c>
      <c r="E436" s="175">
        <v>10</v>
      </c>
      <c r="F436" s="175">
        <v>35.35</v>
      </c>
      <c r="G436" s="176">
        <v>353.5</v>
      </c>
      <c r="H436" s="101">
        <v>62</v>
      </c>
      <c r="K436"/>
    </row>
    <row r="437" spans="1:11" x14ac:dyDescent="0.25">
      <c r="A437" s="174">
        <v>40836</v>
      </c>
      <c r="B437" s="161" t="s">
        <v>773</v>
      </c>
      <c r="C437" s="98" t="s">
        <v>774</v>
      </c>
      <c r="D437" s="98" t="s">
        <v>26</v>
      </c>
      <c r="E437" s="175">
        <v>9.5</v>
      </c>
      <c r="F437" s="175">
        <v>95</v>
      </c>
      <c r="G437" s="176">
        <v>902.5</v>
      </c>
      <c r="H437" s="101">
        <v>62</v>
      </c>
      <c r="K437"/>
    </row>
    <row r="438" spans="1:11" x14ac:dyDescent="0.25">
      <c r="A438" s="174">
        <v>40836</v>
      </c>
      <c r="B438" s="161" t="s">
        <v>742</v>
      </c>
      <c r="C438" s="98" t="s">
        <v>8</v>
      </c>
      <c r="D438" s="98" t="s">
        <v>26</v>
      </c>
      <c r="E438" s="175">
        <v>10</v>
      </c>
      <c r="F438" s="175">
        <v>44.2</v>
      </c>
      <c r="G438" s="176">
        <v>442</v>
      </c>
      <c r="H438" s="101">
        <v>62</v>
      </c>
      <c r="K438"/>
    </row>
    <row r="439" spans="1:11" x14ac:dyDescent="0.25">
      <c r="A439" s="174">
        <v>40836</v>
      </c>
      <c r="B439" s="161" t="s">
        <v>748</v>
      </c>
      <c r="C439" s="98" t="s">
        <v>747</v>
      </c>
      <c r="D439" s="98" t="s">
        <v>26</v>
      </c>
      <c r="E439" s="175">
        <v>9.5</v>
      </c>
      <c r="F439" s="175">
        <v>120</v>
      </c>
      <c r="G439" s="176">
        <v>1140</v>
      </c>
      <c r="H439" s="101">
        <v>62</v>
      </c>
      <c r="K439"/>
    </row>
    <row r="440" spans="1:11" x14ac:dyDescent="0.25">
      <c r="A440" s="174">
        <v>40836</v>
      </c>
      <c r="B440" s="161" t="s">
        <v>815</v>
      </c>
      <c r="C440" s="98" t="s">
        <v>766</v>
      </c>
      <c r="D440" s="98" t="s">
        <v>26</v>
      </c>
      <c r="E440" s="175">
        <v>10</v>
      </c>
      <c r="F440" s="175">
        <v>110</v>
      </c>
      <c r="G440" s="176">
        <v>1100</v>
      </c>
      <c r="H440" s="101">
        <v>62</v>
      </c>
      <c r="K440"/>
    </row>
    <row r="441" spans="1:11" x14ac:dyDescent="0.25">
      <c r="A441" s="174">
        <v>40836</v>
      </c>
      <c r="B441" s="161" t="s">
        <v>817</v>
      </c>
      <c r="C441" s="98" t="s">
        <v>750</v>
      </c>
      <c r="D441" s="98" t="s">
        <v>26</v>
      </c>
      <c r="E441" s="175">
        <v>9.5</v>
      </c>
      <c r="F441" s="175">
        <v>125</v>
      </c>
      <c r="G441" s="176">
        <v>1187.5</v>
      </c>
      <c r="H441" s="101">
        <v>62</v>
      </c>
      <c r="K441"/>
    </row>
    <row r="442" spans="1:11" x14ac:dyDescent="0.25">
      <c r="A442" s="174">
        <v>40837</v>
      </c>
      <c r="B442" s="161" t="s">
        <v>359</v>
      </c>
      <c r="C442" s="98" t="s">
        <v>752</v>
      </c>
      <c r="D442" s="98" t="s">
        <v>26</v>
      </c>
      <c r="E442" s="175">
        <v>4.5</v>
      </c>
      <c r="F442" s="175">
        <v>11.67</v>
      </c>
      <c r="G442" s="176">
        <v>52.515000000000001</v>
      </c>
      <c r="H442" s="101">
        <v>62</v>
      </c>
      <c r="K442"/>
    </row>
    <row r="443" spans="1:11" x14ac:dyDescent="0.25">
      <c r="A443" s="174">
        <v>40837</v>
      </c>
      <c r="B443" s="161" t="s">
        <v>743</v>
      </c>
      <c r="C443" s="98" t="s">
        <v>744</v>
      </c>
      <c r="D443" s="98" t="s">
        <v>26</v>
      </c>
      <c r="E443" s="175">
        <v>4.5</v>
      </c>
      <c r="F443" s="175">
        <v>145</v>
      </c>
      <c r="G443" s="176">
        <v>652.5</v>
      </c>
      <c r="H443" s="101">
        <v>62</v>
      </c>
      <c r="K443"/>
    </row>
    <row r="444" spans="1:11" x14ac:dyDescent="0.25">
      <c r="A444" s="174">
        <v>40837</v>
      </c>
      <c r="B444" s="161" t="s">
        <v>745</v>
      </c>
      <c r="C444" s="98" t="s">
        <v>8</v>
      </c>
      <c r="D444" s="98" t="s">
        <v>26</v>
      </c>
      <c r="E444" s="175">
        <v>4.5</v>
      </c>
      <c r="F444" s="175">
        <v>35.35</v>
      </c>
      <c r="G444" s="176">
        <v>159.07499999999999</v>
      </c>
      <c r="H444" s="101">
        <v>62</v>
      </c>
      <c r="K444"/>
    </row>
    <row r="445" spans="1:11" x14ac:dyDescent="0.25">
      <c r="A445" s="174">
        <v>40837</v>
      </c>
      <c r="B445" s="161" t="s">
        <v>742</v>
      </c>
      <c r="C445" s="98" t="s">
        <v>8</v>
      </c>
      <c r="D445" s="98" t="s">
        <v>26</v>
      </c>
      <c r="E445" s="175">
        <v>4.5</v>
      </c>
      <c r="F445" s="175">
        <v>44.2</v>
      </c>
      <c r="G445" s="176">
        <v>198.9</v>
      </c>
      <c r="H445" s="101">
        <v>62</v>
      </c>
      <c r="K445"/>
    </row>
    <row r="446" spans="1:11" x14ac:dyDescent="0.25">
      <c r="A446" s="174">
        <v>40837</v>
      </c>
      <c r="B446" s="161" t="s">
        <v>745</v>
      </c>
      <c r="C446" s="98" t="s">
        <v>8</v>
      </c>
      <c r="D446" s="98" t="s">
        <v>26</v>
      </c>
      <c r="E446" s="175">
        <v>4.5</v>
      </c>
      <c r="F446" s="175">
        <v>35.35</v>
      </c>
      <c r="G446" s="176">
        <v>159.07499999999999</v>
      </c>
      <c r="H446" s="101">
        <v>62</v>
      </c>
      <c r="K446"/>
    </row>
    <row r="447" spans="1:11" x14ac:dyDescent="0.25">
      <c r="A447" s="174">
        <v>40838</v>
      </c>
      <c r="B447" s="161" t="s">
        <v>817</v>
      </c>
      <c r="C447" s="98" t="s">
        <v>750</v>
      </c>
      <c r="D447" s="98" t="s">
        <v>26</v>
      </c>
      <c r="E447" s="175">
        <v>6.5</v>
      </c>
      <c r="F447" s="175">
        <v>95</v>
      </c>
      <c r="G447" s="176">
        <v>617.5</v>
      </c>
      <c r="H447" s="101">
        <v>62</v>
      </c>
      <c r="K447"/>
    </row>
    <row r="448" spans="1:11" x14ac:dyDescent="0.25">
      <c r="A448" s="174">
        <v>40838</v>
      </c>
      <c r="B448" s="161" t="s">
        <v>815</v>
      </c>
      <c r="C448" s="98" t="s">
        <v>766</v>
      </c>
      <c r="D448" s="98" t="s">
        <v>26</v>
      </c>
      <c r="E448" s="175">
        <v>5</v>
      </c>
      <c r="F448" s="175">
        <v>110</v>
      </c>
      <c r="G448" s="176">
        <v>550</v>
      </c>
      <c r="H448" s="101">
        <v>62</v>
      </c>
      <c r="K448"/>
    </row>
    <row r="449" spans="1:11" x14ac:dyDescent="0.25">
      <c r="A449" s="174">
        <v>40838</v>
      </c>
      <c r="B449" s="161" t="s">
        <v>359</v>
      </c>
      <c r="C449" s="98" t="s">
        <v>752</v>
      </c>
      <c r="D449" s="98" t="s">
        <v>26</v>
      </c>
      <c r="E449" s="175">
        <v>8.5</v>
      </c>
      <c r="F449" s="175">
        <v>11.67</v>
      </c>
      <c r="G449" s="176">
        <v>99.194999999999993</v>
      </c>
      <c r="H449" s="101">
        <v>62</v>
      </c>
      <c r="K449"/>
    </row>
    <row r="450" spans="1:11" x14ac:dyDescent="0.25">
      <c r="A450" s="174">
        <v>40838</v>
      </c>
      <c r="B450" s="161" t="s">
        <v>742</v>
      </c>
      <c r="C450" s="98" t="s">
        <v>8</v>
      </c>
      <c r="D450" s="98" t="s">
        <v>26</v>
      </c>
      <c r="E450" s="175">
        <v>8.5</v>
      </c>
      <c r="F450" s="175">
        <v>44.2</v>
      </c>
      <c r="G450" s="176">
        <v>375.7</v>
      </c>
      <c r="H450" s="101">
        <v>62</v>
      </c>
      <c r="K450"/>
    </row>
    <row r="451" spans="1:11" x14ac:dyDescent="0.25">
      <c r="A451" s="174">
        <v>40838</v>
      </c>
      <c r="B451" s="161" t="s">
        <v>745</v>
      </c>
      <c r="C451" s="98" t="s">
        <v>8</v>
      </c>
      <c r="D451" s="98" t="s">
        <v>26</v>
      </c>
      <c r="E451" s="175">
        <v>8.5</v>
      </c>
      <c r="F451" s="175">
        <v>35.35</v>
      </c>
      <c r="G451" s="176">
        <v>300.47500000000002</v>
      </c>
      <c r="H451" s="101">
        <v>62</v>
      </c>
      <c r="K451"/>
    </row>
    <row r="452" spans="1:11" x14ac:dyDescent="0.25">
      <c r="A452" s="174">
        <v>40838</v>
      </c>
      <c r="B452" s="161" t="s">
        <v>748</v>
      </c>
      <c r="C452" s="98" t="s">
        <v>747</v>
      </c>
      <c r="D452" s="98" t="s">
        <v>26</v>
      </c>
      <c r="E452" s="175">
        <v>6.5</v>
      </c>
      <c r="F452" s="175">
        <v>85</v>
      </c>
      <c r="G452" s="176">
        <v>552.5</v>
      </c>
      <c r="H452" s="101">
        <v>62</v>
      </c>
      <c r="K452"/>
    </row>
    <row r="453" spans="1:11" x14ac:dyDescent="0.25">
      <c r="A453" s="174">
        <v>40838</v>
      </c>
      <c r="B453" s="161" t="s">
        <v>773</v>
      </c>
      <c r="C453" s="98" t="s">
        <v>774</v>
      </c>
      <c r="D453" s="98" t="s">
        <v>26</v>
      </c>
      <c r="E453" s="175">
        <v>5</v>
      </c>
      <c r="F453" s="175">
        <v>95</v>
      </c>
      <c r="G453" s="176">
        <v>475</v>
      </c>
      <c r="H453" s="101">
        <v>62</v>
      </c>
      <c r="K453"/>
    </row>
    <row r="454" spans="1:11" x14ac:dyDescent="0.25">
      <c r="A454" s="174">
        <v>40838</v>
      </c>
      <c r="B454" s="161" t="s">
        <v>757</v>
      </c>
      <c r="C454" s="98" t="s">
        <v>758</v>
      </c>
      <c r="D454" s="98" t="s">
        <v>26</v>
      </c>
      <c r="E454" s="175">
        <v>5.5</v>
      </c>
      <c r="F454" s="175">
        <v>90</v>
      </c>
      <c r="G454" s="176">
        <v>495</v>
      </c>
      <c r="H454" s="101">
        <v>62</v>
      </c>
      <c r="K454"/>
    </row>
    <row r="455" spans="1:11" x14ac:dyDescent="0.25">
      <c r="A455" s="174">
        <v>40838</v>
      </c>
      <c r="B455" s="161" t="s">
        <v>743</v>
      </c>
      <c r="C455" s="98" t="s">
        <v>744</v>
      </c>
      <c r="D455" s="98" t="s">
        <v>26</v>
      </c>
      <c r="E455" s="175">
        <v>8.5</v>
      </c>
      <c r="F455" s="175">
        <v>145</v>
      </c>
      <c r="G455" s="176">
        <v>1232.5</v>
      </c>
      <c r="H455" s="101">
        <v>62</v>
      </c>
      <c r="K455"/>
    </row>
    <row r="456" spans="1:11" x14ac:dyDescent="0.25">
      <c r="A456" s="174">
        <v>40839</v>
      </c>
      <c r="B456" s="161" t="s">
        <v>818</v>
      </c>
      <c r="C456" s="98" t="s">
        <v>819</v>
      </c>
      <c r="D456" s="98" t="s">
        <v>715</v>
      </c>
      <c r="E456" s="175">
        <v>6.5</v>
      </c>
      <c r="F456" s="175">
        <v>95</v>
      </c>
      <c r="G456" s="176">
        <v>617.5</v>
      </c>
      <c r="H456" s="101">
        <v>62</v>
      </c>
      <c r="K456"/>
    </row>
    <row r="457" spans="1:11" x14ac:dyDescent="0.25">
      <c r="A457" s="174">
        <v>40840</v>
      </c>
      <c r="B457" s="161" t="s">
        <v>817</v>
      </c>
      <c r="C457" s="98" t="s">
        <v>750</v>
      </c>
      <c r="D457" s="98" t="s">
        <v>26</v>
      </c>
      <c r="E457" s="175">
        <v>8.5</v>
      </c>
      <c r="F457" s="175">
        <v>125</v>
      </c>
      <c r="G457" s="176">
        <v>1062.5</v>
      </c>
      <c r="H457" s="101">
        <v>62</v>
      </c>
      <c r="K457"/>
    </row>
    <row r="458" spans="1:11" x14ac:dyDescent="0.25">
      <c r="A458" s="174">
        <v>40840</v>
      </c>
      <c r="B458" s="161" t="s">
        <v>748</v>
      </c>
      <c r="C458" s="98" t="s">
        <v>747</v>
      </c>
      <c r="D458" s="98" t="s">
        <v>26</v>
      </c>
      <c r="E458" s="175">
        <v>9.5</v>
      </c>
      <c r="F458" s="175">
        <v>120</v>
      </c>
      <c r="G458" s="176">
        <v>1140</v>
      </c>
      <c r="H458" s="101">
        <v>62</v>
      </c>
      <c r="K458"/>
    </row>
    <row r="459" spans="1:11" x14ac:dyDescent="0.25">
      <c r="A459" s="174">
        <v>40840</v>
      </c>
      <c r="B459" s="161" t="s">
        <v>773</v>
      </c>
      <c r="C459" s="98" t="s">
        <v>774</v>
      </c>
      <c r="D459" s="98" t="s">
        <v>26</v>
      </c>
      <c r="E459" s="175">
        <v>9.5</v>
      </c>
      <c r="F459" s="175">
        <v>95</v>
      </c>
      <c r="G459" s="176">
        <v>902.5</v>
      </c>
      <c r="H459" s="101">
        <v>62</v>
      </c>
      <c r="K459"/>
    </row>
    <row r="460" spans="1:11" x14ac:dyDescent="0.25">
      <c r="A460" s="174">
        <v>40840</v>
      </c>
      <c r="B460" s="161" t="s">
        <v>743</v>
      </c>
      <c r="C460" s="98" t="s">
        <v>744</v>
      </c>
      <c r="D460" s="98" t="s">
        <v>26</v>
      </c>
      <c r="E460" s="175">
        <v>10.5</v>
      </c>
      <c r="F460" s="175">
        <v>145</v>
      </c>
      <c r="G460" s="176">
        <v>1522.5</v>
      </c>
      <c r="H460" s="101">
        <v>62</v>
      </c>
      <c r="K460"/>
    </row>
    <row r="461" spans="1:11" x14ac:dyDescent="0.25">
      <c r="A461" s="174">
        <v>40840</v>
      </c>
      <c r="B461" s="161" t="s">
        <v>745</v>
      </c>
      <c r="C461" s="98" t="s">
        <v>8</v>
      </c>
      <c r="D461" s="98" t="s">
        <v>26</v>
      </c>
      <c r="E461" s="175">
        <v>6</v>
      </c>
      <c r="F461" s="175">
        <v>35.35</v>
      </c>
      <c r="G461" s="176">
        <v>212.1</v>
      </c>
      <c r="H461" s="101">
        <v>62</v>
      </c>
      <c r="K461"/>
    </row>
    <row r="462" spans="1:11" x14ac:dyDescent="0.25">
      <c r="A462" s="174">
        <v>40840</v>
      </c>
      <c r="B462" s="161" t="s">
        <v>804</v>
      </c>
      <c r="C462" s="98" t="s">
        <v>750</v>
      </c>
      <c r="D462" s="98" t="s">
        <v>26</v>
      </c>
      <c r="E462" s="175">
        <v>1</v>
      </c>
      <c r="F462" s="175">
        <v>95</v>
      </c>
      <c r="G462" s="176">
        <v>95</v>
      </c>
      <c r="H462" s="101">
        <v>62</v>
      </c>
      <c r="K462"/>
    </row>
    <row r="463" spans="1:11" x14ac:dyDescent="0.25">
      <c r="A463" s="174">
        <v>40840</v>
      </c>
      <c r="B463" s="161" t="s">
        <v>742</v>
      </c>
      <c r="C463" s="98" t="s">
        <v>8</v>
      </c>
      <c r="D463" s="98" t="s">
        <v>26</v>
      </c>
      <c r="E463" s="175">
        <v>10</v>
      </c>
      <c r="F463" s="175">
        <v>44.2</v>
      </c>
      <c r="G463" s="176">
        <v>442</v>
      </c>
      <c r="H463" s="101">
        <v>62</v>
      </c>
      <c r="K463"/>
    </row>
    <row r="464" spans="1:11" x14ac:dyDescent="0.25">
      <c r="A464" s="174">
        <v>40840</v>
      </c>
      <c r="B464" s="161" t="s">
        <v>359</v>
      </c>
      <c r="C464" s="98" t="s">
        <v>752</v>
      </c>
      <c r="D464" s="98" t="s">
        <v>26</v>
      </c>
      <c r="E464" s="175">
        <v>10</v>
      </c>
      <c r="F464" s="175">
        <v>11.67</v>
      </c>
      <c r="G464" s="176">
        <v>116.7</v>
      </c>
      <c r="H464" s="101">
        <v>62</v>
      </c>
      <c r="K464"/>
    </row>
    <row r="465" spans="1:11" x14ac:dyDescent="0.25">
      <c r="A465" s="174">
        <v>40840</v>
      </c>
      <c r="B465" s="161" t="s">
        <v>745</v>
      </c>
      <c r="C465" s="98" t="s">
        <v>8</v>
      </c>
      <c r="D465" s="98" t="s">
        <v>26</v>
      </c>
      <c r="E465" s="175">
        <v>6</v>
      </c>
      <c r="F465" s="175">
        <v>35.35</v>
      </c>
      <c r="G465" s="176">
        <v>212.1</v>
      </c>
      <c r="H465" s="101">
        <v>62</v>
      </c>
      <c r="K465"/>
    </row>
    <row r="466" spans="1:11" x14ac:dyDescent="0.25">
      <c r="A466" s="174">
        <v>40841</v>
      </c>
      <c r="B466" s="161" t="s">
        <v>763</v>
      </c>
      <c r="C466" s="98" t="s">
        <v>764</v>
      </c>
      <c r="D466" s="98" t="s">
        <v>26</v>
      </c>
      <c r="E466" s="175">
        <v>7</v>
      </c>
      <c r="F466" s="175">
        <v>135</v>
      </c>
      <c r="G466" s="176">
        <v>945</v>
      </c>
      <c r="H466" s="101">
        <v>62</v>
      </c>
      <c r="K466"/>
    </row>
    <row r="467" spans="1:11" x14ac:dyDescent="0.25">
      <c r="A467" s="174">
        <v>40841</v>
      </c>
      <c r="B467" s="161" t="s">
        <v>748</v>
      </c>
      <c r="C467" s="98" t="s">
        <v>747</v>
      </c>
      <c r="D467" s="98" t="s">
        <v>26</v>
      </c>
      <c r="E467" s="175">
        <v>4</v>
      </c>
      <c r="F467" s="175">
        <v>55</v>
      </c>
      <c r="G467" s="176">
        <v>220</v>
      </c>
      <c r="H467" s="101">
        <v>62</v>
      </c>
      <c r="K467"/>
    </row>
    <row r="468" spans="1:11" x14ac:dyDescent="0.25">
      <c r="A468" s="174">
        <v>40841</v>
      </c>
      <c r="B468" s="161" t="s">
        <v>743</v>
      </c>
      <c r="C468" s="98" t="s">
        <v>744</v>
      </c>
      <c r="D468" s="98" t="s">
        <v>26</v>
      </c>
      <c r="E468" s="175">
        <v>10</v>
      </c>
      <c r="F468" s="175">
        <v>145</v>
      </c>
      <c r="G468" s="176">
        <v>1450</v>
      </c>
      <c r="H468" s="101">
        <v>62</v>
      </c>
      <c r="K468"/>
    </row>
    <row r="469" spans="1:11" x14ac:dyDescent="0.25">
      <c r="A469" s="174">
        <v>40841</v>
      </c>
      <c r="B469" s="161" t="s">
        <v>359</v>
      </c>
      <c r="C469" s="98" t="s">
        <v>752</v>
      </c>
      <c r="D469" s="98" t="s">
        <v>26</v>
      </c>
      <c r="E469" s="175">
        <v>10</v>
      </c>
      <c r="F469" s="175">
        <v>11.67</v>
      </c>
      <c r="G469" s="176">
        <v>116.7</v>
      </c>
      <c r="H469" s="101">
        <v>62</v>
      </c>
      <c r="K469"/>
    </row>
    <row r="470" spans="1:11" x14ac:dyDescent="0.25">
      <c r="A470" s="174">
        <v>40841</v>
      </c>
      <c r="B470" s="161" t="s">
        <v>821</v>
      </c>
      <c r="C470" s="98" t="s">
        <v>750</v>
      </c>
      <c r="D470" s="98" t="s">
        <v>26</v>
      </c>
      <c r="E470" s="175">
        <v>9.5</v>
      </c>
      <c r="F470" s="175">
        <v>125</v>
      </c>
      <c r="G470" s="176">
        <v>1187.5</v>
      </c>
      <c r="H470" s="101">
        <v>62</v>
      </c>
      <c r="K470"/>
    </row>
    <row r="471" spans="1:11" x14ac:dyDescent="0.25">
      <c r="A471" s="174">
        <v>40841</v>
      </c>
      <c r="B471" s="161" t="s">
        <v>822</v>
      </c>
      <c r="C471" s="98" t="s">
        <v>820</v>
      </c>
      <c r="D471" s="98" t="s">
        <v>26</v>
      </c>
      <c r="E471" s="175">
        <v>6</v>
      </c>
      <c r="F471" s="175">
        <v>95</v>
      </c>
      <c r="G471" s="176">
        <v>570</v>
      </c>
      <c r="H471" s="101">
        <v>62</v>
      </c>
      <c r="K471"/>
    </row>
    <row r="472" spans="1:11" x14ac:dyDescent="0.25">
      <c r="A472" s="174">
        <v>40841</v>
      </c>
      <c r="B472" s="161" t="s">
        <v>757</v>
      </c>
      <c r="C472" s="98" t="s">
        <v>758</v>
      </c>
      <c r="D472" s="98" t="s">
        <v>26</v>
      </c>
      <c r="E472" s="175">
        <v>9.5</v>
      </c>
      <c r="F472" s="175">
        <v>90</v>
      </c>
      <c r="G472" s="176">
        <v>855</v>
      </c>
      <c r="H472" s="101">
        <v>62</v>
      </c>
      <c r="K472"/>
    </row>
    <row r="473" spans="1:11" x14ac:dyDescent="0.25">
      <c r="A473" s="174">
        <v>40841</v>
      </c>
      <c r="B473" s="161" t="s">
        <v>773</v>
      </c>
      <c r="C473" s="98" t="s">
        <v>774</v>
      </c>
      <c r="D473" s="98" t="s">
        <v>26</v>
      </c>
      <c r="E473" s="175">
        <v>10</v>
      </c>
      <c r="F473" s="175">
        <v>95</v>
      </c>
      <c r="G473" s="176">
        <v>950</v>
      </c>
      <c r="H473" s="101">
        <v>62</v>
      </c>
      <c r="K473"/>
    </row>
    <row r="474" spans="1:11" ht="30" x14ac:dyDescent="0.25">
      <c r="A474" s="174">
        <v>40841</v>
      </c>
      <c r="B474" s="161" t="s">
        <v>823</v>
      </c>
      <c r="C474" s="98" t="s">
        <v>772</v>
      </c>
      <c r="D474" s="98" t="s">
        <v>715</v>
      </c>
      <c r="E474" s="175">
        <v>1</v>
      </c>
      <c r="F474" s="175">
        <v>1876</v>
      </c>
      <c r="G474" s="176">
        <v>1876</v>
      </c>
      <c r="H474" s="101">
        <v>62</v>
      </c>
      <c r="K474"/>
    </row>
    <row r="475" spans="1:11" x14ac:dyDescent="0.25">
      <c r="A475" s="174">
        <v>40841</v>
      </c>
      <c r="B475" s="161" t="s">
        <v>745</v>
      </c>
      <c r="C475" s="98" t="s">
        <v>8</v>
      </c>
      <c r="D475" s="98" t="s">
        <v>26</v>
      </c>
      <c r="E475" s="175">
        <v>6</v>
      </c>
      <c r="F475" s="175">
        <v>35.35</v>
      </c>
      <c r="G475" s="176">
        <v>212.1</v>
      </c>
      <c r="H475" s="101">
        <v>62</v>
      </c>
      <c r="K475"/>
    </row>
    <row r="476" spans="1:11" x14ac:dyDescent="0.25">
      <c r="A476" s="174">
        <v>40841</v>
      </c>
      <c r="B476" s="161" t="s">
        <v>745</v>
      </c>
      <c r="C476" s="98" t="s">
        <v>8</v>
      </c>
      <c r="D476" s="98" t="s">
        <v>26</v>
      </c>
      <c r="E476" s="175">
        <v>6</v>
      </c>
      <c r="F476" s="175">
        <v>35.35</v>
      </c>
      <c r="G476" s="176">
        <v>212.1</v>
      </c>
      <c r="H476" s="101">
        <v>62</v>
      </c>
      <c r="K476"/>
    </row>
    <row r="477" spans="1:11" x14ac:dyDescent="0.25">
      <c r="A477" s="174">
        <v>40841</v>
      </c>
      <c r="B477" s="161" t="s">
        <v>748</v>
      </c>
      <c r="C477" s="98" t="s">
        <v>747</v>
      </c>
      <c r="D477" s="98" t="s">
        <v>26</v>
      </c>
      <c r="E477" s="175">
        <v>9.5</v>
      </c>
      <c r="F477" s="175">
        <v>120</v>
      </c>
      <c r="G477" s="176">
        <v>1140</v>
      </c>
      <c r="H477" s="101">
        <v>62</v>
      </c>
      <c r="K477"/>
    </row>
    <row r="478" spans="1:11" x14ac:dyDescent="0.25">
      <c r="A478" s="174">
        <v>40842</v>
      </c>
      <c r="B478" s="161" t="s">
        <v>824</v>
      </c>
      <c r="C478" s="98" t="s">
        <v>750</v>
      </c>
      <c r="D478" s="98" t="s">
        <v>26</v>
      </c>
      <c r="E478" s="175">
        <v>9.5</v>
      </c>
      <c r="F478" s="175">
        <v>125</v>
      </c>
      <c r="G478" s="176">
        <v>1187.5</v>
      </c>
      <c r="H478" s="101">
        <v>62</v>
      </c>
      <c r="K478"/>
    </row>
    <row r="479" spans="1:11" x14ac:dyDescent="0.25">
      <c r="A479" s="174">
        <v>40842</v>
      </c>
      <c r="B479" s="161" t="s">
        <v>822</v>
      </c>
      <c r="C479" s="98" t="s">
        <v>820</v>
      </c>
      <c r="D479" s="98" t="s">
        <v>26</v>
      </c>
      <c r="E479" s="175">
        <v>5</v>
      </c>
      <c r="F479" s="175">
        <v>95</v>
      </c>
      <c r="G479" s="176">
        <v>475</v>
      </c>
      <c r="H479" s="101">
        <v>62</v>
      </c>
      <c r="K479"/>
    </row>
    <row r="480" spans="1:11" x14ac:dyDescent="0.25">
      <c r="A480" s="174">
        <v>40842</v>
      </c>
      <c r="B480" s="161" t="s">
        <v>748</v>
      </c>
      <c r="C480" s="98" t="s">
        <v>747</v>
      </c>
      <c r="D480" s="98" t="s">
        <v>26</v>
      </c>
      <c r="E480" s="175">
        <v>9</v>
      </c>
      <c r="F480" s="175">
        <v>120</v>
      </c>
      <c r="G480" s="176">
        <v>1080</v>
      </c>
      <c r="H480" s="101">
        <v>62</v>
      </c>
      <c r="K480"/>
    </row>
    <row r="481" spans="1:11" x14ac:dyDescent="0.25">
      <c r="A481" s="174">
        <v>40842</v>
      </c>
      <c r="B481" s="161" t="s">
        <v>359</v>
      </c>
      <c r="C481" s="98" t="s">
        <v>752</v>
      </c>
      <c r="D481" s="98" t="s">
        <v>26</v>
      </c>
      <c r="E481" s="175">
        <v>10</v>
      </c>
      <c r="F481" s="175">
        <v>11.67</v>
      </c>
      <c r="G481" s="176">
        <v>116.7</v>
      </c>
      <c r="H481" s="101">
        <v>62</v>
      </c>
      <c r="K481"/>
    </row>
    <row r="482" spans="1:11" x14ac:dyDescent="0.25">
      <c r="A482" s="174">
        <v>40842</v>
      </c>
      <c r="B482" s="161" t="s">
        <v>825</v>
      </c>
      <c r="C482" s="98" t="s">
        <v>766</v>
      </c>
      <c r="D482" s="98" t="s">
        <v>26</v>
      </c>
      <c r="E482" s="175">
        <v>8</v>
      </c>
      <c r="F482" s="175">
        <v>110</v>
      </c>
      <c r="G482" s="176">
        <v>880</v>
      </c>
      <c r="H482" s="101">
        <v>62</v>
      </c>
      <c r="K482"/>
    </row>
    <row r="483" spans="1:11" x14ac:dyDescent="0.25">
      <c r="A483" s="174">
        <v>40842</v>
      </c>
      <c r="B483" s="161" t="s">
        <v>743</v>
      </c>
      <c r="C483" s="98" t="s">
        <v>744</v>
      </c>
      <c r="D483" s="98" t="s">
        <v>26</v>
      </c>
      <c r="E483" s="175">
        <v>10</v>
      </c>
      <c r="F483" s="175">
        <v>145</v>
      </c>
      <c r="G483" s="176">
        <v>1450</v>
      </c>
      <c r="H483" s="101">
        <v>62</v>
      </c>
      <c r="K483"/>
    </row>
    <row r="484" spans="1:11" x14ac:dyDescent="0.25">
      <c r="A484" s="174">
        <v>40842</v>
      </c>
      <c r="B484" s="161" t="s">
        <v>745</v>
      </c>
      <c r="C484" s="98" t="s">
        <v>8</v>
      </c>
      <c r="D484" s="98" t="s">
        <v>26</v>
      </c>
      <c r="E484" s="175">
        <v>2</v>
      </c>
      <c r="F484" s="175">
        <v>35.35</v>
      </c>
      <c r="G484" s="176">
        <v>70.7</v>
      </c>
      <c r="H484" s="101">
        <v>62</v>
      </c>
      <c r="K484"/>
    </row>
    <row r="485" spans="1:11" x14ac:dyDescent="0.25">
      <c r="A485" s="174">
        <v>40842</v>
      </c>
      <c r="B485" s="161" t="s">
        <v>745</v>
      </c>
      <c r="C485" s="98" t="s">
        <v>8</v>
      </c>
      <c r="D485" s="98" t="s">
        <v>26</v>
      </c>
      <c r="E485" s="175">
        <v>8</v>
      </c>
      <c r="F485" s="175">
        <v>35.35</v>
      </c>
      <c r="G485" s="176">
        <v>282.8</v>
      </c>
      <c r="H485" s="101">
        <v>62</v>
      </c>
      <c r="K485"/>
    </row>
    <row r="486" spans="1:11" x14ac:dyDescent="0.25">
      <c r="A486" s="174">
        <v>40842</v>
      </c>
      <c r="B486" s="161" t="s">
        <v>773</v>
      </c>
      <c r="C486" s="98" t="s">
        <v>774</v>
      </c>
      <c r="D486" s="98" t="s">
        <v>26</v>
      </c>
      <c r="E486" s="175">
        <v>10</v>
      </c>
      <c r="F486" s="175">
        <v>95</v>
      </c>
      <c r="G486" s="176">
        <v>950</v>
      </c>
      <c r="H486" s="101">
        <v>62</v>
      </c>
      <c r="K486"/>
    </row>
    <row r="487" spans="1:11" x14ac:dyDescent="0.25">
      <c r="A487" s="174">
        <v>40842</v>
      </c>
      <c r="B487" s="161" t="s">
        <v>826</v>
      </c>
      <c r="C487" s="98" t="s">
        <v>747</v>
      </c>
      <c r="D487" s="98" t="s">
        <v>26</v>
      </c>
      <c r="E487" s="175">
        <v>2.5</v>
      </c>
      <c r="F487" s="175">
        <v>55</v>
      </c>
      <c r="G487" s="176">
        <v>137.5</v>
      </c>
      <c r="H487" s="101">
        <v>62</v>
      </c>
      <c r="K487"/>
    </row>
    <row r="488" spans="1:11" x14ac:dyDescent="0.25">
      <c r="A488" s="174">
        <v>40842</v>
      </c>
      <c r="B488" s="161" t="s">
        <v>349</v>
      </c>
      <c r="C488" s="98" t="s">
        <v>827</v>
      </c>
      <c r="D488" s="98" t="s">
        <v>26</v>
      </c>
      <c r="E488" s="175">
        <v>7</v>
      </c>
      <c r="F488" s="175">
        <v>66.069999999999993</v>
      </c>
      <c r="G488" s="176">
        <v>462.49</v>
      </c>
      <c r="H488" s="101">
        <v>62</v>
      </c>
      <c r="K488"/>
    </row>
    <row r="489" spans="1:11" x14ac:dyDescent="0.25">
      <c r="A489" s="174">
        <v>40842</v>
      </c>
      <c r="B489" s="161" t="s">
        <v>757</v>
      </c>
      <c r="C489" s="98" t="s">
        <v>758</v>
      </c>
      <c r="D489" s="98" t="s">
        <v>26</v>
      </c>
      <c r="E489" s="175">
        <v>8</v>
      </c>
      <c r="F489" s="175">
        <v>90</v>
      </c>
      <c r="G489" s="176">
        <v>720</v>
      </c>
      <c r="H489" s="101">
        <v>62</v>
      </c>
      <c r="K489"/>
    </row>
    <row r="490" spans="1:11" x14ac:dyDescent="0.25">
      <c r="A490" s="174">
        <v>40842</v>
      </c>
      <c r="B490" s="161" t="s">
        <v>745</v>
      </c>
      <c r="C490" s="98" t="s">
        <v>8</v>
      </c>
      <c r="D490" s="98" t="s">
        <v>26</v>
      </c>
      <c r="E490" s="175">
        <v>10</v>
      </c>
      <c r="F490" s="175">
        <v>35.35</v>
      </c>
      <c r="G490" s="176">
        <v>353.5</v>
      </c>
      <c r="H490" s="101">
        <v>62</v>
      </c>
      <c r="K490"/>
    </row>
    <row r="491" spans="1:11" x14ac:dyDescent="0.25">
      <c r="A491" s="174">
        <v>40842</v>
      </c>
      <c r="B491" s="161" t="s">
        <v>745</v>
      </c>
      <c r="C491" s="98" t="s">
        <v>8</v>
      </c>
      <c r="D491" s="98" t="s">
        <v>26</v>
      </c>
      <c r="E491" s="175">
        <v>10</v>
      </c>
      <c r="F491" s="175">
        <v>35.35</v>
      </c>
      <c r="G491" s="176">
        <v>353.5</v>
      </c>
      <c r="H491" s="101">
        <v>62</v>
      </c>
      <c r="K491"/>
    </row>
    <row r="492" spans="1:11" x14ac:dyDescent="0.25">
      <c r="A492" s="174">
        <v>40843</v>
      </c>
      <c r="B492" s="161" t="s">
        <v>745</v>
      </c>
      <c r="C492" s="98" t="s">
        <v>8</v>
      </c>
      <c r="D492" s="98" t="s">
        <v>26</v>
      </c>
      <c r="E492" s="175">
        <v>2</v>
      </c>
      <c r="F492" s="175">
        <v>35.35</v>
      </c>
      <c r="G492" s="176">
        <v>70.7</v>
      </c>
      <c r="H492" s="101">
        <v>62</v>
      </c>
      <c r="K492"/>
    </row>
    <row r="493" spans="1:11" x14ac:dyDescent="0.25">
      <c r="A493" s="174">
        <v>40843</v>
      </c>
      <c r="B493" s="161" t="s">
        <v>346</v>
      </c>
      <c r="C493" s="98" t="s">
        <v>751</v>
      </c>
      <c r="D493" s="98" t="s">
        <v>26</v>
      </c>
      <c r="E493" s="175">
        <v>10</v>
      </c>
      <c r="F493" s="175">
        <v>26.46</v>
      </c>
      <c r="G493" s="176">
        <v>264.60000000000002</v>
      </c>
      <c r="H493" s="101">
        <v>62</v>
      </c>
      <c r="K493"/>
    </row>
    <row r="494" spans="1:11" x14ac:dyDescent="0.25">
      <c r="A494" s="174">
        <v>40843</v>
      </c>
      <c r="B494" s="161" t="s">
        <v>745</v>
      </c>
      <c r="C494" s="98" t="s">
        <v>8</v>
      </c>
      <c r="D494" s="98" t="s">
        <v>26</v>
      </c>
      <c r="E494" s="175">
        <v>10</v>
      </c>
      <c r="F494" s="175">
        <v>35.35</v>
      </c>
      <c r="G494" s="176">
        <v>353.5</v>
      </c>
      <c r="H494" s="101">
        <v>62</v>
      </c>
      <c r="K494"/>
    </row>
    <row r="495" spans="1:11" x14ac:dyDescent="0.25">
      <c r="A495" s="174">
        <v>40843</v>
      </c>
      <c r="B495" s="161" t="s">
        <v>359</v>
      </c>
      <c r="C495" s="98" t="s">
        <v>752</v>
      </c>
      <c r="D495" s="98" t="s">
        <v>26</v>
      </c>
      <c r="E495" s="175">
        <v>6</v>
      </c>
      <c r="F495" s="175">
        <v>11.67</v>
      </c>
      <c r="G495" s="176">
        <v>70.02</v>
      </c>
      <c r="H495" s="101">
        <v>62</v>
      </c>
      <c r="K495"/>
    </row>
    <row r="496" spans="1:11" x14ac:dyDescent="0.25">
      <c r="A496" s="174">
        <v>40843</v>
      </c>
      <c r="B496" s="161" t="s">
        <v>828</v>
      </c>
      <c r="C496" s="98" t="s">
        <v>747</v>
      </c>
      <c r="D496" s="98" t="s">
        <v>26</v>
      </c>
      <c r="E496" s="175">
        <v>6.5</v>
      </c>
      <c r="F496" s="175">
        <v>55</v>
      </c>
      <c r="G496" s="176">
        <v>357.5</v>
      </c>
      <c r="H496" s="101">
        <v>62</v>
      </c>
      <c r="K496"/>
    </row>
    <row r="497" spans="1:11" x14ac:dyDescent="0.25">
      <c r="A497" s="174">
        <v>40843</v>
      </c>
      <c r="B497" s="161" t="s">
        <v>748</v>
      </c>
      <c r="C497" s="98" t="s">
        <v>747</v>
      </c>
      <c r="D497" s="98" t="s">
        <v>26</v>
      </c>
      <c r="E497" s="175">
        <v>10</v>
      </c>
      <c r="F497" s="175">
        <v>85</v>
      </c>
      <c r="G497" s="176">
        <v>850</v>
      </c>
      <c r="H497" s="101">
        <v>62</v>
      </c>
      <c r="K497"/>
    </row>
    <row r="498" spans="1:11" x14ac:dyDescent="0.25">
      <c r="A498" s="174">
        <v>40843</v>
      </c>
      <c r="B498" s="161" t="s">
        <v>824</v>
      </c>
      <c r="C498" s="98" t="s">
        <v>750</v>
      </c>
      <c r="D498" s="98" t="s">
        <v>26</v>
      </c>
      <c r="E498" s="175">
        <v>4</v>
      </c>
      <c r="F498" s="175">
        <v>125</v>
      </c>
      <c r="G498" s="176">
        <v>500</v>
      </c>
      <c r="H498" s="101">
        <v>62</v>
      </c>
      <c r="K498"/>
    </row>
    <row r="499" spans="1:11" x14ac:dyDescent="0.25">
      <c r="A499" s="174">
        <v>40843</v>
      </c>
      <c r="B499" s="161" t="s">
        <v>773</v>
      </c>
      <c r="C499" s="98" t="s">
        <v>774</v>
      </c>
      <c r="D499" s="98" t="s">
        <v>26</v>
      </c>
      <c r="E499" s="175">
        <v>10</v>
      </c>
      <c r="F499" s="175">
        <v>95</v>
      </c>
      <c r="G499" s="176">
        <v>950</v>
      </c>
      <c r="H499" s="101">
        <v>62</v>
      </c>
      <c r="K499"/>
    </row>
    <row r="500" spans="1:11" x14ac:dyDescent="0.25">
      <c r="A500" s="174">
        <v>40843</v>
      </c>
      <c r="B500" s="161" t="s">
        <v>743</v>
      </c>
      <c r="C500" s="98" t="s">
        <v>744</v>
      </c>
      <c r="D500" s="98" t="s">
        <v>26</v>
      </c>
      <c r="E500" s="175">
        <v>10</v>
      </c>
      <c r="F500" s="175">
        <v>145</v>
      </c>
      <c r="G500" s="176">
        <v>1450</v>
      </c>
      <c r="H500" s="101">
        <v>62</v>
      </c>
      <c r="K500"/>
    </row>
    <row r="501" spans="1:11" x14ac:dyDescent="0.25">
      <c r="A501" s="174">
        <v>40843</v>
      </c>
      <c r="B501" s="161" t="s">
        <v>742</v>
      </c>
      <c r="C501" s="98" t="s">
        <v>8</v>
      </c>
      <c r="D501" s="98" t="s">
        <v>26</v>
      </c>
      <c r="E501" s="175">
        <v>6</v>
      </c>
      <c r="F501" s="175">
        <v>44.2</v>
      </c>
      <c r="G501" s="176">
        <v>265.2</v>
      </c>
      <c r="H501" s="101">
        <v>62</v>
      </c>
      <c r="K501"/>
    </row>
    <row r="502" spans="1:11" x14ac:dyDescent="0.25">
      <c r="A502" s="174">
        <v>40843</v>
      </c>
      <c r="B502" s="161" t="s">
        <v>745</v>
      </c>
      <c r="C502" s="98" t="s">
        <v>8</v>
      </c>
      <c r="D502" s="98" t="s">
        <v>26</v>
      </c>
      <c r="E502" s="175">
        <v>10</v>
      </c>
      <c r="F502" s="175">
        <v>35.35</v>
      </c>
      <c r="G502" s="176">
        <v>353.5</v>
      </c>
      <c r="H502" s="101">
        <v>62</v>
      </c>
      <c r="K502"/>
    </row>
    <row r="503" spans="1:11" x14ac:dyDescent="0.25">
      <c r="A503" s="174">
        <v>40843</v>
      </c>
      <c r="B503" s="161" t="s">
        <v>745</v>
      </c>
      <c r="C503" s="98" t="s">
        <v>8</v>
      </c>
      <c r="D503" s="98" t="s">
        <v>26</v>
      </c>
      <c r="E503" s="175">
        <v>10</v>
      </c>
      <c r="F503" s="175">
        <v>35.35</v>
      </c>
      <c r="G503" s="176">
        <v>353.5</v>
      </c>
      <c r="H503" s="101">
        <v>62</v>
      </c>
      <c r="K503"/>
    </row>
    <row r="504" spans="1:11" x14ac:dyDescent="0.25">
      <c r="A504" s="174">
        <v>40843</v>
      </c>
      <c r="B504" s="161" t="s">
        <v>815</v>
      </c>
      <c r="C504" s="98" t="s">
        <v>766</v>
      </c>
      <c r="D504" s="98" t="s">
        <v>26</v>
      </c>
      <c r="E504" s="175">
        <v>6</v>
      </c>
      <c r="F504" s="175">
        <v>110</v>
      </c>
      <c r="G504" s="176">
        <v>660</v>
      </c>
      <c r="H504" s="101">
        <v>62</v>
      </c>
      <c r="K504"/>
    </row>
    <row r="505" spans="1:11" x14ac:dyDescent="0.25">
      <c r="A505" s="174">
        <v>40844</v>
      </c>
      <c r="B505" s="161" t="s">
        <v>745</v>
      </c>
      <c r="C505" s="98" t="s">
        <v>8</v>
      </c>
      <c r="D505" s="98" t="s">
        <v>26</v>
      </c>
      <c r="E505" s="175">
        <v>8</v>
      </c>
      <c r="F505" s="175">
        <v>35.35</v>
      </c>
      <c r="G505" s="176">
        <v>282.8</v>
      </c>
      <c r="H505" s="101">
        <v>62</v>
      </c>
      <c r="K505"/>
    </row>
    <row r="506" spans="1:11" x14ac:dyDescent="0.25">
      <c r="A506" s="174">
        <v>40844</v>
      </c>
      <c r="B506" s="161" t="s">
        <v>773</v>
      </c>
      <c r="C506" s="98" t="s">
        <v>774</v>
      </c>
      <c r="D506" s="98" t="s">
        <v>26</v>
      </c>
      <c r="E506" s="175">
        <v>5</v>
      </c>
      <c r="F506" s="175">
        <v>95</v>
      </c>
      <c r="G506" s="176">
        <v>475</v>
      </c>
      <c r="H506" s="101">
        <v>62</v>
      </c>
      <c r="K506"/>
    </row>
    <row r="507" spans="1:11" x14ac:dyDescent="0.25">
      <c r="A507" s="174">
        <v>40844</v>
      </c>
      <c r="B507" s="161" t="s">
        <v>787</v>
      </c>
      <c r="C507" s="98" t="s">
        <v>788</v>
      </c>
      <c r="D507" s="98" t="s">
        <v>26</v>
      </c>
      <c r="E507" s="175">
        <v>3</v>
      </c>
      <c r="F507" s="175">
        <v>95</v>
      </c>
      <c r="G507" s="176">
        <v>285</v>
      </c>
      <c r="H507" s="101">
        <v>62</v>
      </c>
      <c r="K507"/>
    </row>
    <row r="508" spans="1:11" x14ac:dyDescent="0.25">
      <c r="A508" s="174">
        <v>40844</v>
      </c>
      <c r="B508" s="161" t="s">
        <v>745</v>
      </c>
      <c r="C508" s="98" t="s">
        <v>8</v>
      </c>
      <c r="D508" s="98" t="s">
        <v>26</v>
      </c>
      <c r="E508" s="175">
        <v>10</v>
      </c>
      <c r="F508" s="175">
        <v>35.35</v>
      </c>
      <c r="G508" s="176">
        <v>353.5</v>
      </c>
      <c r="H508" s="101">
        <v>62</v>
      </c>
      <c r="K508"/>
    </row>
    <row r="509" spans="1:11" x14ac:dyDescent="0.25">
      <c r="A509" s="174">
        <v>40844</v>
      </c>
      <c r="B509" s="161" t="s">
        <v>742</v>
      </c>
      <c r="C509" s="98" t="s">
        <v>8</v>
      </c>
      <c r="D509" s="98" t="s">
        <v>26</v>
      </c>
      <c r="E509" s="175">
        <v>4</v>
      </c>
      <c r="F509" s="175">
        <v>44.2</v>
      </c>
      <c r="G509" s="176">
        <v>176.8</v>
      </c>
      <c r="H509" s="101">
        <v>62</v>
      </c>
      <c r="K509"/>
    </row>
    <row r="510" spans="1:11" x14ac:dyDescent="0.25">
      <c r="A510" s="174">
        <v>40844</v>
      </c>
      <c r="B510" s="161" t="s">
        <v>745</v>
      </c>
      <c r="C510" s="98" t="s">
        <v>8</v>
      </c>
      <c r="D510" s="98" t="s">
        <v>26</v>
      </c>
      <c r="E510" s="175">
        <v>2</v>
      </c>
      <c r="F510" s="175">
        <v>35.35</v>
      </c>
      <c r="G510" s="176">
        <v>70.7</v>
      </c>
      <c r="H510" s="101">
        <v>62</v>
      </c>
      <c r="K510"/>
    </row>
    <row r="511" spans="1:11" x14ac:dyDescent="0.25">
      <c r="A511" s="174">
        <v>40844</v>
      </c>
      <c r="B511" s="161" t="s">
        <v>825</v>
      </c>
      <c r="C511" s="98" t="s">
        <v>766</v>
      </c>
      <c r="D511" s="98" t="s">
        <v>26</v>
      </c>
      <c r="E511" s="175">
        <v>10</v>
      </c>
      <c r="F511" s="175">
        <v>110</v>
      </c>
      <c r="G511" s="176">
        <v>1100</v>
      </c>
      <c r="H511" s="101">
        <v>62</v>
      </c>
      <c r="K511"/>
    </row>
    <row r="512" spans="1:11" x14ac:dyDescent="0.25">
      <c r="A512" s="174">
        <v>40844</v>
      </c>
      <c r="B512" s="161" t="s">
        <v>804</v>
      </c>
      <c r="C512" s="98" t="s">
        <v>750</v>
      </c>
      <c r="D512" s="98" t="s">
        <v>26</v>
      </c>
      <c r="E512" s="175">
        <v>2</v>
      </c>
      <c r="F512" s="175">
        <v>125</v>
      </c>
      <c r="G512" s="176">
        <v>250</v>
      </c>
      <c r="H512" s="101">
        <v>62</v>
      </c>
      <c r="K512"/>
    </row>
    <row r="513" spans="1:11" x14ac:dyDescent="0.25">
      <c r="A513" s="174">
        <v>40844</v>
      </c>
      <c r="B513" s="161" t="s">
        <v>785</v>
      </c>
      <c r="C513" s="98" t="s">
        <v>786</v>
      </c>
      <c r="D513" s="98" t="s">
        <v>26</v>
      </c>
      <c r="E513" s="175">
        <v>1</v>
      </c>
      <c r="F513" s="175">
        <v>60</v>
      </c>
      <c r="G513" s="176">
        <v>60</v>
      </c>
      <c r="H513" s="101">
        <v>62</v>
      </c>
      <c r="K513"/>
    </row>
    <row r="514" spans="1:11" x14ac:dyDescent="0.25">
      <c r="A514" s="174">
        <v>40844</v>
      </c>
      <c r="B514" s="161" t="s">
        <v>346</v>
      </c>
      <c r="C514" s="98" t="s">
        <v>751</v>
      </c>
      <c r="D514" s="98" t="s">
        <v>26</v>
      </c>
      <c r="E514" s="175">
        <v>10</v>
      </c>
      <c r="F514" s="175">
        <v>26.46</v>
      </c>
      <c r="G514" s="176">
        <v>264.60000000000002</v>
      </c>
      <c r="H514" s="101">
        <v>62</v>
      </c>
      <c r="K514"/>
    </row>
    <row r="515" spans="1:11" x14ac:dyDescent="0.25">
      <c r="A515" s="174">
        <v>40844</v>
      </c>
      <c r="B515" s="161" t="s">
        <v>743</v>
      </c>
      <c r="C515" s="98" t="s">
        <v>744</v>
      </c>
      <c r="D515" s="98" t="s">
        <v>26</v>
      </c>
      <c r="E515" s="175">
        <v>10</v>
      </c>
      <c r="F515" s="175">
        <v>145</v>
      </c>
      <c r="G515" s="176">
        <v>1450</v>
      </c>
      <c r="H515" s="101">
        <v>62</v>
      </c>
      <c r="K515"/>
    </row>
    <row r="516" spans="1:11" x14ac:dyDescent="0.25">
      <c r="A516" s="174">
        <v>40844</v>
      </c>
      <c r="B516" s="161" t="s">
        <v>824</v>
      </c>
      <c r="C516" s="98" t="s">
        <v>750</v>
      </c>
      <c r="D516" s="98" t="s">
        <v>26</v>
      </c>
      <c r="E516" s="175">
        <v>8</v>
      </c>
      <c r="F516" s="175">
        <v>95</v>
      </c>
      <c r="G516" s="176">
        <v>760</v>
      </c>
      <c r="H516" s="101">
        <v>62</v>
      </c>
      <c r="K516"/>
    </row>
    <row r="517" spans="1:11" x14ac:dyDescent="0.25">
      <c r="A517" s="174">
        <v>40844</v>
      </c>
      <c r="B517" s="161" t="s">
        <v>822</v>
      </c>
      <c r="C517" s="98" t="s">
        <v>820</v>
      </c>
      <c r="D517" s="98" t="s">
        <v>26</v>
      </c>
      <c r="E517" s="175">
        <v>5.5</v>
      </c>
      <c r="F517" s="175">
        <v>95</v>
      </c>
      <c r="G517" s="176">
        <v>522.5</v>
      </c>
      <c r="H517" s="101">
        <v>62</v>
      </c>
      <c r="K517"/>
    </row>
    <row r="518" spans="1:11" x14ac:dyDescent="0.25">
      <c r="A518" s="174">
        <v>40844</v>
      </c>
      <c r="B518" s="161" t="s">
        <v>829</v>
      </c>
      <c r="C518" s="98" t="s">
        <v>830</v>
      </c>
      <c r="D518" s="98" t="s">
        <v>39</v>
      </c>
      <c r="E518" s="175">
        <v>1</v>
      </c>
      <c r="F518" s="175">
        <v>365</v>
      </c>
      <c r="G518" s="176">
        <v>365</v>
      </c>
      <c r="H518" s="101">
        <v>62</v>
      </c>
      <c r="K518"/>
    </row>
    <row r="519" spans="1:11" x14ac:dyDescent="0.25">
      <c r="A519" s="174">
        <v>40844</v>
      </c>
      <c r="B519" s="161" t="s">
        <v>826</v>
      </c>
      <c r="C519" s="98" t="s">
        <v>747</v>
      </c>
      <c r="D519" s="98" t="s">
        <v>26</v>
      </c>
      <c r="E519" s="175">
        <v>4</v>
      </c>
      <c r="F519" s="175">
        <v>55</v>
      </c>
      <c r="G519" s="176">
        <v>220</v>
      </c>
      <c r="H519" s="101">
        <v>62</v>
      </c>
      <c r="K519"/>
    </row>
    <row r="520" spans="1:11" x14ac:dyDescent="0.25">
      <c r="A520" s="174">
        <v>40845</v>
      </c>
      <c r="B520" s="161" t="s">
        <v>829</v>
      </c>
      <c r="C520" s="98" t="s">
        <v>830</v>
      </c>
      <c r="D520" s="98" t="s">
        <v>39</v>
      </c>
      <c r="E520" s="175">
        <v>1</v>
      </c>
      <c r="F520" s="175">
        <v>365</v>
      </c>
      <c r="G520" s="176">
        <v>365</v>
      </c>
      <c r="H520" s="101">
        <v>62</v>
      </c>
      <c r="K520"/>
    </row>
    <row r="521" spans="1:11" x14ac:dyDescent="0.25">
      <c r="A521" s="174">
        <v>40845</v>
      </c>
      <c r="B521" s="161" t="s">
        <v>785</v>
      </c>
      <c r="C521" s="98" t="s">
        <v>786</v>
      </c>
      <c r="D521" s="98" t="s">
        <v>26</v>
      </c>
      <c r="E521" s="175">
        <v>1</v>
      </c>
      <c r="F521" s="175">
        <v>60</v>
      </c>
      <c r="G521" s="176">
        <v>60</v>
      </c>
      <c r="H521" s="101">
        <v>62</v>
      </c>
      <c r="K521"/>
    </row>
    <row r="522" spans="1:11" x14ac:dyDescent="0.25">
      <c r="A522" s="174">
        <v>40845</v>
      </c>
      <c r="B522" s="161" t="s">
        <v>831</v>
      </c>
      <c r="C522" s="98" t="s">
        <v>747</v>
      </c>
      <c r="D522" s="98" t="s">
        <v>26</v>
      </c>
      <c r="E522" s="175">
        <v>5</v>
      </c>
      <c r="F522" s="175">
        <v>85</v>
      </c>
      <c r="G522" s="176">
        <v>425</v>
      </c>
      <c r="H522" s="101">
        <v>62</v>
      </c>
      <c r="K522"/>
    </row>
    <row r="523" spans="1:11" x14ac:dyDescent="0.25">
      <c r="A523" s="174">
        <v>40845</v>
      </c>
      <c r="B523" s="161" t="s">
        <v>804</v>
      </c>
      <c r="C523" s="98" t="s">
        <v>750</v>
      </c>
      <c r="D523" s="98" t="s">
        <v>26</v>
      </c>
      <c r="E523" s="175">
        <v>3.5</v>
      </c>
      <c r="F523" s="175">
        <v>125</v>
      </c>
      <c r="G523" s="176">
        <v>437.5</v>
      </c>
      <c r="H523" s="101">
        <v>62</v>
      </c>
      <c r="K523"/>
    </row>
    <row r="524" spans="1:11" x14ac:dyDescent="0.25">
      <c r="A524" s="174">
        <v>40845</v>
      </c>
      <c r="B524" s="161" t="s">
        <v>804</v>
      </c>
      <c r="C524" s="98" t="s">
        <v>750</v>
      </c>
      <c r="D524" s="98" t="s">
        <v>26</v>
      </c>
      <c r="E524" s="175">
        <v>3</v>
      </c>
      <c r="F524" s="175">
        <v>95</v>
      </c>
      <c r="G524" s="176">
        <v>285</v>
      </c>
      <c r="H524" s="101">
        <v>62</v>
      </c>
      <c r="K524"/>
    </row>
    <row r="525" spans="1:11" x14ac:dyDescent="0.25">
      <c r="A525" s="174">
        <v>40845</v>
      </c>
      <c r="B525" s="161" t="s">
        <v>746</v>
      </c>
      <c r="C525" s="98" t="s">
        <v>747</v>
      </c>
      <c r="D525" s="98" t="s">
        <v>26</v>
      </c>
      <c r="E525" s="175">
        <v>8.5</v>
      </c>
      <c r="F525" s="175">
        <v>90</v>
      </c>
      <c r="G525" s="176">
        <v>765</v>
      </c>
      <c r="H525" s="101">
        <v>62</v>
      </c>
      <c r="K525"/>
    </row>
    <row r="526" spans="1:11" x14ac:dyDescent="0.25">
      <c r="A526" s="174">
        <v>40845</v>
      </c>
      <c r="B526" s="161" t="s">
        <v>815</v>
      </c>
      <c r="C526" s="98" t="s">
        <v>766</v>
      </c>
      <c r="D526" s="98" t="s">
        <v>26</v>
      </c>
      <c r="E526" s="175">
        <v>6.5</v>
      </c>
      <c r="F526" s="175">
        <v>110</v>
      </c>
      <c r="G526" s="176">
        <v>715</v>
      </c>
      <c r="H526" s="101">
        <v>62</v>
      </c>
      <c r="K526"/>
    </row>
    <row r="527" spans="1:11" x14ac:dyDescent="0.25">
      <c r="A527" s="174">
        <v>40845</v>
      </c>
      <c r="B527" s="161" t="s">
        <v>773</v>
      </c>
      <c r="C527" s="98" t="s">
        <v>774</v>
      </c>
      <c r="D527" s="98" t="s">
        <v>26</v>
      </c>
      <c r="E527" s="175">
        <v>11</v>
      </c>
      <c r="F527" s="175">
        <v>95</v>
      </c>
      <c r="G527" s="176">
        <v>1045</v>
      </c>
      <c r="H527" s="101">
        <v>62</v>
      </c>
      <c r="K527"/>
    </row>
    <row r="528" spans="1:11" x14ac:dyDescent="0.25">
      <c r="A528" s="174">
        <v>40845</v>
      </c>
      <c r="B528" s="161" t="s">
        <v>745</v>
      </c>
      <c r="C528" s="98" t="s">
        <v>8</v>
      </c>
      <c r="D528" s="98" t="s">
        <v>26</v>
      </c>
      <c r="E528" s="175">
        <v>10.5</v>
      </c>
      <c r="F528" s="175">
        <v>35.35</v>
      </c>
      <c r="G528" s="176">
        <v>371.17500000000001</v>
      </c>
      <c r="H528" s="101">
        <v>62</v>
      </c>
      <c r="K528"/>
    </row>
    <row r="529" spans="1:11" x14ac:dyDescent="0.25">
      <c r="A529" s="174">
        <v>40845</v>
      </c>
      <c r="B529" s="161" t="s">
        <v>742</v>
      </c>
      <c r="C529" s="98" t="s">
        <v>8</v>
      </c>
      <c r="D529" s="98" t="s">
        <v>26</v>
      </c>
      <c r="E529" s="175">
        <v>10.5</v>
      </c>
      <c r="F529" s="175">
        <v>44.2</v>
      </c>
      <c r="G529" s="176">
        <v>464.1</v>
      </c>
      <c r="H529" s="101">
        <v>62</v>
      </c>
      <c r="K529"/>
    </row>
    <row r="530" spans="1:11" x14ac:dyDescent="0.25">
      <c r="A530" s="174">
        <v>40845</v>
      </c>
      <c r="B530" s="161" t="s">
        <v>745</v>
      </c>
      <c r="C530" s="98" t="s">
        <v>8</v>
      </c>
      <c r="D530" s="98" t="s">
        <v>26</v>
      </c>
      <c r="E530" s="175">
        <v>10.5</v>
      </c>
      <c r="F530" s="175">
        <v>35.35</v>
      </c>
      <c r="G530" s="176">
        <v>371.17500000000001</v>
      </c>
      <c r="H530" s="101">
        <v>62</v>
      </c>
      <c r="K530"/>
    </row>
    <row r="531" spans="1:11" x14ac:dyDescent="0.25">
      <c r="A531" s="174">
        <v>40846</v>
      </c>
      <c r="B531" s="161" t="s">
        <v>773</v>
      </c>
      <c r="C531" s="98" t="s">
        <v>774</v>
      </c>
      <c r="D531" s="98" t="s">
        <v>26</v>
      </c>
      <c r="E531" s="175">
        <v>10</v>
      </c>
      <c r="F531" s="175">
        <v>95</v>
      </c>
      <c r="G531" s="176">
        <v>950</v>
      </c>
      <c r="H531" s="101">
        <v>62</v>
      </c>
      <c r="K531"/>
    </row>
    <row r="532" spans="1:11" x14ac:dyDescent="0.25">
      <c r="A532" s="174">
        <v>40847</v>
      </c>
      <c r="B532" s="161" t="s">
        <v>773</v>
      </c>
      <c r="C532" s="98" t="s">
        <v>774</v>
      </c>
      <c r="D532" s="98" t="s">
        <v>26</v>
      </c>
      <c r="E532" s="175">
        <v>7.5</v>
      </c>
      <c r="F532" s="175">
        <v>95</v>
      </c>
      <c r="G532" s="176">
        <v>712.5</v>
      </c>
      <c r="H532" s="101">
        <v>62</v>
      </c>
      <c r="K532"/>
    </row>
    <row r="533" spans="1:11" x14ac:dyDescent="0.25">
      <c r="A533" s="174">
        <v>40847</v>
      </c>
      <c r="B533" s="161" t="s">
        <v>745</v>
      </c>
      <c r="C533" s="98" t="s">
        <v>8</v>
      </c>
      <c r="D533" s="98" t="s">
        <v>26</v>
      </c>
      <c r="E533" s="175">
        <v>2.5</v>
      </c>
      <c r="F533" s="175">
        <v>35.35</v>
      </c>
      <c r="G533" s="176">
        <v>88.375</v>
      </c>
      <c r="H533" s="101">
        <v>62</v>
      </c>
      <c r="K533"/>
    </row>
    <row r="534" spans="1:11" x14ac:dyDescent="0.25">
      <c r="A534" s="174">
        <v>40847</v>
      </c>
      <c r="B534" s="161" t="s">
        <v>745</v>
      </c>
      <c r="C534" s="98" t="s">
        <v>8</v>
      </c>
      <c r="D534" s="98" t="s">
        <v>26</v>
      </c>
      <c r="E534" s="175">
        <v>2.5</v>
      </c>
      <c r="F534" s="175">
        <v>35.35</v>
      </c>
      <c r="G534" s="176">
        <v>88.375</v>
      </c>
      <c r="H534" s="101">
        <v>62</v>
      </c>
      <c r="K534"/>
    </row>
    <row r="535" spans="1:11" x14ac:dyDescent="0.25">
      <c r="A535" s="174">
        <v>40847</v>
      </c>
      <c r="B535" s="161" t="s">
        <v>824</v>
      </c>
      <c r="C535" s="98" t="s">
        <v>750</v>
      </c>
      <c r="D535" s="98" t="s">
        <v>26</v>
      </c>
      <c r="E535" s="175">
        <v>5.5</v>
      </c>
      <c r="F535" s="175">
        <v>125</v>
      </c>
      <c r="G535" s="176">
        <v>687.5</v>
      </c>
      <c r="H535" s="101">
        <v>62</v>
      </c>
      <c r="K535"/>
    </row>
    <row r="536" spans="1:11" ht="30" x14ac:dyDescent="0.25">
      <c r="A536" s="174">
        <v>40847</v>
      </c>
      <c r="B536" s="161" t="s">
        <v>832</v>
      </c>
      <c r="C536" s="98" t="s">
        <v>814</v>
      </c>
      <c r="D536" s="98" t="s">
        <v>715</v>
      </c>
      <c r="E536" s="175">
        <v>1</v>
      </c>
      <c r="F536" s="175">
        <v>362.56</v>
      </c>
      <c r="G536" s="176">
        <v>362.56</v>
      </c>
      <c r="H536" s="101">
        <v>62</v>
      </c>
      <c r="K536"/>
    </row>
    <row r="537" spans="1:11" ht="30" x14ac:dyDescent="0.25">
      <c r="A537" s="174">
        <v>40847</v>
      </c>
      <c r="B537" s="161" t="s">
        <v>833</v>
      </c>
      <c r="C537" s="98" t="s">
        <v>834</v>
      </c>
      <c r="D537" s="98" t="s">
        <v>715</v>
      </c>
      <c r="E537" s="175">
        <v>1</v>
      </c>
      <c r="F537" s="175">
        <v>3930</v>
      </c>
      <c r="G537" s="176">
        <v>3930</v>
      </c>
      <c r="H537" s="101">
        <v>62</v>
      </c>
      <c r="K537"/>
    </row>
    <row r="538" spans="1:11" x14ac:dyDescent="0.25">
      <c r="A538" s="174">
        <v>40847</v>
      </c>
      <c r="B538" s="161" t="s">
        <v>785</v>
      </c>
      <c r="C538" s="98" t="s">
        <v>786</v>
      </c>
      <c r="D538" s="98" t="s">
        <v>26</v>
      </c>
      <c r="E538" s="175">
        <v>1</v>
      </c>
      <c r="F538" s="175">
        <v>60</v>
      </c>
      <c r="G538" s="176">
        <v>60</v>
      </c>
      <c r="H538" s="101">
        <v>62</v>
      </c>
      <c r="K538"/>
    </row>
    <row r="539" spans="1:11" x14ac:dyDescent="0.25">
      <c r="A539" s="174">
        <v>40847</v>
      </c>
      <c r="B539" s="161" t="s">
        <v>829</v>
      </c>
      <c r="C539" s="98" t="s">
        <v>830</v>
      </c>
      <c r="D539" s="98" t="s">
        <v>39</v>
      </c>
      <c r="E539" s="175">
        <v>1</v>
      </c>
      <c r="F539" s="175">
        <v>365</v>
      </c>
      <c r="G539" s="176">
        <v>365</v>
      </c>
      <c r="H539" s="101">
        <v>62</v>
      </c>
      <c r="K539"/>
    </row>
    <row r="540" spans="1:11" ht="30" x14ac:dyDescent="0.25">
      <c r="A540" s="174">
        <v>40847</v>
      </c>
      <c r="B540" s="161" t="s">
        <v>835</v>
      </c>
      <c r="C540" s="98" t="s">
        <v>772</v>
      </c>
      <c r="D540" s="98" t="s">
        <v>715</v>
      </c>
      <c r="E540" s="175">
        <v>1</v>
      </c>
      <c r="F540" s="175">
        <v>5103</v>
      </c>
      <c r="G540" s="176">
        <v>5103</v>
      </c>
      <c r="H540" s="101">
        <v>62</v>
      </c>
      <c r="K540"/>
    </row>
    <row r="541" spans="1:11" ht="30" x14ac:dyDescent="0.25">
      <c r="A541" s="174">
        <v>40847</v>
      </c>
      <c r="B541" s="161" t="s">
        <v>836</v>
      </c>
      <c r="C541" s="98" t="s">
        <v>834</v>
      </c>
      <c r="D541" s="98" t="s">
        <v>715</v>
      </c>
      <c r="E541" s="175">
        <v>1</v>
      </c>
      <c r="F541" s="175">
        <v>4650</v>
      </c>
      <c r="G541" s="176">
        <v>4650</v>
      </c>
      <c r="H541" s="101">
        <v>62</v>
      </c>
      <c r="K541"/>
    </row>
    <row r="542" spans="1:11" x14ac:dyDescent="0.25">
      <c r="A542" s="174">
        <v>40848</v>
      </c>
      <c r="B542" s="161" t="s">
        <v>837</v>
      </c>
      <c r="C542" s="98" t="s">
        <v>838</v>
      </c>
      <c r="D542" s="98" t="s">
        <v>715</v>
      </c>
      <c r="E542" s="175">
        <v>59</v>
      </c>
      <c r="F542" s="175">
        <v>2.2000000000000002</v>
      </c>
      <c r="G542" s="176">
        <v>129.80000000000001</v>
      </c>
      <c r="H542" s="101">
        <v>62</v>
      </c>
      <c r="K542"/>
    </row>
    <row r="543" spans="1:11" x14ac:dyDescent="0.25">
      <c r="A543" s="174">
        <v>40849</v>
      </c>
      <c r="B543" s="161" t="s">
        <v>829</v>
      </c>
      <c r="C543" s="98" t="s">
        <v>830</v>
      </c>
      <c r="D543" s="98" t="s">
        <v>39</v>
      </c>
      <c r="E543" s="175">
        <v>1</v>
      </c>
      <c r="F543" s="175">
        <v>365</v>
      </c>
      <c r="G543" s="176">
        <v>365</v>
      </c>
      <c r="H543" s="101">
        <v>62</v>
      </c>
      <c r="K543"/>
    </row>
    <row r="544" spans="1:11" x14ac:dyDescent="0.25">
      <c r="A544" s="174">
        <v>40849</v>
      </c>
      <c r="B544" s="161" t="s">
        <v>839</v>
      </c>
      <c r="C544" s="98" t="s">
        <v>840</v>
      </c>
      <c r="D544" s="98" t="s">
        <v>715</v>
      </c>
      <c r="E544" s="175">
        <v>1</v>
      </c>
      <c r="F544" s="175">
        <v>487.5</v>
      </c>
      <c r="G544" s="176">
        <v>487.5</v>
      </c>
      <c r="H544" s="101">
        <v>62</v>
      </c>
      <c r="K544"/>
    </row>
    <row r="545" spans="1:11" x14ac:dyDescent="0.25">
      <c r="A545" s="174">
        <v>40849</v>
      </c>
      <c r="B545" s="161" t="s">
        <v>745</v>
      </c>
      <c r="C545" s="98" t="s">
        <v>8</v>
      </c>
      <c r="D545" s="98" t="s">
        <v>26</v>
      </c>
      <c r="E545" s="175">
        <v>9.5</v>
      </c>
      <c r="F545" s="175">
        <v>35.35</v>
      </c>
      <c r="G545" s="176">
        <v>335.82499999999999</v>
      </c>
      <c r="H545" s="101">
        <v>62</v>
      </c>
      <c r="K545"/>
    </row>
    <row r="546" spans="1:11" x14ac:dyDescent="0.25">
      <c r="A546" s="174">
        <v>40849</v>
      </c>
      <c r="B546" s="161" t="s">
        <v>745</v>
      </c>
      <c r="C546" s="98" t="s">
        <v>8</v>
      </c>
      <c r="D546" s="98" t="s">
        <v>26</v>
      </c>
      <c r="E546" s="175">
        <v>9</v>
      </c>
      <c r="F546" s="175">
        <v>35.35</v>
      </c>
      <c r="G546" s="176">
        <v>318.14999999999998</v>
      </c>
      <c r="H546" s="101">
        <v>62</v>
      </c>
      <c r="K546"/>
    </row>
    <row r="547" spans="1:11" x14ac:dyDescent="0.25">
      <c r="A547" s="174">
        <v>40849</v>
      </c>
      <c r="B547" s="161" t="s">
        <v>773</v>
      </c>
      <c r="C547" s="98" t="s">
        <v>774</v>
      </c>
      <c r="D547" s="98" t="s">
        <v>26</v>
      </c>
      <c r="E547" s="175">
        <v>5</v>
      </c>
      <c r="F547" s="175">
        <v>95</v>
      </c>
      <c r="G547" s="176">
        <v>475</v>
      </c>
      <c r="H547" s="101">
        <v>62</v>
      </c>
      <c r="K547"/>
    </row>
    <row r="548" spans="1:11" ht="30" x14ac:dyDescent="0.25">
      <c r="A548" s="174">
        <v>40850</v>
      </c>
      <c r="B548" s="161" t="s">
        <v>841</v>
      </c>
      <c r="C548" s="98" t="s">
        <v>842</v>
      </c>
      <c r="D548" s="98" t="s">
        <v>715</v>
      </c>
      <c r="E548" s="175">
        <v>1</v>
      </c>
      <c r="F548" s="175">
        <v>164.63</v>
      </c>
      <c r="G548" s="176">
        <v>164.63</v>
      </c>
      <c r="H548" s="101">
        <v>62</v>
      </c>
      <c r="K548"/>
    </row>
    <row r="549" spans="1:11" x14ac:dyDescent="0.25">
      <c r="A549" s="174">
        <v>40854</v>
      </c>
      <c r="B549" s="161" t="s">
        <v>829</v>
      </c>
      <c r="C549" s="98" t="s">
        <v>830</v>
      </c>
      <c r="D549" s="98" t="s">
        <v>39</v>
      </c>
      <c r="E549" s="175">
        <v>1</v>
      </c>
      <c r="F549" s="175">
        <v>365</v>
      </c>
      <c r="G549" s="176">
        <v>365</v>
      </c>
      <c r="H549" s="101">
        <v>62</v>
      </c>
      <c r="K549"/>
    </row>
    <row r="550" spans="1:11" x14ac:dyDescent="0.25">
      <c r="A550" s="174">
        <v>40855</v>
      </c>
      <c r="B550" s="161" t="s">
        <v>773</v>
      </c>
      <c r="C550" s="98" t="s">
        <v>774</v>
      </c>
      <c r="D550" s="98" t="s">
        <v>26</v>
      </c>
      <c r="E550" s="175">
        <v>8.5</v>
      </c>
      <c r="F550" s="175">
        <v>95</v>
      </c>
      <c r="G550" s="176">
        <v>807.5</v>
      </c>
      <c r="H550" s="101">
        <v>62</v>
      </c>
      <c r="K550"/>
    </row>
    <row r="551" spans="1:11" x14ac:dyDescent="0.25">
      <c r="A551" s="174">
        <v>40855</v>
      </c>
      <c r="B551" s="161" t="s">
        <v>829</v>
      </c>
      <c r="C551" s="98" t="s">
        <v>830</v>
      </c>
      <c r="D551" s="98" t="s">
        <v>39</v>
      </c>
      <c r="E551" s="175">
        <v>1</v>
      </c>
      <c r="F551" s="175">
        <v>365</v>
      </c>
      <c r="G551" s="176">
        <v>365</v>
      </c>
      <c r="H551" s="101">
        <v>62</v>
      </c>
      <c r="K551"/>
    </row>
    <row r="552" spans="1:11" x14ac:dyDescent="0.25">
      <c r="A552" s="174">
        <v>40856</v>
      </c>
      <c r="B552" s="161" t="s">
        <v>843</v>
      </c>
      <c r="C552" s="98" t="s">
        <v>844</v>
      </c>
      <c r="D552" s="98" t="s">
        <v>715</v>
      </c>
      <c r="E552" s="175">
        <v>1</v>
      </c>
      <c r="F552" s="175">
        <v>311.58</v>
      </c>
      <c r="G552" s="176">
        <v>311.58</v>
      </c>
      <c r="H552" s="101">
        <v>62</v>
      </c>
      <c r="K552"/>
    </row>
    <row r="553" spans="1:11" ht="30" x14ac:dyDescent="0.25">
      <c r="A553" s="174">
        <v>40856</v>
      </c>
      <c r="B553" s="161" t="s">
        <v>845</v>
      </c>
      <c r="C553" s="98" t="s">
        <v>846</v>
      </c>
      <c r="D553" s="98" t="s">
        <v>715</v>
      </c>
      <c r="E553" s="175">
        <v>1</v>
      </c>
      <c r="F553" s="175">
        <v>205.88</v>
      </c>
      <c r="G553" s="176">
        <v>205.88</v>
      </c>
      <c r="H553" s="101">
        <v>62</v>
      </c>
      <c r="K553"/>
    </row>
    <row r="554" spans="1:11" x14ac:dyDescent="0.25">
      <c r="A554" s="174">
        <v>40856</v>
      </c>
      <c r="B554" s="161" t="s">
        <v>773</v>
      </c>
      <c r="C554" s="98" t="s">
        <v>774</v>
      </c>
      <c r="D554" s="98" t="s">
        <v>26</v>
      </c>
      <c r="E554" s="175">
        <v>4.5</v>
      </c>
      <c r="F554" s="175">
        <v>95</v>
      </c>
      <c r="G554" s="176">
        <v>427.5</v>
      </c>
      <c r="H554" s="101">
        <v>62</v>
      </c>
      <c r="K554"/>
    </row>
    <row r="555" spans="1:11" ht="30" x14ac:dyDescent="0.25">
      <c r="A555" s="174">
        <v>40858</v>
      </c>
      <c r="B555" s="161" t="s">
        <v>847</v>
      </c>
      <c r="C555" s="98" t="s">
        <v>848</v>
      </c>
      <c r="D555" s="98" t="s">
        <v>715</v>
      </c>
      <c r="E555" s="175">
        <v>1</v>
      </c>
      <c r="F555" s="175">
        <v>1975.11</v>
      </c>
      <c r="G555" s="176">
        <v>1975.11</v>
      </c>
      <c r="H555" s="101">
        <v>62</v>
      </c>
      <c r="K555"/>
    </row>
    <row r="556" spans="1:11" x14ac:dyDescent="0.25">
      <c r="A556" s="174">
        <v>40858</v>
      </c>
      <c r="B556" s="161" t="s">
        <v>849</v>
      </c>
      <c r="C556" s="98" t="s">
        <v>846</v>
      </c>
      <c r="D556" s="98" t="s">
        <v>715</v>
      </c>
      <c r="E556" s="175">
        <v>1</v>
      </c>
      <c r="F556" s="175">
        <v>575.97</v>
      </c>
      <c r="G556" s="176">
        <v>575.97</v>
      </c>
      <c r="H556" s="101">
        <v>62</v>
      </c>
      <c r="K556"/>
    </row>
    <row r="557" spans="1:11" ht="30" x14ac:dyDescent="0.25">
      <c r="A557" s="174">
        <v>40861</v>
      </c>
      <c r="B557" s="161" t="s">
        <v>850</v>
      </c>
      <c r="C557" s="98" t="s">
        <v>814</v>
      </c>
      <c r="D557" s="98" t="s">
        <v>715</v>
      </c>
      <c r="E557" s="175">
        <v>1</v>
      </c>
      <c r="F557" s="175">
        <v>789.28</v>
      </c>
      <c r="G557" s="176">
        <v>789.28</v>
      </c>
      <c r="H557" s="101">
        <v>62</v>
      </c>
      <c r="K557"/>
    </row>
    <row r="558" spans="1:11" x14ac:dyDescent="0.25">
      <c r="A558" s="174">
        <v>40872</v>
      </c>
      <c r="B558" s="161" t="s">
        <v>745</v>
      </c>
      <c r="C558" s="98" t="s">
        <v>8</v>
      </c>
      <c r="D558" s="98" t="s">
        <v>26</v>
      </c>
      <c r="E558" s="175">
        <v>8</v>
      </c>
      <c r="F558" s="175">
        <v>35.35</v>
      </c>
      <c r="G558" s="176">
        <v>282.8</v>
      </c>
      <c r="H558" s="101">
        <v>62</v>
      </c>
      <c r="K558"/>
    </row>
    <row r="559" spans="1:11" x14ac:dyDescent="0.25">
      <c r="A559" s="174">
        <v>40872</v>
      </c>
      <c r="B559" s="161" t="s">
        <v>745</v>
      </c>
      <c r="C559" s="98" t="s">
        <v>8</v>
      </c>
      <c r="D559" s="98" t="s">
        <v>26</v>
      </c>
      <c r="E559" s="175">
        <v>8</v>
      </c>
      <c r="F559" s="175">
        <v>35.35</v>
      </c>
      <c r="G559" s="176">
        <v>282.8</v>
      </c>
      <c r="H559" s="101">
        <v>62</v>
      </c>
      <c r="K559"/>
    </row>
    <row r="560" spans="1:11" x14ac:dyDescent="0.25">
      <c r="A560" s="174">
        <v>40872</v>
      </c>
      <c r="B560" s="161" t="s">
        <v>776</v>
      </c>
      <c r="C560" s="98" t="s">
        <v>775</v>
      </c>
      <c r="D560" s="98" t="s">
        <v>26</v>
      </c>
      <c r="E560" s="175">
        <v>7.5</v>
      </c>
      <c r="F560" s="175">
        <v>95</v>
      </c>
      <c r="G560" s="176">
        <v>712.5</v>
      </c>
      <c r="H560" s="101">
        <v>62</v>
      </c>
      <c r="K560"/>
    </row>
    <row r="561" spans="1:11" x14ac:dyDescent="0.25">
      <c r="A561" s="174">
        <v>40872</v>
      </c>
      <c r="B561" s="161" t="s">
        <v>851</v>
      </c>
      <c r="C561" s="98" t="s">
        <v>814</v>
      </c>
      <c r="D561" s="98" t="s">
        <v>26</v>
      </c>
      <c r="E561" s="175">
        <v>1</v>
      </c>
      <c r="F561" s="175">
        <v>71</v>
      </c>
      <c r="G561" s="176">
        <v>71</v>
      </c>
      <c r="H561" s="101">
        <v>62</v>
      </c>
      <c r="K561"/>
    </row>
    <row r="562" spans="1:11" x14ac:dyDescent="0.25">
      <c r="A562" s="174">
        <v>40872</v>
      </c>
      <c r="B562" s="161" t="s">
        <v>783</v>
      </c>
      <c r="C562" s="98" t="s">
        <v>775</v>
      </c>
      <c r="D562" s="98" t="s">
        <v>26</v>
      </c>
      <c r="E562" s="175">
        <v>6</v>
      </c>
      <c r="F562" s="175">
        <v>65</v>
      </c>
      <c r="G562" s="176">
        <v>390</v>
      </c>
      <c r="H562" s="101">
        <v>62</v>
      </c>
      <c r="K562"/>
    </row>
    <row r="563" spans="1:11" x14ac:dyDescent="0.25">
      <c r="A563" s="174">
        <v>40875</v>
      </c>
      <c r="B563" s="161" t="s">
        <v>745</v>
      </c>
      <c r="C563" s="98" t="s">
        <v>8</v>
      </c>
      <c r="D563" s="98" t="s">
        <v>26</v>
      </c>
      <c r="E563" s="175">
        <v>6.5</v>
      </c>
      <c r="F563" s="175">
        <v>35.35</v>
      </c>
      <c r="G563" s="176">
        <v>229.77500000000001</v>
      </c>
      <c r="H563" s="101">
        <v>62</v>
      </c>
      <c r="K563"/>
    </row>
    <row r="564" spans="1:11" x14ac:dyDescent="0.25">
      <c r="A564" s="174">
        <v>40875</v>
      </c>
      <c r="B564" s="161" t="s">
        <v>745</v>
      </c>
      <c r="C564" s="98" t="s">
        <v>8</v>
      </c>
      <c r="D564" s="98" t="s">
        <v>26</v>
      </c>
      <c r="E564" s="175">
        <v>6.5</v>
      </c>
      <c r="F564" s="175">
        <v>35.35</v>
      </c>
      <c r="G564" s="176">
        <v>229.77500000000001</v>
      </c>
      <c r="H564" s="101">
        <v>62</v>
      </c>
      <c r="K564"/>
    </row>
    <row r="565" spans="1:11" x14ac:dyDescent="0.25">
      <c r="A565" s="174">
        <v>40875</v>
      </c>
      <c r="B565" s="161" t="s">
        <v>745</v>
      </c>
      <c r="C565" s="98" t="s">
        <v>8</v>
      </c>
      <c r="D565" s="98" t="s">
        <v>26</v>
      </c>
      <c r="E565" s="175">
        <v>6.5</v>
      </c>
      <c r="F565" s="175">
        <v>35.35</v>
      </c>
      <c r="G565" s="176">
        <v>229.77500000000001</v>
      </c>
      <c r="H565" s="101">
        <v>62</v>
      </c>
      <c r="K565"/>
    </row>
    <row r="566" spans="1:11" x14ac:dyDescent="0.25">
      <c r="A566" s="174">
        <v>40875</v>
      </c>
      <c r="B566" s="161" t="s">
        <v>773</v>
      </c>
      <c r="C566" s="98" t="s">
        <v>774</v>
      </c>
      <c r="D566" s="98" t="s">
        <v>26</v>
      </c>
      <c r="E566" s="175">
        <v>4</v>
      </c>
      <c r="F566" s="175">
        <v>95</v>
      </c>
      <c r="G566" s="176">
        <v>380</v>
      </c>
      <c r="H566" s="101">
        <v>62</v>
      </c>
      <c r="K566"/>
    </row>
    <row r="567" spans="1:11" x14ac:dyDescent="0.25">
      <c r="A567" s="174">
        <v>40875</v>
      </c>
      <c r="B567" s="161" t="s">
        <v>783</v>
      </c>
      <c r="C567" s="98" t="s">
        <v>775</v>
      </c>
      <c r="D567" s="98" t="s">
        <v>26</v>
      </c>
      <c r="E567" s="175">
        <v>4</v>
      </c>
      <c r="F567" s="175">
        <v>65</v>
      </c>
      <c r="G567" s="176">
        <v>260</v>
      </c>
      <c r="H567" s="101">
        <v>62</v>
      </c>
      <c r="K567"/>
    </row>
    <row r="568" spans="1:11" x14ac:dyDescent="0.25">
      <c r="A568" s="174">
        <v>40875</v>
      </c>
      <c r="B568" s="161" t="s">
        <v>776</v>
      </c>
      <c r="C568" s="98" t="s">
        <v>775</v>
      </c>
      <c r="D568" s="98" t="s">
        <v>26</v>
      </c>
      <c r="E568" s="175">
        <v>9.5</v>
      </c>
      <c r="F568" s="175">
        <v>95</v>
      </c>
      <c r="G568" s="176">
        <v>902.5</v>
      </c>
      <c r="H568" s="101">
        <v>62</v>
      </c>
      <c r="K568"/>
    </row>
    <row r="569" spans="1:11" ht="30" x14ac:dyDescent="0.25">
      <c r="A569" s="174">
        <v>40877</v>
      </c>
      <c r="B569" s="161" t="s">
        <v>852</v>
      </c>
      <c r="C569" s="98" t="s">
        <v>853</v>
      </c>
      <c r="D569" s="98" t="s">
        <v>715</v>
      </c>
      <c r="E569" s="175">
        <v>1</v>
      </c>
      <c r="F569" s="175">
        <v>8064</v>
      </c>
      <c r="G569" s="176">
        <v>8064</v>
      </c>
      <c r="H569" s="101">
        <v>62</v>
      </c>
      <c r="K569"/>
    </row>
    <row r="570" spans="1:11" x14ac:dyDescent="0.25">
      <c r="A570" s="174">
        <v>40883</v>
      </c>
      <c r="B570" s="161" t="s">
        <v>854</v>
      </c>
      <c r="C570" s="98" t="s">
        <v>855</v>
      </c>
      <c r="D570" s="98" t="s">
        <v>715</v>
      </c>
      <c r="E570" s="175">
        <v>1</v>
      </c>
      <c r="F570" s="175">
        <v>168.18</v>
      </c>
      <c r="G570" s="176">
        <v>168.18</v>
      </c>
      <c r="H570" s="101">
        <v>62</v>
      </c>
      <c r="K570"/>
    </row>
    <row r="571" spans="1:11" x14ac:dyDescent="0.25">
      <c r="A571" s="174">
        <v>40883</v>
      </c>
      <c r="B571" s="161" t="s">
        <v>745</v>
      </c>
      <c r="C571" s="98" t="s">
        <v>8</v>
      </c>
      <c r="D571" s="98" t="s">
        <v>26</v>
      </c>
      <c r="E571" s="175">
        <v>5</v>
      </c>
      <c r="F571" s="175">
        <v>35.35</v>
      </c>
      <c r="G571" s="176">
        <v>176.75</v>
      </c>
      <c r="H571" s="101">
        <v>62</v>
      </c>
      <c r="K571"/>
    </row>
    <row r="572" spans="1:11" x14ac:dyDescent="0.25">
      <c r="A572" s="174">
        <v>40883</v>
      </c>
      <c r="B572" s="161" t="s">
        <v>745</v>
      </c>
      <c r="C572" s="98" t="s">
        <v>8</v>
      </c>
      <c r="D572" s="98" t="s">
        <v>26</v>
      </c>
      <c r="E572" s="175">
        <v>5</v>
      </c>
      <c r="F572" s="175">
        <v>35.35</v>
      </c>
      <c r="G572" s="176">
        <v>176.75</v>
      </c>
      <c r="H572" s="101">
        <v>62</v>
      </c>
      <c r="K572"/>
    </row>
    <row r="573" spans="1:11" ht="30" x14ac:dyDescent="0.25">
      <c r="A573" s="174">
        <v>40899</v>
      </c>
      <c r="B573" s="161" t="s">
        <v>856</v>
      </c>
      <c r="C573" s="98" t="s">
        <v>844</v>
      </c>
      <c r="D573" s="98" t="s">
        <v>715</v>
      </c>
      <c r="E573" s="175">
        <v>1</v>
      </c>
      <c r="F573" s="175">
        <v>159.03</v>
      </c>
      <c r="G573" s="176">
        <v>159.03</v>
      </c>
      <c r="H573" s="101">
        <v>62</v>
      </c>
      <c r="K573"/>
    </row>
    <row r="574" spans="1:11" x14ac:dyDescent="0.25">
      <c r="A574" s="174">
        <v>40904</v>
      </c>
      <c r="B574" s="161" t="s">
        <v>857</v>
      </c>
      <c r="C574" s="98" t="s">
        <v>819</v>
      </c>
      <c r="D574" s="98" t="s">
        <v>715</v>
      </c>
      <c r="E574" s="175">
        <v>6.5</v>
      </c>
      <c r="F574" s="175">
        <v>100</v>
      </c>
      <c r="G574" s="176">
        <v>650</v>
      </c>
      <c r="H574" s="101">
        <v>62</v>
      </c>
      <c r="K574"/>
    </row>
    <row r="575" spans="1:11" ht="30" x14ac:dyDescent="0.25">
      <c r="A575" s="174">
        <v>40908</v>
      </c>
      <c r="B575" s="161" t="s">
        <v>858</v>
      </c>
      <c r="C575" s="98" t="s">
        <v>853</v>
      </c>
      <c r="D575" s="98" t="s">
        <v>715</v>
      </c>
      <c r="E575" s="175">
        <v>1</v>
      </c>
      <c r="F575" s="175">
        <v>2520</v>
      </c>
      <c r="G575" s="176">
        <v>2520</v>
      </c>
      <c r="H575" s="101">
        <v>62</v>
      </c>
      <c r="K575"/>
    </row>
    <row r="576" spans="1:11" x14ac:dyDescent="0.25">
      <c r="A576" s="174">
        <v>40917</v>
      </c>
      <c r="B576" s="161" t="s">
        <v>859</v>
      </c>
      <c r="C576" s="98" t="s">
        <v>750</v>
      </c>
      <c r="D576" s="98" t="s">
        <v>26</v>
      </c>
      <c r="E576" s="175">
        <v>8</v>
      </c>
      <c r="F576" s="175">
        <v>125</v>
      </c>
      <c r="G576" s="176">
        <v>1000</v>
      </c>
      <c r="H576" s="101">
        <v>62</v>
      </c>
      <c r="K576"/>
    </row>
    <row r="577" spans="1:11" x14ac:dyDescent="0.25">
      <c r="A577" s="174">
        <v>40917</v>
      </c>
      <c r="B577" s="161" t="s">
        <v>773</v>
      </c>
      <c r="C577" s="98" t="s">
        <v>774</v>
      </c>
      <c r="D577" s="98" t="s">
        <v>26</v>
      </c>
      <c r="E577" s="175">
        <v>10</v>
      </c>
      <c r="F577" s="175">
        <v>95</v>
      </c>
      <c r="G577" s="176">
        <v>950</v>
      </c>
      <c r="H577" s="101">
        <v>62</v>
      </c>
      <c r="K577"/>
    </row>
    <row r="578" spans="1:11" x14ac:dyDescent="0.25">
      <c r="A578" s="174">
        <v>40917</v>
      </c>
      <c r="B578" s="161" t="s">
        <v>745</v>
      </c>
      <c r="C578" s="98" t="s">
        <v>8</v>
      </c>
      <c r="D578" s="98" t="s">
        <v>26</v>
      </c>
      <c r="E578" s="175">
        <v>5.5</v>
      </c>
      <c r="F578" s="175">
        <v>35.35</v>
      </c>
      <c r="G578" s="176">
        <v>194.42500000000001</v>
      </c>
      <c r="H578" s="101">
        <v>62</v>
      </c>
      <c r="K578"/>
    </row>
    <row r="579" spans="1:11" x14ac:dyDescent="0.25">
      <c r="A579" s="174">
        <v>40917</v>
      </c>
      <c r="B579" s="161" t="s">
        <v>860</v>
      </c>
      <c r="C579" s="98" t="s">
        <v>8</v>
      </c>
      <c r="D579" s="98" t="s">
        <v>26</v>
      </c>
      <c r="E579" s="175">
        <v>6</v>
      </c>
      <c r="F579" s="175">
        <v>57.7</v>
      </c>
      <c r="G579" s="176">
        <v>346.2</v>
      </c>
      <c r="H579" s="101">
        <v>62</v>
      </c>
      <c r="K579"/>
    </row>
    <row r="580" spans="1:11" x14ac:dyDescent="0.25">
      <c r="A580" s="174">
        <v>40918</v>
      </c>
      <c r="B580" s="161" t="s">
        <v>773</v>
      </c>
      <c r="C580" s="98" t="s">
        <v>774</v>
      </c>
      <c r="D580" s="98" t="s">
        <v>26</v>
      </c>
      <c r="E580" s="175">
        <v>9.5</v>
      </c>
      <c r="F580" s="175">
        <v>95</v>
      </c>
      <c r="G580" s="176">
        <v>902.5</v>
      </c>
      <c r="H580" s="101">
        <v>62</v>
      </c>
      <c r="K580"/>
    </row>
    <row r="581" spans="1:11" x14ac:dyDescent="0.25">
      <c r="A581" s="174">
        <v>40918</v>
      </c>
      <c r="B581" s="161" t="s">
        <v>776</v>
      </c>
      <c r="C581" s="98" t="s">
        <v>775</v>
      </c>
      <c r="D581" s="98" t="s">
        <v>26</v>
      </c>
      <c r="E581" s="175">
        <v>4</v>
      </c>
      <c r="F581" s="175">
        <v>95</v>
      </c>
      <c r="G581" s="176">
        <v>380</v>
      </c>
      <c r="H581" s="101">
        <v>62</v>
      </c>
      <c r="K581"/>
    </row>
    <row r="582" spans="1:11" x14ac:dyDescent="0.25">
      <c r="A582" s="174">
        <v>40919</v>
      </c>
      <c r="B582" s="161" t="s">
        <v>773</v>
      </c>
      <c r="C582" s="98" t="s">
        <v>774</v>
      </c>
      <c r="D582" s="98" t="s">
        <v>26</v>
      </c>
      <c r="E582" s="175">
        <v>9</v>
      </c>
      <c r="F582" s="175">
        <v>95</v>
      </c>
      <c r="G582" s="176">
        <v>855</v>
      </c>
      <c r="H582" s="101">
        <v>62</v>
      </c>
      <c r="K582"/>
    </row>
    <row r="583" spans="1:11" x14ac:dyDescent="0.25">
      <c r="A583" s="174">
        <v>40920</v>
      </c>
      <c r="B583" s="161" t="s">
        <v>805</v>
      </c>
      <c r="C583" s="98" t="s">
        <v>806</v>
      </c>
      <c r="D583" s="98" t="s">
        <v>26</v>
      </c>
      <c r="E583" s="175">
        <v>6.5</v>
      </c>
      <c r="F583" s="175">
        <v>125</v>
      </c>
      <c r="G583" s="176">
        <v>812.5</v>
      </c>
      <c r="H583" s="101">
        <v>62</v>
      </c>
      <c r="K583"/>
    </row>
    <row r="584" spans="1:11" x14ac:dyDescent="0.25">
      <c r="A584" s="174">
        <v>40920</v>
      </c>
      <c r="B584" s="161" t="s">
        <v>773</v>
      </c>
      <c r="C584" s="98" t="s">
        <v>774</v>
      </c>
      <c r="D584" s="98" t="s">
        <v>26</v>
      </c>
      <c r="E584" s="175">
        <v>10.5</v>
      </c>
      <c r="F584" s="175">
        <v>95</v>
      </c>
      <c r="G584" s="176">
        <v>997.5</v>
      </c>
      <c r="H584" s="101">
        <v>62</v>
      </c>
      <c r="K584"/>
    </row>
    <row r="585" spans="1:11" x14ac:dyDescent="0.25">
      <c r="A585" s="174">
        <v>40920</v>
      </c>
      <c r="B585" s="161" t="s">
        <v>805</v>
      </c>
      <c r="C585" s="98" t="s">
        <v>806</v>
      </c>
      <c r="D585" s="98" t="s">
        <v>26</v>
      </c>
      <c r="E585" s="175">
        <v>7.5</v>
      </c>
      <c r="F585" s="175">
        <v>125</v>
      </c>
      <c r="G585" s="176">
        <v>937.5</v>
      </c>
      <c r="H585" s="101">
        <v>62</v>
      </c>
      <c r="K585"/>
    </row>
    <row r="586" spans="1:11" x14ac:dyDescent="0.25">
      <c r="A586" s="174">
        <v>40920</v>
      </c>
      <c r="B586" s="161" t="s">
        <v>861</v>
      </c>
      <c r="C586" s="98" t="s">
        <v>750</v>
      </c>
      <c r="D586" s="98" t="s">
        <v>26</v>
      </c>
      <c r="E586" s="175">
        <v>9</v>
      </c>
      <c r="F586" s="175">
        <v>95</v>
      </c>
      <c r="G586" s="176">
        <v>855</v>
      </c>
      <c r="H586" s="101">
        <v>62</v>
      </c>
      <c r="K586"/>
    </row>
    <row r="587" spans="1:11" x14ac:dyDescent="0.25">
      <c r="A587" s="174">
        <v>40920</v>
      </c>
      <c r="B587" s="161" t="s">
        <v>745</v>
      </c>
      <c r="C587" s="98" t="s">
        <v>8</v>
      </c>
      <c r="D587" s="98" t="s">
        <v>26</v>
      </c>
      <c r="E587" s="175">
        <v>10</v>
      </c>
      <c r="F587" s="175">
        <v>35.35</v>
      </c>
      <c r="G587" s="176">
        <v>353.5</v>
      </c>
      <c r="H587" s="101">
        <v>62</v>
      </c>
      <c r="K587"/>
    </row>
    <row r="588" spans="1:11" x14ac:dyDescent="0.25">
      <c r="A588" s="174">
        <v>40921</v>
      </c>
      <c r="B588" s="161" t="s">
        <v>773</v>
      </c>
      <c r="C588" s="98" t="s">
        <v>774</v>
      </c>
      <c r="D588" s="98" t="s">
        <v>26</v>
      </c>
      <c r="E588" s="175">
        <v>2</v>
      </c>
      <c r="F588" s="175">
        <v>95</v>
      </c>
      <c r="G588" s="176">
        <v>190</v>
      </c>
      <c r="H588" s="101">
        <v>62</v>
      </c>
      <c r="K588"/>
    </row>
    <row r="589" spans="1:11" x14ac:dyDescent="0.25">
      <c r="A589" s="174">
        <v>40932</v>
      </c>
      <c r="B589" s="161" t="s">
        <v>862</v>
      </c>
      <c r="C589" s="98" t="s">
        <v>863</v>
      </c>
      <c r="D589" s="98" t="s">
        <v>26</v>
      </c>
      <c r="E589" s="175">
        <v>3</v>
      </c>
      <c r="F589" s="175">
        <v>145</v>
      </c>
      <c r="G589" s="176">
        <v>435</v>
      </c>
      <c r="H589" s="101">
        <v>62</v>
      </c>
      <c r="K589"/>
    </row>
    <row r="590" spans="1:11" ht="30" x14ac:dyDescent="0.25">
      <c r="A590" s="174">
        <v>40939</v>
      </c>
      <c r="B590" s="161" t="s">
        <v>864</v>
      </c>
      <c r="C590" s="98" t="s">
        <v>865</v>
      </c>
      <c r="D590" s="98" t="s">
        <v>715</v>
      </c>
      <c r="E590" s="175">
        <v>1</v>
      </c>
      <c r="F590" s="175">
        <v>5040</v>
      </c>
      <c r="G590" s="176">
        <v>5040</v>
      </c>
      <c r="H590" s="101">
        <v>62</v>
      </c>
      <c r="K590"/>
    </row>
    <row r="591" spans="1:11" x14ac:dyDescent="0.25">
      <c r="A591" s="174">
        <v>40952</v>
      </c>
      <c r="B591" s="161" t="s">
        <v>745</v>
      </c>
      <c r="C591" s="98" t="s">
        <v>8</v>
      </c>
      <c r="D591" s="98" t="s">
        <v>26</v>
      </c>
      <c r="E591" s="175">
        <v>3</v>
      </c>
      <c r="F591" s="175">
        <v>35.35</v>
      </c>
      <c r="G591" s="176">
        <v>106.05</v>
      </c>
      <c r="H591" s="101">
        <v>62</v>
      </c>
      <c r="K591"/>
    </row>
    <row r="592" spans="1:11" x14ac:dyDescent="0.25">
      <c r="A592" s="174">
        <v>40952</v>
      </c>
      <c r="B592" s="161" t="s">
        <v>795</v>
      </c>
      <c r="C592" s="98" t="s">
        <v>758</v>
      </c>
      <c r="D592" s="98" t="s">
        <v>26</v>
      </c>
      <c r="E592" s="175">
        <v>2.5</v>
      </c>
      <c r="F592" s="175">
        <v>90</v>
      </c>
      <c r="G592" s="176">
        <v>225</v>
      </c>
      <c r="H592" s="101">
        <v>62</v>
      </c>
      <c r="K592"/>
    </row>
    <row r="593" spans="1:11" x14ac:dyDescent="0.25">
      <c r="A593" s="174">
        <v>40952</v>
      </c>
      <c r="B593" s="161" t="s">
        <v>745</v>
      </c>
      <c r="C593" s="98" t="s">
        <v>8</v>
      </c>
      <c r="D593" s="98" t="s">
        <v>26</v>
      </c>
      <c r="E593" s="175">
        <v>3</v>
      </c>
      <c r="F593" s="175">
        <v>35.35</v>
      </c>
      <c r="G593" s="176">
        <v>106.05</v>
      </c>
      <c r="H593" s="101">
        <v>62</v>
      </c>
      <c r="K593"/>
    </row>
    <row r="594" spans="1:11" x14ac:dyDescent="0.25">
      <c r="A594" s="174">
        <v>40954</v>
      </c>
      <c r="B594" s="161" t="s">
        <v>866</v>
      </c>
      <c r="C594" s="98" t="s">
        <v>764</v>
      </c>
      <c r="D594" s="98" t="s">
        <v>26</v>
      </c>
      <c r="E594" s="175">
        <v>7.5</v>
      </c>
      <c r="F594" s="175">
        <v>100</v>
      </c>
      <c r="G594" s="176">
        <v>750</v>
      </c>
      <c r="H594" s="101">
        <v>62</v>
      </c>
      <c r="K594"/>
    </row>
    <row r="595" spans="1:11" x14ac:dyDescent="0.25">
      <c r="A595" s="174">
        <v>40960</v>
      </c>
      <c r="B595" s="161" t="s">
        <v>866</v>
      </c>
      <c r="C595" s="98" t="s">
        <v>764</v>
      </c>
      <c r="D595" s="98" t="s">
        <v>26</v>
      </c>
      <c r="E595" s="175">
        <v>9</v>
      </c>
      <c r="F595" s="175">
        <v>100</v>
      </c>
      <c r="G595" s="176">
        <v>900</v>
      </c>
      <c r="H595" s="101">
        <v>62</v>
      </c>
      <c r="K595"/>
    </row>
    <row r="596" spans="1:11" x14ac:dyDescent="0.25">
      <c r="A596" s="174">
        <v>40960</v>
      </c>
      <c r="B596" s="161" t="s">
        <v>745</v>
      </c>
      <c r="C596" s="98" t="s">
        <v>8</v>
      </c>
      <c r="D596" s="98" t="s">
        <v>26</v>
      </c>
      <c r="E596" s="175">
        <v>5</v>
      </c>
      <c r="F596" s="175">
        <v>35.35</v>
      </c>
      <c r="G596" s="176">
        <v>176.75</v>
      </c>
      <c r="H596" s="101">
        <v>62</v>
      </c>
      <c r="K596"/>
    </row>
    <row r="597" spans="1:11" x14ac:dyDescent="0.25">
      <c r="A597" s="174">
        <v>40961</v>
      </c>
      <c r="B597" s="161" t="s">
        <v>866</v>
      </c>
      <c r="C597" s="98" t="s">
        <v>764</v>
      </c>
      <c r="D597" s="98" t="s">
        <v>26</v>
      </c>
      <c r="E597" s="175">
        <v>9</v>
      </c>
      <c r="F597" s="175">
        <v>100</v>
      </c>
      <c r="G597" s="176">
        <v>900</v>
      </c>
      <c r="H597" s="101">
        <v>62</v>
      </c>
      <c r="K597"/>
    </row>
    <row r="598" spans="1:11" x14ac:dyDescent="0.25">
      <c r="A598" s="174">
        <v>40961</v>
      </c>
      <c r="B598" s="161" t="s">
        <v>867</v>
      </c>
      <c r="C598" s="98" t="s">
        <v>788</v>
      </c>
      <c r="D598" s="98" t="s">
        <v>26</v>
      </c>
      <c r="E598" s="175">
        <v>6</v>
      </c>
      <c r="F598" s="175">
        <v>140</v>
      </c>
      <c r="G598" s="176">
        <v>840</v>
      </c>
      <c r="H598" s="101">
        <v>62</v>
      </c>
      <c r="K598"/>
    </row>
    <row r="599" spans="1:11" x14ac:dyDescent="0.25">
      <c r="A599" s="174">
        <v>40961</v>
      </c>
      <c r="B599" s="161" t="s">
        <v>745</v>
      </c>
      <c r="C599" s="98" t="s">
        <v>8</v>
      </c>
      <c r="D599" s="98" t="s">
        <v>26</v>
      </c>
      <c r="E599" s="175">
        <v>5.5</v>
      </c>
      <c r="F599" s="175">
        <v>35.35</v>
      </c>
      <c r="G599" s="176">
        <v>194.42500000000001</v>
      </c>
      <c r="H599" s="101">
        <v>62</v>
      </c>
      <c r="K599"/>
    </row>
    <row r="600" spans="1:11" x14ac:dyDescent="0.25">
      <c r="A600" s="174">
        <v>40961</v>
      </c>
      <c r="B600" s="161" t="s">
        <v>745</v>
      </c>
      <c r="C600" s="98" t="s">
        <v>8</v>
      </c>
      <c r="D600" s="98" t="s">
        <v>26</v>
      </c>
      <c r="E600" s="175">
        <v>5.5</v>
      </c>
      <c r="F600" s="175">
        <v>35.35</v>
      </c>
      <c r="G600" s="176">
        <v>194.42500000000001</v>
      </c>
      <c r="H600" s="101">
        <v>62</v>
      </c>
      <c r="K600"/>
    </row>
    <row r="601" spans="1:11" x14ac:dyDescent="0.25">
      <c r="A601" s="174">
        <v>40962</v>
      </c>
      <c r="B601" s="161" t="s">
        <v>745</v>
      </c>
      <c r="C601" s="98" t="s">
        <v>8</v>
      </c>
      <c r="D601" s="98" t="s">
        <v>26</v>
      </c>
      <c r="E601" s="175">
        <v>7.5</v>
      </c>
      <c r="F601" s="175">
        <v>35.35</v>
      </c>
      <c r="G601" s="176">
        <v>265.125</v>
      </c>
      <c r="H601" s="101">
        <v>62</v>
      </c>
      <c r="K601"/>
    </row>
    <row r="602" spans="1:11" x14ac:dyDescent="0.25">
      <c r="A602" s="174">
        <v>40962</v>
      </c>
      <c r="B602" s="161" t="s">
        <v>866</v>
      </c>
      <c r="C602" s="98" t="s">
        <v>764</v>
      </c>
      <c r="D602" s="98" t="s">
        <v>26</v>
      </c>
      <c r="E602" s="175">
        <v>8</v>
      </c>
      <c r="F602" s="175">
        <v>100</v>
      </c>
      <c r="G602" s="176">
        <v>800</v>
      </c>
      <c r="H602" s="101">
        <v>62</v>
      </c>
      <c r="K602"/>
    </row>
    <row r="603" spans="1:11" x14ac:dyDescent="0.25">
      <c r="A603" s="174">
        <v>40967</v>
      </c>
      <c r="B603" s="161" t="s">
        <v>745</v>
      </c>
      <c r="C603" s="98" t="s">
        <v>8</v>
      </c>
      <c r="D603" s="98" t="s">
        <v>26</v>
      </c>
      <c r="E603" s="175">
        <v>8</v>
      </c>
      <c r="F603" s="175">
        <v>35.35</v>
      </c>
      <c r="G603" s="176">
        <v>282.8</v>
      </c>
      <c r="H603" s="101">
        <v>62</v>
      </c>
      <c r="K603"/>
    </row>
    <row r="604" spans="1:11" x14ac:dyDescent="0.25">
      <c r="A604" s="174">
        <v>40968</v>
      </c>
      <c r="B604" s="161" t="s">
        <v>745</v>
      </c>
      <c r="C604" s="98" t="s">
        <v>8</v>
      </c>
      <c r="D604" s="98" t="s">
        <v>26</v>
      </c>
      <c r="E604" s="175">
        <v>4</v>
      </c>
      <c r="F604" s="175">
        <v>35.35</v>
      </c>
      <c r="G604" s="176">
        <v>141.4</v>
      </c>
      <c r="H604" s="101">
        <v>62</v>
      </c>
      <c r="K604"/>
    </row>
    <row r="605" spans="1:11" x14ac:dyDescent="0.25">
      <c r="A605" s="174">
        <v>40968</v>
      </c>
      <c r="B605" s="161" t="s">
        <v>868</v>
      </c>
      <c r="C605" s="98" t="s">
        <v>786</v>
      </c>
      <c r="D605" s="98" t="s">
        <v>26</v>
      </c>
      <c r="E605" s="175">
        <v>3</v>
      </c>
      <c r="F605" s="175">
        <v>100</v>
      </c>
      <c r="G605" s="176">
        <v>300</v>
      </c>
      <c r="H605" s="101">
        <v>62</v>
      </c>
      <c r="K605"/>
    </row>
    <row r="606" spans="1:11" x14ac:dyDescent="0.25">
      <c r="A606" s="174">
        <v>40969</v>
      </c>
      <c r="B606" s="161" t="s">
        <v>745</v>
      </c>
      <c r="C606" s="98" t="s">
        <v>8</v>
      </c>
      <c r="D606" s="98" t="s">
        <v>26</v>
      </c>
      <c r="E606" s="175">
        <v>5</v>
      </c>
      <c r="F606" s="175">
        <v>35.35</v>
      </c>
      <c r="G606" s="176">
        <v>176.75</v>
      </c>
      <c r="H606" s="101">
        <v>62</v>
      </c>
      <c r="K606"/>
    </row>
    <row r="607" spans="1:11" x14ac:dyDescent="0.25">
      <c r="A607" s="174">
        <v>41001</v>
      </c>
      <c r="B607" s="161" t="s">
        <v>745</v>
      </c>
      <c r="C607" s="98" t="s">
        <v>8</v>
      </c>
      <c r="D607" s="98" t="s">
        <v>26</v>
      </c>
      <c r="E607" s="175">
        <v>4</v>
      </c>
      <c r="F607" s="175">
        <v>35.35</v>
      </c>
      <c r="G607" s="176">
        <v>141.4</v>
      </c>
      <c r="H607" s="101">
        <v>62</v>
      </c>
      <c r="K607"/>
    </row>
    <row r="608" spans="1:11" x14ac:dyDescent="0.25">
      <c r="A608" s="174">
        <v>41001</v>
      </c>
      <c r="B608" s="161" t="s">
        <v>745</v>
      </c>
      <c r="C608" s="98" t="s">
        <v>8</v>
      </c>
      <c r="D608" s="98" t="s">
        <v>26</v>
      </c>
      <c r="E608" s="175">
        <v>4</v>
      </c>
      <c r="F608" s="175">
        <v>35.35</v>
      </c>
      <c r="G608" s="176">
        <v>141.4</v>
      </c>
      <c r="H608" s="101">
        <v>62</v>
      </c>
      <c r="K608"/>
    </row>
    <row r="609" spans="1:11" x14ac:dyDescent="0.25">
      <c r="A609" s="174">
        <v>41001</v>
      </c>
      <c r="B609" s="161" t="s">
        <v>745</v>
      </c>
      <c r="C609" s="98" t="s">
        <v>8</v>
      </c>
      <c r="D609" s="98" t="s">
        <v>26</v>
      </c>
      <c r="E609" s="175">
        <v>4</v>
      </c>
      <c r="F609" s="175">
        <v>35.35</v>
      </c>
      <c r="G609" s="176">
        <v>141.4</v>
      </c>
      <c r="H609" s="101">
        <v>62</v>
      </c>
      <c r="K609"/>
    </row>
    <row r="610" spans="1:11" x14ac:dyDescent="0.25">
      <c r="A610" s="177" t="s">
        <v>643</v>
      </c>
      <c r="B610" s="178" t="s">
        <v>869</v>
      </c>
      <c r="C610" s="179" t="s">
        <v>643</v>
      </c>
      <c r="D610" s="179" t="s">
        <v>643</v>
      </c>
      <c r="E610" s="180"/>
      <c r="F610" s="180"/>
      <c r="G610" s="181">
        <v>159414.47</v>
      </c>
      <c r="H610" s="188" t="s">
        <v>643</v>
      </c>
      <c r="K610"/>
    </row>
    <row r="611" spans="1:11" x14ac:dyDescent="0.25">
      <c r="A611" s="174" t="s">
        <v>643</v>
      </c>
      <c r="B611" s="161" t="s">
        <v>643</v>
      </c>
      <c r="C611" s="98" t="s">
        <v>643</v>
      </c>
      <c r="D611" s="98" t="s">
        <v>643</v>
      </c>
      <c r="E611" s="175"/>
      <c r="F611" s="175"/>
      <c r="G611" s="176"/>
      <c r="H611" s="101" t="s">
        <v>643</v>
      </c>
      <c r="K611"/>
    </row>
    <row r="612" spans="1:11" x14ac:dyDescent="0.25">
      <c r="A612" s="171" t="s">
        <v>643</v>
      </c>
      <c r="B612" s="164" t="s">
        <v>1180</v>
      </c>
      <c r="C612" s="100" t="s">
        <v>643</v>
      </c>
      <c r="D612" s="100" t="s">
        <v>643</v>
      </c>
      <c r="E612" s="172"/>
      <c r="F612" s="172"/>
      <c r="G612" s="173"/>
      <c r="H612" s="187" t="s">
        <v>643</v>
      </c>
      <c r="K612"/>
    </row>
    <row r="613" spans="1:11" x14ac:dyDescent="0.25">
      <c r="A613" s="174">
        <v>40833</v>
      </c>
      <c r="B613" s="161" t="s">
        <v>742</v>
      </c>
      <c r="C613" s="98" t="s">
        <v>8</v>
      </c>
      <c r="D613" s="98" t="s">
        <v>26</v>
      </c>
      <c r="E613" s="175">
        <v>5</v>
      </c>
      <c r="F613" s="175">
        <v>44.2</v>
      </c>
      <c r="G613" s="176">
        <v>221</v>
      </c>
      <c r="H613" s="101">
        <v>63</v>
      </c>
      <c r="K613"/>
    </row>
    <row r="614" spans="1:11" x14ac:dyDescent="0.25">
      <c r="A614" s="174">
        <v>40833</v>
      </c>
      <c r="B614" s="161" t="s">
        <v>745</v>
      </c>
      <c r="C614" s="98" t="s">
        <v>8</v>
      </c>
      <c r="D614" s="98" t="s">
        <v>26</v>
      </c>
      <c r="E614" s="175">
        <v>5</v>
      </c>
      <c r="F614" s="175">
        <v>35.35</v>
      </c>
      <c r="G614" s="176">
        <v>176.75</v>
      </c>
      <c r="H614" s="101">
        <v>63</v>
      </c>
      <c r="K614"/>
    </row>
    <row r="615" spans="1:11" x14ac:dyDescent="0.25">
      <c r="A615" s="174">
        <v>40833</v>
      </c>
      <c r="B615" s="161" t="s">
        <v>815</v>
      </c>
      <c r="C615" s="98" t="s">
        <v>766</v>
      </c>
      <c r="D615" s="98" t="s">
        <v>26</v>
      </c>
      <c r="E615" s="175">
        <v>6</v>
      </c>
      <c r="F615" s="175">
        <v>110</v>
      </c>
      <c r="G615" s="176">
        <v>660</v>
      </c>
      <c r="H615" s="101">
        <v>63</v>
      </c>
      <c r="K615"/>
    </row>
    <row r="616" spans="1:11" x14ac:dyDescent="0.25">
      <c r="A616" s="174">
        <v>40833</v>
      </c>
      <c r="B616" s="161" t="s">
        <v>757</v>
      </c>
      <c r="C616" s="98" t="s">
        <v>758</v>
      </c>
      <c r="D616" s="98" t="s">
        <v>26</v>
      </c>
      <c r="E616" s="175">
        <v>6</v>
      </c>
      <c r="F616" s="175">
        <v>90</v>
      </c>
      <c r="G616" s="176">
        <v>540</v>
      </c>
      <c r="H616" s="101">
        <v>63</v>
      </c>
      <c r="K616"/>
    </row>
    <row r="617" spans="1:11" x14ac:dyDescent="0.25">
      <c r="A617" s="174">
        <v>40833</v>
      </c>
      <c r="B617" s="161" t="s">
        <v>359</v>
      </c>
      <c r="C617" s="98" t="s">
        <v>752</v>
      </c>
      <c r="D617" s="98" t="s">
        <v>26</v>
      </c>
      <c r="E617" s="175">
        <v>5</v>
      </c>
      <c r="F617" s="175">
        <v>11.67</v>
      </c>
      <c r="G617" s="176">
        <v>58.35</v>
      </c>
      <c r="H617" s="101">
        <v>63</v>
      </c>
      <c r="K617"/>
    </row>
    <row r="618" spans="1:11" x14ac:dyDescent="0.25">
      <c r="A618" s="174">
        <v>40834</v>
      </c>
      <c r="B618" s="161" t="s">
        <v>815</v>
      </c>
      <c r="C618" s="98" t="s">
        <v>766</v>
      </c>
      <c r="D618" s="98" t="s">
        <v>26</v>
      </c>
      <c r="E618" s="175">
        <v>2.5</v>
      </c>
      <c r="F618" s="175">
        <v>110</v>
      </c>
      <c r="G618" s="176">
        <v>275</v>
      </c>
      <c r="H618" s="101">
        <v>63</v>
      </c>
      <c r="K618"/>
    </row>
    <row r="619" spans="1:11" x14ac:dyDescent="0.25">
      <c r="A619" s="174">
        <v>40845</v>
      </c>
      <c r="B619" s="161" t="s">
        <v>743</v>
      </c>
      <c r="C619" s="98" t="s">
        <v>744</v>
      </c>
      <c r="D619" s="98" t="s">
        <v>26</v>
      </c>
      <c r="E619" s="175">
        <v>10.5</v>
      </c>
      <c r="F619" s="175">
        <v>145</v>
      </c>
      <c r="G619" s="176">
        <v>1522.5</v>
      </c>
      <c r="H619" s="101">
        <v>63</v>
      </c>
      <c r="K619"/>
    </row>
    <row r="620" spans="1:11" x14ac:dyDescent="0.25">
      <c r="A620" s="174">
        <v>40929</v>
      </c>
      <c r="B620" s="161" t="s">
        <v>870</v>
      </c>
      <c r="C620" s="98" t="s">
        <v>8</v>
      </c>
      <c r="D620" s="98" t="s">
        <v>26</v>
      </c>
      <c r="E620" s="175">
        <v>2</v>
      </c>
      <c r="F620" s="175">
        <v>40.97</v>
      </c>
      <c r="G620" s="176">
        <v>81.94</v>
      </c>
      <c r="H620" s="101">
        <v>63</v>
      </c>
      <c r="K620"/>
    </row>
    <row r="621" spans="1:11" x14ac:dyDescent="0.25">
      <c r="A621" s="174">
        <v>40929</v>
      </c>
      <c r="B621" s="161" t="s">
        <v>745</v>
      </c>
      <c r="C621" s="98" t="s">
        <v>8</v>
      </c>
      <c r="D621" s="98" t="s">
        <v>26</v>
      </c>
      <c r="E621" s="175">
        <v>3</v>
      </c>
      <c r="F621" s="175">
        <v>35.35</v>
      </c>
      <c r="G621" s="176">
        <v>106.05</v>
      </c>
      <c r="H621" s="101">
        <v>63</v>
      </c>
      <c r="K621"/>
    </row>
    <row r="622" spans="1:11" x14ac:dyDescent="0.25">
      <c r="A622" s="174">
        <v>40929</v>
      </c>
      <c r="B622" s="161" t="s">
        <v>742</v>
      </c>
      <c r="C622" s="98" t="s">
        <v>8</v>
      </c>
      <c r="D622" s="98" t="s">
        <v>26</v>
      </c>
      <c r="E622" s="175">
        <v>2</v>
      </c>
      <c r="F622" s="175">
        <v>44.2</v>
      </c>
      <c r="G622" s="176">
        <v>88.4</v>
      </c>
      <c r="H622" s="101">
        <v>63</v>
      </c>
      <c r="K622"/>
    </row>
    <row r="623" spans="1:11" x14ac:dyDescent="0.25">
      <c r="A623" s="174">
        <v>40931</v>
      </c>
      <c r="B623" s="161" t="s">
        <v>745</v>
      </c>
      <c r="C623" s="98" t="s">
        <v>8</v>
      </c>
      <c r="D623" s="98" t="s">
        <v>26</v>
      </c>
      <c r="E623" s="175">
        <v>5</v>
      </c>
      <c r="F623" s="175">
        <v>35.35</v>
      </c>
      <c r="G623" s="176">
        <v>176.75</v>
      </c>
      <c r="H623" s="101">
        <v>63</v>
      </c>
      <c r="K623"/>
    </row>
    <row r="624" spans="1:11" x14ac:dyDescent="0.25">
      <c r="A624" s="174">
        <v>40931</v>
      </c>
      <c r="B624" s="161" t="s">
        <v>742</v>
      </c>
      <c r="C624" s="98" t="s">
        <v>8</v>
      </c>
      <c r="D624" s="98" t="s">
        <v>26</v>
      </c>
      <c r="E624" s="175">
        <v>2</v>
      </c>
      <c r="F624" s="175">
        <v>44.2</v>
      </c>
      <c r="G624" s="176">
        <v>88.4</v>
      </c>
      <c r="H624" s="101">
        <v>63</v>
      </c>
      <c r="K624"/>
    </row>
    <row r="625" spans="1:11" x14ac:dyDescent="0.25">
      <c r="A625" s="174">
        <v>40931</v>
      </c>
      <c r="B625" s="161" t="s">
        <v>871</v>
      </c>
      <c r="C625" s="98" t="s">
        <v>764</v>
      </c>
      <c r="D625" s="98" t="s">
        <v>26</v>
      </c>
      <c r="E625" s="175">
        <v>6</v>
      </c>
      <c r="F625" s="175">
        <v>110</v>
      </c>
      <c r="G625" s="176">
        <v>660</v>
      </c>
      <c r="H625" s="101">
        <v>63</v>
      </c>
      <c r="K625"/>
    </row>
    <row r="626" spans="1:11" x14ac:dyDescent="0.25">
      <c r="A626" s="174">
        <v>40931</v>
      </c>
      <c r="B626" s="161" t="s">
        <v>862</v>
      </c>
      <c r="C626" s="98" t="s">
        <v>863</v>
      </c>
      <c r="D626" s="98" t="s">
        <v>26</v>
      </c>
      <c r="E626" s="175">
        <v>3</v>
      </c>
      <c r="F626" s="175">
        <v>145</v>
      </c>
      <c r="G626" s="176">
        <v>435</v>
      </c>
      <c r="H626" s="101">
        <v>63</v>
      </c>
      <c r="K626"/>
    </row>
    <row r="627" spans="1:11" x14ac:dyDescent="0.25">
      <c r="A627" s="174">
        <v>40931</v>
      </c>
      <c r="B627" s="161" t="s">
        <v>745</v>
      </c>
      <c r="C627" s="98" t="s">
        <v>8</v>
      </c>
      <c r="D627" s="98" t="s">
        <v>26</v>
      </c>
      <c r="E627" s="175">
        <v>4.5</v>
      </c>
      <c r="F627" s="175">
        <v>35.35</v>
      </c>
      <c r="G627" s="176">
        <v>159.07499999999999</v>
      </c>
      <c r="H627" s="101">
        <v>63</v>
      </c>
      <c r="K627"/>
    </row>
    <row r="628" spans="1:11" x14ac:dyDescent="0.25">
      <c r="A628" s="174">
        <v>40933</v>
      </c>
      <c r="B628" s="161" t="s">
        <v>742</v>
      </c>
      <c r="C628" s="98" t="s">
        <v>8</v>
      </c>
      <c r="D628" s="98" t="s">
        <v>26</v>
      </c>
      <c r="E628" s="175">
        <v>8</v>
      </c>
      <c r="F628" s="175">
        <v>44.2</v>
      </c>
      <c r="G628" s="176">
        <v>353.6</v>
      </c>
      <c r="H628" s="101">
        <v>63</v>
      </c>
      <c r="K628"/>
    </row>
    <row r="629" spans="1:11" x14ac:dyDescent="0.25">
      <c r="A629" s="174">
        <v>40971</v>
      </c>
      <c r="B629" s="161" t="s">
        <v>745</v>
      </c>
      <c r="C629" s="98" t="s">
        <v>8</v>
      </c>
      <c r="D629" s="98" t="s">
        <v>26</v>
      </c>
      <c r="E629" s="175">
        <v>6.5</v>
      </c>
      <c r="F629" s="175">
        <v>35.35</v>
      </c>
      <c r="G629" s="176">
        <v>229.77500000000001</v>
      </c>
      <c r="H629" s="101">
        <v>63</v>
      </c>
      <c r="K629"/>
    </row>
    <row r="630" spans="1:11" x14ac:dyDescent="0.25">
      <c r="A630" s="174">
        <v>40971</v>
      </c>
      <c r="B630" s="161" t="s">
        <v>745</v>
      </c>
      <c r="C630" s="98" t="s">
        <v>8</v>
      </c>
      <c r="D630" s="98" t="s">
        <v>26</v>
      </c>
      <c r="E630" s="175">
        <v>6.5</v>
      </c>
      <c r="F630" s="175">
        <v>35.35</v>
      </c>
      <c r="G630" s="176">
        <v>229.77500000000001</v>
      </c>
      <c r="H630" s="101">
        <v>63</v>
      </c>
      <c r="K630"/>
    </row>
    <row r="631" spans="1:11" x14ac:dyDescent="0.25">
      <c r="A631" s="174">
        <v>40973</v>
      </c>
      <c r="B631" s="161" t="s">
        <v>745</v>
      </c>
      <c r="C631" s="98" t="s">
        <v>8</v>
      </c>
      <c r="D631" s="98" t="s">
        <v>26</v>
      </c>
      <c r="E631" s="175">
        <v>3.5</v>
      </c>
      <c r="F631" s="175">
        <v>35.35</v>
      </c>
      <c r="G631" s="176">
        <v>123.72499999999999</v>
      </c>
      <c r="H631" s="101">
        <v>63</v>
      </c>
      <c r="K631"/>
    </row>
    <row r="632" spans="1:11" x14ac:dyDescent="0.25">
      <c r="A632" s="174">
        <v>40973</v>
      </c>
      <c r="B632" s="161" t="s">
        <v>745</v>
      </c>
      <c r="C632" s="98" t="s">
        <v>8</v>
      </c>
      <c r="D632" s="98" t="s">
        <v>26</v>
      </c>
      <c r="E632" s="175">
        <v>9.5</v>
      </c>
      <c r="F632" s="175">
        <v>35.35</v>
      </c>
      <c r="G632" s="176">
        <v>335.82499999999999</v>
      </c>
      <c r="H632" s="101">
        <v>63</v>
      </c>
      <c r="K632"/>
    </row>
    <row r="633" spans="1:11" x14ac:dyDescent="0.25">
      <c r="A633" s="174">
        <v>40974</v>
      </c>
      <c r="B633" s="161" t="s">
        <v>745</v>
      </c>
      <c r="C633" s="98" t="s">
        <v>8</v>
      </c>
      <c r="D633" s="98" t="s">
        <v>26</v>
      </c>
      <c r="E633" s="175">
        <v>3.5</v>
      </c>
      <c r="F633" s="175">
        <v>35.35</v>
      </c>
      <c r="G633" s="176">
        <v>123.72499999999999</v>
      </c>
      <c r="H633" s="101">
        <v>63</v>
      </c>
      <c r="K633"/>
    </row>
    <row r="634" spans="1:11" x14ac:dyDescent="0.25">
      <c r="A634" s="174">
        <v>40974</v>
      </c>
      <c r="B634" s="161" t="s">
        <v>745</v>
      </c>
      <c r="C634" s="98" t="s">
        <v>8</v>
      </c>
      <c r="D634" s="98" t="s">
        <v>26</v>
      </c>
      <c r="E634" s="175">
        <v>3.5</v>
      </c>
      <c r="F634" s="175">
        <v>35.35</v>
      </c>
      <c r="G634" s="176">
        <v>123.72499999999999</v>
      </c>
      <c r="H634" s="101">
        <v>63</v>
      </c>
      <c r="K634"/>
    </row>
    <row r="635" spans="1:11" x14ac:dyDescent="0.25">
      <c r="A635" s="174">
        <v>40974</v>
      </c>
      <c r="B635" s="161" t="s">
        <v>745</v>
      </c>
      <c r="C635" s="98" t="s">
        <v>8</v>
      </c>
      <c r="D635" s="98" t="s">
        <v>26</v>
      </c>
      <c r="E635" s="175">
        <v>3.5</v>
      </c>
      <c r="F635" s="175">
        <v>35.35</v>
      </c>
      <c r="G635" s="176">
        <v>123.72499999999999</v>
      </c>
      <c r="H635" s="101">
        <v>63</v>
      </c>
      <c r="K635"/>
    </row>
    <row r="636" spans="1:11" x14ac:dyDescent="0.25">
      <c r="A636" s="174">
        <v>40999</v>
      </c>
      <c r="B636" s="161" t="s">
        <v>745</v>
      </c>
      <c r="C636" s="98" t="s">
        <v>8</v>
      </c>
      <c r="D636" s="98" t="s">
        <v>26</v>
      </c>
      <c r="E636" s="175">
        <v>1.5</v>
      </c>
      <c r="F636" s="175">
        <v>35.35</v>
      </c>
      <c r="G636" s="176">
        <v>53.024999999999999</v>
      </c>
      <c r="H636" s="101">
        <v>63</v>
      </c>
      <c r="K636"/>
    </row>
    <row r="637" spans="1:11" x14ac:dyDescent="0.25">
      <c r="A637" s="174">
        <v>40999</v>
      </c>
      <c r="B637" s="161" t="s">
        <v>745</v>
      </c>
      <c r="C637" s="98" t="s">
        <v>8</v>
      </c>
      <c r="D637" s="98" t="s">
        <v>26</v>
      </c>
      <c r="E637" s="175">
        <v>4</v>
      </c>
      <c r="F637" s="175">
        <v>35.35</v>
      </c>
      <c r="G637" s="176">
        <v>141.4</v>
      </c>
      <c r="H637" s="101">
        <v>63</v>
      </c>
      <c r="K637"/>
    </row>
    <row r="638" spans="1:11" x14ac:dyDescent="0.25">
      <c r="A638" s="177" t="s">
        <v>643</v>
      </c>
      <c r="B638" s="178" t="s">
        <v>872</v>
      </c>
      <c r="C638" s="179" t="s">
        <v>643</v>
      </c>
      <c r="D638" s="179" t="s">
        <v>643</v>
      </c>
      <c r="E638" s="180"/>
      <c r="F638" s="180"/>
      <c r="G638" s="181">
        <v>7087.5150000000003</v>
      </c>
      <c r="H638" s="188" t="s">
        <v>643</v>
      </c>
      <c r="K638"/>
    </row>
    <row r="639" spans="1:11" x14ac:dyDescent="0.25">
      <c r="A639" s="174" t="s">
        <v>643</v>
      </c>
      <c r="B639" s="161" t="s">
        <v>643</v>
      </c>
      <c r="C639" s="98" t="s">
        <v>643</v>
      </c>
      <c r="D639" s="98" t="s">
        <v>643</v>
      </c>
      <c r="E639" s="175"/>
      <c r="F639" s="175"/>
      <c r="G639" s="176"/>
      <c r="H639" s="101" t="s">
        <v>643</v>
      </c>
      <c r="K639"/>
    </row>
    <row r="640" spans="1:11" x14ac:dyDescent="0.25">
      <c r="A640" s="171" t="s">
        <v>643</v>
      </c>
      <c r="B640" s="164" t="s">
        <v>1181</v>
      </c>
      <c r="C640" s="100" t="s">
        <v>643</v>
      </c>
      <c r="D640" s="100" t="s">
        <v>643</v>
      </c>
      <c r="E640" s="172"/>
      <c r="F640" s="172"/>
      <c r="G640" s="173"/>
      <c r="H640" s="187" t="s">
        <v>643</v>
      </c>
      <c r="K640"/>
    </row>
    <row r="641" spans="1:11" x14ac:dyDescent="0.25">
      <c r="A641" s="174">
        <v>40847</v>
      </c>
      <c r="B641" s="161" t="s">
        <v>873</v>
      </c>
      <c r="C641" s="98" t="s">
        <v>874</v>
      </c>
      <c r="D641" s="98" t="s">
        <v>715</v>
      </c>
      <c r="E641" s="175">
        <v>9518</v>
      </c>
      <c r="F641" s="175">
        <v>7.25</v>
      </c>
      <c r="G641" s="176">
        <v>69005.5</v>
      </c>
      <c r="H641" s="101">
        <v>64</v>
      </c>
      <c r="K641"/>
    </row>
    <row r="642" spans="1:11" x14ac:dyDescent="0.25">
      <c r="A642" s="174">
        <v>40885</v>
      </c>
      <c r="B642" s="161" t="s">
        <v>875</v>
      </c>
      <c r="C642" s="98" t="s">
        <v>874</v>
      </c>
      <c r="D642" s="98" t="s">
        <v>715</v>
      </c>
      <c r="E642" s="175">
        <v>9708</v>
      </c>
      <c r="F642" s="175">
        <v>5.82</v>
      </c>
      <c r="G642" s="176">
        <v>56500.56</v>
      </c>
      <c r="H642" s="101">
        <v>64</v>
      </c>
      <c r="K642"/>
    </row>
    <row r="643" spans="1:11" x14ac:dyDescent="0.25">
      <c r="A643" s="174">
        <v>41030</v>
      </c>
      <c r="B643" s="161" t="s">
        <v>876</v>
      </c>
      <c r="C643" s="98" t="s">
        <v>877</v>
      </c>
      <c r="D643" s="98" t="s">
        <v>715</v>
      </c>
      <c r="E643" s="175">
        <v>1</v>
      </c>
      <c r="F643" s="175">
        <v>5100</v>
      </c>
      <c r="G643" s="176">
        <v>5100</v>
      </c>
      <c r="H643" s="101">
        <v>64</v>
      </c>
      <c r="K643"/>
    </row>
    <row r="644" spans="1:11" x14ac:dyDescent="0.25">
      <c r="A644" s="174">
        <v>41039</v>
      </c>
      <c r="B644" s="161" t="s">
        <v>745</v>
      </c>
      <c r="C644" s="98" t="s">
        <v>8</v>
      </c>
      <c r="D644" s="98" t="s">
        <v>26</v>
      </c>
      <c r="E644" s="175">
        <v>3</v>
      </c>
      <c r="F644" s="175">
        <v>35.35</v>
      </c>
      <c r="G644" s="176">
        <v>106.05</v>
      </c>
      <c r="H644" s="101">
        <v>64</v>
      </c>
      <c r="K644"/>
    </row>
    <row r="645" spans="1:11" x14ac:dyDescent="0.25">
      <c r="A645" s="174">
        <v>41039</v>
      </c>
      <c r="B645" s="161" t="s">
        <v>745</v>
      </c>
      <c r="C645" s="98" t="s">
        <v>8</v>
      </c>
      <c r="D645" s="98" t="s">
        <v>26</v>
      </c>
      <c r="E645" s="175">
        <v>3</v>
      </c>
      <c r="F645" s="175">
        <v>35.35</v>
      </c>
      <c r="G645" s="176">
        <v>106.05</v>
      </c>
      <c r="H645" s="101">
        <v>64</v>
      </c>
      <c r="K645"/>
    </row>
    <row r="646" spans="1:11" x14ac:dyDescent="0.25">
      <c r="A646" s="174">
        <v>41039</v>
      </c>
      <c r="B646" s="161" t="s">
        <v>745</v>
      </c>
      <c r="C646" s="98" t="s">
        <v>8</v>
      </c>
      <c r="D646" s="98" t="s">
        <v>26</v>
      </c>
      <c r="E646" s="175">
        <v>3</v>
      </c>
      <c r="F646" s="175">
        <v>35.35</v>
      </c>
      <c r="G646" s="176">
        <v>106.05</v>
      </c>
      <c r="H646" s="101">
        <v>64</v>
      </c>
      <c r="K646"/>
    </row>
    <row r="647" spans="1:11" x14ac:dyDescent="0.25">
      <c r="A647" s="174">
        <v>41039</v>
      </c>
      <c r="B647" s="161" t="s">
        <v>745</v>
      </c>
      <c r="C647" s="98" t="s">
        <v>8</v>
      </c>
      <c r="D647" s="98" t="s">
        <v>26</v>
      </c>
      <c r="E647" s="175">
        <v>3</v>
      </c>
      <c r="F647" s="175">
        <v>35.35</v>
      </c>
      <c r="G647" s="176">
        <v>106.05</v>
      </c>
      <c r="H647" s="101">
        <v>64</v>
      </c>
      <c r="K647"/>
    </row>
    <row r="648" spans="1:11" x14ac:dyDescent="0.25">
      <c r="A648" s="174">
        <v>41039</v>
      </c>
      <c r="B648" s="161" t="s">
        <v>362</v>
      </c>
      <c r="C648" s="98" t="s">
        <v>878</v>
      </c>
      <c r="D648" s="98" t="s">
        <v>26</v>
      </c>
      <c r="E648" s="175">
        <v>1</v>
      </c>
      <c r="F648" s="175">
        <v>25.78</v>
      </c>
      <c r="G648" s="176">
        <v>25.78</v>
      </c>
      <c r="H648" s="101">
        <v>64</v>
      </c>
      <c r="K648"/>
    </row>
    <row r="649" spans="1:11" x14ac:dyDescent="0.25">
      <c r="A649" s="174">
        <v>41040</v>
      </c>
      <c r="B649" s="161" t="s">
        <v>362</v>
      </c>
      <c r="C649" s="98" t="s">
        <v>878</v>
      </c>
      <c r="D649" s="98" t="s">
        <v>26</v>
      </c>
      <c r="E649" s="175">
        <v>1</v>
      </c>
      <c r="F649" s="175">
        <v>25.78</v>
      </c>
      <c r="G649" s="176">
        <v>25.78</v>
      </c>
      <c r="H649" s="101">
        <v>64</v>
      </c>
      <c r="K649"/>
    </row>
    <row r="650" spans="1:11" x14ac:dyDescent="0.25">
      <c r="A650" s="177" t="s">
        <v>643</v>
      </c>
      <c r="B650" s="178" t="s">
        <v>879</v>
      </c>
      <c r="C650" s="179" t="s">
        <v>643</v>
      </c>
      <c r="D650" s="179" t="s">
        <v>643</v>
      </c>
      <c r="E650" s="180"/>
      <c r="F650" s="180"/>
      <c r="G650" s="181">
        <v>131081.82</v>
      </c>
      <c r="H650" s="188" t="s">
        <v>643</v>
      </c>
      <c r="K650"/>
    </row>
    <row r="651" spans="1:11" x14ac:dyDescent="0.25">
      <c r="A651" s="174" t="s">
        <v>643</v>
      </c>
      <c r="B651" s="161" t="s">
        <v>643</v>
      </c>
      <c r="C651" s="98" t="s">
        <v>643</v>
      </c>
      <c r="D651" s="98" t="s">
        <v>643</v>
      </c>
      <c r="E651" s="175"/>
      <c r="F651" s="175"/>
      <c r="G651" s="176"/>
      <c r="H651" s="101" t="s">
        <v>643</v>
      </c>
      <c r="K651"/>
    </row>
    <row r="652" spans="1:11" x14ac:dyDescent="0.25">
      <c r="A652" s="171" t="s">
        <v>643</v>
      </c>
      <c r="B652" s="164" t="s">
        <v>1182</v>
      </c>
      <c r="C652" s="100" t="s">
        <v>643</v>
      </c>
      <c r="D652" s="100" t="s">
        <v>643</v>
      </c>
      <c r="E652" s="172"/>
      <c r="F652" s="172"/>
      <c r="G652" s="173"/>
      <c r="H652" s="187" t="s">
        <v>643</v>
      </c>
      <c r="K652"/>
    </row>
    <row r="653" spans="1:11" x14ac:dyDescent="0.25">
      <c r="A653" s="174">
        <v>41043</v>
      </c>
      <c r="B653" s="161" t="s">
        <v>880</v>
      </c>
      <c r="C653" s="98" t="s">
        <v>881</v>
      </c>
      <c r="D653" s="98" t="s">
        <v>715</v>
      </c>
      <c r="E653" s="175">
        <v>54.5</v>
      </c>
      <c r="F653" s="175">
        <v>299.51</v>
      </c>
      <c r="G653" s="176">
        <v>16323.295</v>
      </c>
      <c r="H653" s="101">
        <v>65</v>
      </c>
      <c r="K653"/>
    </row>
    <row r="654" spans="1:11" x14ac:dyDescent="0.25">
      <c r="A654" s="174">
        <v>41043</v>
      </c>
      <c r="B654" s="161" t="s">
        <v>882</v>
      </c>
      <c r="C654" s="98" t="s">
        <v>881</v>
      </c>
      <c r="D654" s="98" t="s">
        <v>715</v>
      </c>
      <c r="E654" s="175">
        <v>212.9</v>
      </c>
      <c r="F654" s="175">
        <v>299.51</v>
      </c>
      <c r="G654" s="176">
        <v>63765.678999999996</v>
      </c>
      <c r="H654" s="101">
        <v>65</v>
      </c>
      <c r="K654"/>
    </row>
    <row r="655" spans="1:11" x14ac:dyDescent="0.25">
      <c r="A655" s="177" t="s">
        <v>643</v>
      </c>
      <c r="B655" s="178" t="s">
        <v>883</v>
      </c>
      <c r="C655" s="179" t="s">
        <v>643</v>
      </c>
      <c r="D655" s="179" t="s">
        <v>643</v>
      </c>
      <c r="E655" s="180"/>
      <c r="F655" s="180"/>
      <c r="G655" s="181">
        <v>80088.974000000002</v>
      </c>
      <c r="H655" s="188" t="s">
        <v>643</v>
      </c>
      <c r="K655"/>
    </row>
    <row r="656" spans="1:11" x14ac:dyDescent="0.25">
      <c r="A656" s="174" t="s">
        <v>643</v>
      </c>
      <c r="B656" s="161" t="s">
        <v>643</v>
      </c>
      <c r="C656" s="98" t="s">
        <v>643</v>
      </c>
      <c r="D656" s="98" t="s">
        <v>643</v>
      </c>
      <c r="E656" s="175"/>
      <c r="F656" s="175"/>
      <c r="G656" s="176"/>
      <c r="H656" s="101" t="s">
        <v>643</v>
      </c>
      <c r="K656"/>
    </row>
    <row r="657" spans="1:11" x14ac:dyDescent="0.25">
      <c r="A657" s="171" t="s">
        <v>643</v>
      </c>
      <c r="B657" s="164" t="s">
        <v>1183</v>
      </c>
      <c r="C657" s="100" t="s">
        <v>643</v>
      </c>
      <c r="D657" s="100" t="s">
        <v>643</v>
      </c>
      <c r="E657" s="172"/>
      <c r="F657" s="172"/>
      <c r="G657" s="173"/>
      <c r="H657" s="187" t="s">
        <v>643</v>
      </c>
      <c r="K657"/>
    </row>
    <row r="658" spans="1:11" x14ac:dyDescent="0.25">
      <c r="A658" s="174">
        <v>40968</v>
      </c>
      <c r="B658" s="161" t="s">
        <v>884</v>
      </c>
      <c r="C658" s="98" t="s">
        <v>885</v>
      </c>
      <c r="D658" s="98" t="s">
        <v>715</v>
      </c>
      <c r="E658" s="175">
        <v>1</v>
      </c>
      <c r="F658" s="175">
        <v>2580</v>
      </c>
      <c r="G658" s="176">
        <v>2580</v>
      </c>
      <c r="H658" s="101">
        <v>66</v>
      </c>
      <c r="K658"/>
    </row>
    <row r="659" spans="1:11" x14ac:dyDescent="0.25">
      <c r="A659" s="177" t="s">
        <v>643</v>
      </c>
      <c r="B659" s="178" t="s">
        <v>886</v>
      </c>
      <c r="C659" s="179" t="s">
        <v>643</v>
      </c>
      <c r="D659" s="179" t="s">
        <v>643</v>
      </c>
      <c r="E659" s="180"/>
      <c r="F659" s="180"/>
      <c r="G659" s="181">
        <v>2580</v>
      </c>
      <c r="H659" s="188" t="s">
        <v>643</v>
      </c>
      <c r="K659"/>
    </row>
    <row r="660" spans="1:11" x14ac:dyDescent="0.25">
      <c r="A660" s="174" t="s">
        <v>643</v>
      </c>
      <c r="B660" s="161" t="s">
        <v>643</v>
      </c>
      <c r="C660" s="98" t="s">
        <v>643</v>
      </c>
      <c r="D660" s="98" t="s">
        <v>643</v>
      </c>
      <c r="E660" s="175"/>
      <c r="F660" s="175"/>
      <c r="G660" s="176"/>
      <c r="H660" s="101" t="s">
        <v>643</v>
      </c>
      <c r="K660"/>
    </row>
    <row r="661" spans="1:11" x14ac:dyDescent="0.25">
      <c r="A661" s="171" t="s">
        <v>643</v>
      </c>
      <c r="B661" s="164" t="s">
        <v>1184</v>
      </c>
      <c r="C661" s="100" t="s">
        <v>643</v>
      </c>
      <c r="D661" s="100" t="s">
        <v>643</v>
      </c>
      <c r="E661" s="172"/>
      <c r="F661" s="172"/>
      <c r="G661" s="173"/>
      <c r="H661" s="187" t="s">
        <v>643</v>
      </c>
      <c r="K661"/>
    </row>
    <row r="662" spans="1:11" x14ac:dyDescent="0.25">
      <c r="A662" s="174">
        <v>40849</v>
      </c>
      <c r="B662" s="161" t="s">
        <v>757</v>
      </c>
      <c r="C662" s="98" t="s">
        <v>758</v>
      </c>
      <c r="D662" s="98" t="s">
        <v>26</v>
      </c>
      <c r="E662" s="175">
        <v>9</v>
      </c>
      <c r="F662" s="175">
        <v>90</v>
      </c>
      <c r="G662" s="176">
        <v>810</v>
      </c>
      <c r="H662" s="101">
        <v>67</v>
      </c>
      <c r="K662"/>
    </row>
    <row r="663" spans="1:11" x14ac:dyDescent="0.25">
      <c r="A663" s="174">
        <v>40895</v>
      </c>
      <c r="B663" s="161" t="s">
        <v>887</v>
      </c>
      <c r="C663" s="98" t="s">
        <v>775</v>
      </c>
      <c r="D663" s="98" t="s">
        <v>26</v>
      </c>
      <c r="E663" s="175">
        <v>2</v>
      </c>
      <c r="F663" s="175">
        <v>65</v>
      </c>
      <c r="G663" s="176">
        <v>130</v>
      </c>
      <c r="H663" s="101">
        <v>67</v>
      </c>
      <c r="K663"/>
    </row>
    <row r="664" spans="1:11" x14ac:dyDescent="0.25">
      <c r="A664" s="174">
        <v>40895</v>
      </c>
      <c r="B664" s="161" t="s">
        <v>776</v>
      </c>
      <c r="C664" s="98" t="s">
        <v>775</v>
      </c>
      <c r="D664" s="98" t="s">
        <v>26</v>
      </c>
      <c r="E664" s="175">
        <v>9.5</v>
      </c>
      <c r="F664" s="175">
        <v>95</v>
      </c>
      <c r="G664" s="176">
        <v>902.5</v>
      </c>
      <c r="H664" s="101">
        <v>67</v>
      </c>
      <c r="K664"/>
    </row>
    <row r="665" spans="1:11" x14ac:dyDescent="0.25">
      <c r="A665" s="174">
        <v>40896</v>
      </c>
      <c r="B665" s="161" t="s">
        <v>776</v>
      </c>
      <c r="C665" s="98" t="s">
        <v>775</v>
      </c>
      <c r="D665" s="98" t="s">
        <v>26</v>
      </c>
      <c r="E665" s="175">
        <v>9.5</v>
      </c>
      <c r="F665" s="175">
        <v>95</v>
      </c>
      <c r="G665" s="176">
        <v>902.5</v>
      </c>
      <c r="H665" s="101">
        <v>67</v>
      </c>
      <c r="K665"/>
    </row>
    <row r="666" spans="1:11" x14ac:dyDescent="0.25">
      <c r="A666" s="174">
        <v>40896</v>
      </c>
      <c r="B666" s="161" t="s">
        <v>887</v>
      </c>
      <c r="C666" s="98" t="s">
        <v>775</v>
      </c>
      <c r="D666" s="98" t="s">
        <v>26</v>
      </c>
      <c r="E666" s="175">
        <v>5</v>
      </c>
      <c r="F666" s="175">
        <v>65</v>
      </c>
      <c r="G666" s="176">
        <v>325</v>
      </c>
      <c r="H666" s="101">
        <v>67</v>
      </c>
      <c r="K666"/>
    </row>
    <row r="667" spans="1:11" x14ac:dyDescent="0.25">
      <c r="A667" s="174">
        <v>40897</v>
      </c>
      <c r="B667" s="161" t="s">
        <v>888</v>
      </c>
      <c r="C667" s="98" t="s">
        <v>889</v>
      </c>
      <c r="D667" s="98" t="s">
        <v>26</v>
      </c>
      <c r="E667" s="175">
        <v>8</v>
      </c>
      <c r="F667" s="175">
        <v>80</v>
      </c>
      <c r="G667" s="176">
        <v>640</v>
      </c>
      <c r="H667" s="101">
        <v>67</v>
      </c>
      <c r="K667"/>
    </row>
    <row r="668" spans="1:11" x14ac:dyDescent="0.25">
      <c r="A668" s="174">
        <v>40897</v>
      </c>
      <c r="B668" s="161" t="s">
        <v>776</v>
      </c>
      <c r="C668" s="98" t="s">
        <v>775</v>
      </c>
      <c r="D668" s="98" t="s">
        <v>26</v>
      </c>
      <c r="E668" s="175">
        <v>5.5</v>
      </c>
      <c r="F668" s="175">
        <v>95</v>
      </c>
      <c r="G668" s="176">
        <v>522.5</v>
      </c>
      <c r="H668" s="101">
        <v>67</v>
      </c>
      <c r="K668"/>
    </row>
    <row r="669" spans="1:11" x14ac:dyDescent="0.25">
      <c r="A669" s="174">
        <v>40898</v>
      </c>
      <c r="B669" s="161" t="s">
        <v>776</v>
      </c>
      <c r="C669" s="98" t="s">
        <v>775</v>
      </c>
      <c r="D669" s="98" t="s">
        <v>26</v>
      </c>
      <c r="E669" s="175">
        <v>2</v>
      </c>
      <c r="F669" s="175">
        <v>95</v>
      </c>
      <c r="G669" s="176">
        <v>190</v>
      </c>
      <c r="H669" s="101">
        <v>67</v>
      </c>
      <c r="K669"/>
    </row>
    <row r="670" spans="1:11" x14ac:dyDescent="0.25">
      <c r="A670" s="174">
        <v>40898</v>
      </c>
      <c r="B670" s="161" t="s">
        <v>888</v>
      </c>
      <c r="C670" s="98" t="s">
        <v>889</v>
      </c>
      <c r="D670" s="98" t="s">
        <v>26</v>
      </c>
      <c r="E670" s="175">
        <v>5.5</v>
      </c>
      <c r="F670" s="175">
        <v>80</v>
      </c>
      <c r="G670" s="176">
        <v>440</v>
      </c>
      <c r="H670" s="101">
        <v>67</v>
      </c>
      <c r="K670"/>
    </row>
    <row r="671" spans="1:11" x14ac:dyDescent="0.25">
      <c r="A671" s="174">
        <v>40925</v>
      </c>
      <c r="B671" s="161" t="s">
        <v>745</v>
      </c>
      <c r="C671" s="98" t="s">
        <v>8</v>
      </c>
      <c r="D671" s="98" t="s">
        <v>26</v>
      </c>
      <c r="E671" s="175">
        <v>6</v>
      </c>
      <c r="F671" s="175">
        <v>35.35</v>
      </c>
      <c r="G671" s="176">
        <v>212.1</v>
      </c>
      <c r="H671" s="101">
        <v>67</v>
      </c>
      <c r="K671"/>
    </row>
    <row r="672" spans="1:11" x14ac:dyDescent="0.25">
      <c r="A672" s="174">
        <v>40925</v>
      </c>
      <c r="B672" s="161" t="s">
        <v>745</v>
      </c>
      <c r="C672" s="98" t="s">
        <v>8</v>
      </c>
      <c r="D672" s="98" t="s">
        <v>26</v>
      </c>
      <c r="E672" s="175">
        <v>6</v>
      </c>
      <c r="F672" s="175">
        <v>35.35</v>
      </c>
      <c r="G672" s="176">
        <v>212.1</v>
      </c>
      <c r="H672" s="101">
        <v>67</v>
      </c>
      <c r="K672"/>
    </row>
    <row r="673" spans="1:11" x14ac:dyDescent="0.25">
      <c r="A673" s="174">
        <v>40925</v>
      </c>
      <c r="B673" s="161" t="s">
        <v>776</v>
      </c>
      <c r="C673" s="98" t="s">
        <v>775</v>
      </c>
      <c r="D673" s="98" t="s">
        <v>26</v>
      </c>
      <c r="E673" s="175">
        <v>3</v>
      </c>
      <c r="F673" s="175">
        <v>95</v>
      </c>
      <c r="G673" s="176">
        <v>285</v>
      </c>
      <c r="H673" s="101">
        <v>67</v>
      </c>
      <c r="K673"/>
    </row>
    <row r="674" spans="1:11" x14ac:dyDescent="0.25">
      <c r="A674" s="174">
        <v>40925</v>
      </c>
      <c r="B674" s="161" t="s">
        <v>742</v>
      </c>
      <c r="C674" s="98" t="s">
        <v>8</v>
      </c>
      <c r="D674" s="98" t="s">
        <v>26</v>
      </c>
      <c r="E674" s="175">
        <v>6</v>
      </c>
      <c r="F674" s="175">
        <v>44.2</v>
      </c>
      <c r="G674" s="176">
        <v>265.2</v>
      </c>
      <c r="H674" s="101">
        <v>67</v>
      </c>
      <c r="K674"/>
    </row>
    <row r="675" spans="1:11" x14ac:dyDescent="0.25">
      <c r="A675" s="174">
        <v>40925</v>
      </c>
      <c r="B675" s="161" t="s">
        <v>890</v>
      </c>
      <c r="C675" s="98" t="s">
        <v>8</v>
      </c>
      <c r="D675" s="98" t="s">
        <v>26</v>
      </c>
      <c r="E675" s="175">
        <v>6</v>
      </c>
      <c r="F675" s="175">
        <v>35.35</v>
      </c>
      <c r="G675" s="176">
        <v>212.1</v>
      </c>
      <c r="H675" s="101">
        <v>67</v>
      </c>
      <c r="K675"/>
    </row>
    <row r="676" spans="1:11" x14ac:dyDescent="0.25">
      <c r="A676" s="174">
        <v>40925</v>
      </c>
      <c r="B676" s="161" t="s">
        <v>745</v>
      </c>
      <c r="C676" s="98" t="s">
        <v>8</v>
      </c>
      <c r="D676" s="98" t="s">
        <v>26</v>
      </c>
      <c r="E676" s="175">
        <v>6</v>
      </c>
      <c r="F676" s="175">
        <v>35.35</v>
      </c>
      <c r="G676" s="176">
        <v>212.1</v>
      </c>
      <c r="H676" s="101">
        <v>67</v>
      </c>
      <c r="K676"/>
    </row>
    <row r="677" spans="1:11" x14ac:dyDescent="0.25">
      <c r="A677" s="174">
        <v>40966</v>
      </c>
      <c r="B677" s="161" t="s">
        <v>745</v>
      </c>
      <c r="C677" s="98" t="s">
        <v>8</v>
      </c>
      <c r="D677" s="98" t="s">
        <v>26</v>
      </c>
      <c r="E677" s="175">
        <v>8</v>
      </c>
      <c r="F677" s="175">
        <v>35.35</v>
      </c>
      <c r="G677" s="176">
        <v>282.8</v>
      </c>
      <c r="H677" s="101">
        <v>67</v>
      </c>
      <c r="K677"/>
    </row>
    <row r="678" spans="1:11" x14ac:dyDescent="0.25">
      <c r="A678" s="174">
        <v>40966</v>
      </c>
      <c r="B678" s="161" t="s">
        <v>745</v>
      </c>
      <c r="C678" s="98" t="s">
        <v>8</v>
      </c>
      <c r="D678" s="98" t="s">
        <v>26</v>
      </c>
      <c r="E678" s="175">
        <v>8</v>
      </c>
      <c r="F678" s="175">
        <v>35.35</v>
      </c>
      <c r="G678" s="176">
        <v>282.8</v>
      </c>
      <c r="H678" s="101">
        <v>67</v>
      </c>
      <c r="K678"/>
    </row>
    <row r="679" spans="1:11" x14ac:dyDescent="0.25">
      <c r="A679" s="174">
        <v>40989</v>
      </c>
      <c r="B679" s="161" t="s">
        <v>745</v>
      </c>
      <c r="C679" s="98" t="s">
        <v>8</v>
      </c>
      <c r="D679" s="98" t="s">
        <v>26</v>
      </c>
      <c r="E679" s="175">
        <v>1</v>
      </c>
      <c r="F679" s="175">
        <v>35.35</v>
      </c>
      <c r="G679" s="176">
        <v>35.35</v>
      </c>
      <c r="H679" s="101">
        <v>67</v>
      </c>
      <c r="K679"/>
    </row>
    <row r="680" spans="1:11" x14ac:dyDescent="0.25">
      <c r="A680" s="174">
        <v>40989</v>
      </c>
      <c r="B680" s="161" t="s">
        <v>745</v>
      </c>
      <c r="C680" s="98" t="s">
        <v>8</v>
      </c>
      <c r="D680" s="98" t="s">
        <v>26</v>
      </c>
      <c r="E680" s="175">
        <v>1</v>
      </c>
      <c r="F680" s="175">
        <v>35.35</v>
      </c>
      <c r="G680" s="176">
        <v>35.35</v>
      </c>
      <c r="H680" s="101">
        <v>67</v>
      </c>
      <c r="K680"/>
    </row>
    <row r="681" spans="1:11" x14ac:dyDescent="0.25">
      <c r="A681" s="177" t="s">
        <v>643</v>
      </c>
      <c r="B681" s="178" t="s">
        <v>891</v>
      </c>
      <c r="C681" s="179" t="s">
        <v>643</v>
      </c>
      <c r="D681" s="179" t="s">
        <v>643</v>
      </c>
      <c r="E681" s="180"/>
      <c r="F681" s="180"/>
      <c r="G681" s="181">
        <v>6897.4</v>
      </c>
      <c r="H681" s="188" t="s">
        <v>643</v>
      </c>
      <c r="K681"/>
    </row>
    <row r="682" spans="1:11" x14ac:dyDescent="0.25">
      <c r="A682" s="174" t="s">
        <v>643</v>
      </c>
      <c r="B682" s="161" t="s">
        <v>643</v>
      </c>
      <c r="C682" s="98" t="s">
        <v>643</v>
      </c>
      <c r="D682" s="98" t="s">
        <v>643</v>
      </c>
      <c r="E682" s="175"/>
      <c r="F682" s="175"/>
      <c r="G682" s="176"/>
      <c r="H682" s="101" t="s">
        <v>643</v>
      </c>
      <c r="K682"/>
    </row>
    <row r="683" spans="1:11" x14ac:dyDescent="0.25">
      <c r="A683" s="171" t="s">
        <v>643</v>
      </c>
      <c r="B683" s="164" t="s">
        <v>1185</v>
      </c>
      <c r="C683" s="100" t="s">
        <v>643</v>
      </c>
      <c r="D683" s="100" t="s">
        <v>643</v>
      </c>
      <c r="E683" s="172"/>
      <c r="F683" s="172"/>
      <c r="G683" s="173"/>
      <c r="H683" s="187" t="s">
        <v>643</v>
      </c>
      <c r="K683"/>
    </row>
    <row r="684" spans="1:11" x14ac:dyDescent="0.25">
      <c r="A684" s="174">
        <v>40811</v>
      </c>
      <c r="B684" s="161" t="s">
        <v>748</v>
      </c>
      <c r="C684" s="98" t="s">
        <v>747</v>
      </c>
      <c r="D684" s="98" t="s">
        <v>26</v>
      </c>
      <c r="E684" s="175">
        <v>2.5</v>
      </c>
      <c r="F684" s="175">
        <v>90</v>
      </c>
      <c r="G684" s="176">
        <v>225</v>
      </c>
      <c r="H684" s="101">
        <v>68</v>
      </c>
      <c r="K684"/>
    </row>
    <row r="685" spans="1:11" x14ac:dyDescent="0.25">
      <c r="A685" s="174">
        <v>40836</v>
      </c>
      <c r="B685" s="161" t="s">
        <v>745</v>
      </c>
      <c r="C685" s="98" t="s">
        <v>8</v>
      </c>
      <c r="D685" s="98" t="s">
        <v>26</v>
      </c>
      <c r="E685" s="175">
        <v>3</v>
      </c>
      <c r="F685" s="175">
        <v>35.35</v>
      </c>
      <c r="G685" s="176">
        <v>106.05</v>
      </c>
      <c r="H685" s="101">
        <v>68</v>
      </c>
      <c r="K685"/>
    </row>
    <row r="686" spans="1:11" x14ac:dyDescent="0.25">
      <c r="A686" s="174">
        <v>40836</v>
      </c>
      <c r="B686" s="161" t="s">
        <v>349</v>
      </c>
      <c r="C686" s="98" t="s">
        <v>827</v>
      </c>
      <c r="D686" s="98" t="s">
        <v>26</v>
      </c>
      <c r="E686" s="175">
        <v>2.5</v>
      </c>
      <c r="F686" s="175">
        <v>66.069999999999993</v>
      </c>
      <c r="G686" s="176">
        <v>165.17500000000001</v>
      </c>
      <c r="H686" s="101">
        <v>68</v>
      </c>
      <c r="K686"/>
    </row>
    <row r="687" spans="1:11" x14ac:dyDescent="0.25">
      <c r="A687" s="174">
        <v>40841</v>
      </c>
      <c r="B687" s="161" t="s">
        <v>373</v>
      </c>
      <c r="C687" s="98" t="s">
        <v>892</v>
      </c>
      <c r="D687" s="98" t="s">
        <v>26</v>
      </c>
      <c r="E687" s="175">
        <v>1</v>
      </c>
      <c r="F687" s="175">
        <v>21.61</v>
      </c>
      <c r="G687" s="176">
        <v>21.61</v>
      </c>
      <c r="H687" s="101">
        <v>68</v>
      </c>
      <c r="K687"/>
    </row>
    <row r="688" spans="1:11" x14ac:dyDescent="0.25">
      <c r="A688" s="174">
        <v>40841</v>
      </c>
      <c r="B688" s="161" t="s">
        <v>349</v>
      </c>
      <c r="C688" s="98" t="s">
        <v>827</v>
      </c>
      <c r="D688" s="98" t="s">
        <v>26</v>
      </c>
      <c r="E688" s="175">
        <v>1.5</v>
      </c>
      <c r="F688" s="175">
        <v>66.069999999999993</v>
      </c>
      <c r="G688" s="176">
        <v>99.105000000000004</v>
      </c>
      <c r="H688" s="101">
        <v>68</v>
      </c>
      <c r="K688"/>
    </row>
    <row r="689" spans="1:11" x14ac:dyDescent="0.25">
      <c r="A689" s="174">
        <v>40841</v>
      </c>
      <c r="B689" s="161" t="s">
        <v>745</v>
      </c>
      <c r="C689" s="98" t="s">
        <v>8</v>
      </c>
      <c r="D689" s="98" t="s">
        <v>26</v>
      </c>
      <c r="E689" s="175">
        <v>2</v>
      </c>
      <c r="F689" s="175">
        <v>35.35</v>
      </c>
      <c r="G689" s="176">
        <v>70.7</v>
      </c>
      <c r="H689" s="101">
        <v>68</v>
      </c>
      <c r="K689"/>
    </row>
    <row r="690" spans="1:11" x14ac:dyDescent="0.25">
      <c r="A690" s="174">
        <v>40841</v>
      </c>
      <c r="B690" s="161" t="s">
        <v>745</v>
      </c>
      <c r="C690" s="98" t="s">
        <v>8</v>
      </c>
      <c r="D690" s="98" t="s">
        <v>26</v>
      </c>
      <c r="E690" s="175">
        <v>3.5</v>
      </c>
      <c r="F690" s="175">
        <v>35.35</v>
      </c>
      <c r="G690" s="176">
        <v>123.72499999999999</v>
      </c>
      <c r="H690" s="101">
        <v>68</v>
      </c>
      <c r="K690"/>
    </row>
    <row r="691" spans="1:11" x14ac:dyDescent="0.25">
      <c r="A691" s="174">
        <v>40841</v>
      </c>
      <c r="B691" s="161" t="s">
        <v>745</v>
      </c>
      <c r="C691" s="98" t="s">
        <v>8</v>
      </c>
      <c r="D691" s="98" t="s">
        <v>26</v>
      </c>
      <c r="E691" s="175">
        <v>3</v>
      </c>
      <c r="F691" s="175">
        <v>35.35</v>
      </c>
      <c r="G691" s="176">
        <v>106.05</v>
      </c>
      <c r="H691" s="101">
        <v>68</v>
      </c>
      <c r="K691"/>
    </row>
    <row r="692" spans="1:11" x14ac:dyDescent="0.25">
      <c r="A692" s="174">
        <v>40847</v>
      </c>
      <c r="B692" s="161" t="s">
        <v>893</v>
      </c>
      <c r="C692" s="98" t="s">
        <v>894</v>
      </c>
      <c r="D692" s="98" t="s">
        <v>715</v>
      </c>
      <c r="E692" s="175">
        <v>1</v>
      </c>
      <c r="F692" s="175">
        <v>15778.23</v>
      </c>
      <c r="G692" s="176">
        <v>15778.23</v>
      </c>
      <c r="H692" s="101">
        <v>68</v>
      </c>
      <c r="K692"/>
    </row>
    <row r="693" spans="1:11" x14ac:dyDescent="0.25">
      <c r="A693" s="174">
        <v>40850</v>
      </c>
      <c r="B693" s="161" t="s">
        <v>802</v>
      </c>
      <c r="C693" s="98" t="s">
        <v>803</v>
      </c>
      <c r="D693" s="98" t="s">
        <v>39</v>
      </c>
      <c r="E693" s="175">
        <v>1</v>
      </c>
      <c r="F693" s="175">
        <v>2500</v>
      </c>
      <c r="G693" s="176">
        <v>2500</v>
      </c>
      <c r="H693" s="101">
        <v>68</v>
      </c>
      <c r="K693"/>
    </row>
    <row r="694" spans="1:11" x14ac:dyDescent="0.25">
      <c r="A694" s="174">
        <v>40850</v>
      </c>
      <c r="B694" s="161" t="s">
        <v>745</v>
      </c>
      <c r="C694" s="98" t="s">
        <v>8</v>
      </c>
      <c r="D694" s="98" t="s">
        <v>26</v>
      </c>
      <c r="E694" s="175">
        <v>10.5</v>
      </c>
      <c r="F694" s="175">
        <v>35.35</v>
      </c>
      <c r="G694" s="176">
        <v>371.17500000000001</v>
      </c>
      <c r="H694" s="101">
        <v>68</v>
      </c>
      <c r="K694"/>
    </row>
    <row r="695" spans="1:11" x14ac:dyDescent="0.25">
      <c r="A695" s="174">
        <v>40850</v>
      </c>
      <c r="B695" s="161" t="s">
        <v>745</v>
      </c>
      <c r="C695" s="98" t="s">
        <v>8</v>
      </c>
      <c r="D695" s="98" t="s">
        <v>26</v>
      </c>
      <c r="E695" s="175">
        <v>10</v>
      </c>
      <c r="F695" s="175">
        <v>35.35</v>
      </c>
      <c r="G695" s="176">
        <v>353.5</v>
      </c>
      <c r="H695" s="101">
        <v>68</v>
      </c>
      <c r="K695"/>
    </row>
    <row r="696" spans="1:11" x14ac:dyDescent="0.25">
      <c r="A696" s="174">
        <v>40850</v>
      </c>
      <c r="B696" s="161" t="s">
        <v>745</v>
      </c>
      <c r="C696" s="98" t="s">
        <v>8</v>
      </c>
      <c r="D696" s="98" t="s">
        <v>26</v>
      </c>
      <c r="E696" s="175">
        <v>10</v>
      </c>
      <c r="F696" s="175">
        <v>35.35</v>
      </c>
      <c r="G696" s="176">
        <v>353.5</v>
      </c>
      <c r="H696" s="101">
        <v>68</v>
      </c>
      <c r="K696"/>
    </row>
    <row r="697" spans="1:11" x14ac:dyDescent="0.25">
      <c r="A697" s="174">
        <v>40850</v>
      </c>
      <c r="B697" s="161" t="s">
        <v>745</v>
      </c>
      <c r="C697" s="98" t="s">
        <v>8</v>
      </c>
      <c r="D697" s="98" t="s">
        <v>26</v>
      </c>
      <c r="E697" s="175">
        <v>10</v>
      </c>
      <c r="F697" s="175">
        <v>35.35</v>
      </c>
      <c r="G697" s="176">
        <v>353.5</v>
      </c>
      <c r="H697" s="101">
        <v>68</v>
      </c>
      <c r="K697"/>
    </row>
    <row r="698" spans="1:11" x14ac:dyDescent="0.25">
      <c r="A698" s="174">
        <v>40851</v>
      </c>
      <c r="B698" s="161" t="s">
        <v>895</v>
      </c>
      <c r="C698" s="98" t="s">
        <v>842</v>
      </c>
      <c r="D698" s="98" t="s">
        <v>715</v>
      </c>
      <c r="E698" s="175">
        <v>1</v>
      </c>
      <c r="F698" s="175">
        <v>164.63</v>
      </c>
      <c r="G698" s="176">
        <v>164.63</v>
      </c>
      <c r="H698" s="101">
        <v>68</v>
      </c>
      <c r="K698"/>
    </row>
    <row r="699" spans="1:11" x14ac:dyDescent="0.25">
      <c r="A699" s="174">
        <v>40851</v>
      </c>
      <c r="B699" s="161" t="s">
        <v>745</v>
      </c>
      <c r="C699" s="98" t="s">
        <v>8</v>
      </c>
      <c r="D699" s="98" t="s">
        <v>26</v>
      </c>
      <c r="E699" s="175">
        <v>5</v>
      </c>
      <c r="F699" s="175">
        <v>35.35</v>
      </c>
      <c r="G699" s="176">
        <v>176.75</v>
      </c>
      <c r="H699" s="101">
        <v>68</v>
      </c>
      <c r="K699"/>
    </row>
    <row r="700" spans="1:11" x14ac:dyDescent="0.25">
      <c r="A700" s="174">
        <v>40851</v>
      </c>
      <c r="B700" s="161" t="s">
        <v>745</v>
      </c>
      <c r="C700" s="98" t="s">
        <v>8</v>
      </c>
      <c r="D700" s="98" t="s">
        <v>26</v>
      </c>
      <c r="E700" s="175">
        <v>6</v>
      </c>
      <c r="F700" s="175">
        <v>35.35</v>
      </c>
      <c r="G700" s="176">
        <v>212.1</v>
      </c>
      <c r="H700" s="101">
        <v>68</v>
      </c>
      <c r="K700"/>
    </row>
    <row r="701" spans="1:11" x14ac:dyDescent="0.25">
      <c r="A701" s="174">
        <v>40851</v>
      </c>
      <c r="B701" s="161" t="s">
        <v>745</v>
      </c>
      <c r="C701" s="98" t="s">
        <v>8</v>
      </c>
      <c r="D701" s="98" t="s">
        <v>26</v>
      </c>
      <c r="E701" s="175">
        <v>6</v>
      </c>
      <c r="F701" s="175">
        <v>35.35</v>
      </c>
      <c r="G701" s="176">
        <v>212.1</v>
      </c>
      <c r="H701" s="101">
        <v>68</v>
      </c>
      <c r="K701"/>
    </row>
    <row r="702" spans="1:11" x14ac:dyDescent="0.25">
      <c r="A702" s="174">
        <v>40851</v>
      </c>
      <c r="B702" s="161" t="s">
        <v>802</v>
      </c>
      <c r="C702" s="98" t="s">
        <v>803</v>
      </c>
      <c r="D702" s="98" t="s">
        <v>39</v>
      </c>
      <c r="E702" s="175">
        <v>1</v>
      </c>
      <c r="F702" s="175">
        <v>2500</v>
      </c>
      <c r="G702" s="176">
        <v>2500</v>
      </c>
      <c r="H702" s="101">
        <v>68</v>
      </c>
      <c r="K702"/>
    </row>
    <row r="703" spans="1:11" x14ac:dyDescent="0.25">
      <c r="A703" s="174">
        <v>40852</v>
      </c>
      <c r="B703" s="161" t="s">
        <v>745</v>
      </c>
      <c r="C703" s="98" t="s">
        <v>8</v>
      </c>
      <c r="D703" s="98" t="s">
        <v>26</v>
      </c>
      <c r="E703" s="175">
        <v>2.5</v>
      </c>
      <c r="F703" s="175">
        <v>35.35</v>
      </c>
      <c r="G703" s="176">
        <v>88.375</v>
      </c>
      <c r="H703" s="101">
        <v>68</v>
      </c>
      <c r="K703"/>
    </row>
    <row r="704" spans="1:11" ht="30" x14ac:dyDescent="0.25">
      <c r="A704" s="174">
        <v>40854</v>
      </c>
      <c r="B704" s="161" t="s">
        <v>896</v>
      </c>
      <c r="C704" s="98" t="s">
        <v>897</v>
      </c>
      <c r="D704" s="98" t="s">
        <v>715</v>
      </c>
      <c r="E704" s="175">
        <v>1</v>
      </c>
      <c r="F704" s="175">
        <v>1166</v>
      </c>
      <c r="G704" s="176">
        <v>1166</v>
      </c>
      <c r="H704" s="101">
        <v>68</v>
      </c>
      <c r="K704"/>
    </row>
    <row r="705" spans="1:11" x14ac:dyDescent="0.25">
      <c r="A705" s="174">
        <v>40855</v>
      </c>
      <c r="B705" s="161" t="s">
        <v>898</v>
      </c>
      <c r="C705" s="98" t="s">
        <v>899</v>
      </c>
      <c r="D705" s="98" t="s">
        <v>715</v>
      </c>
      <c r="E705" s="175">
        <v>1</v>
      </c>
      <c r="F705" s="175">
        <v>300</v>
      </c>
      <c r="G705" s="176">
        <v>300</v>
      </c>
      <c r="H705" s="101">
        <v>68</v>
      </c>
      <c r="K705"/>
    </row>
    <row r="706" spans="1:11" x14ac:dyDescent="0.25">
      <c r="A706" s="174">
        <v>40856</v>
      </c>
      <c r="B706" s="161" t="s">
        <v>773</v>
      </c>
      <c r="C706" s="98" t="s">
        <v>774</v>
      </c>
      <c r="D706" s="98" t="s">
        <v>26</v>
      </c>
      <c r="E706" s="175">
        <v>5</v>
      </c>
      <c r="F706" s="175">
        <v>95</v>
      </c>
      <c r="G706" s="176">
        <v>475</v>
      </c>
      <c r="H706" s="101">
        <v>68</v>
      </c>
      <c r="K706"/>
    </row>
    <row r="707" spans="1:11" x14ac:dyDescent="0.25">
      <c r="A707" s="174">
        <v>40856</v>
      </c>
      <c r="B707" s="161" t="s">
        <v>829</v>
      </c>
      <c r="C707" s="98" t="s">
        <v>830</v>
      </c>
      <c r="D707" s="98" t="s">
        <v>39</v>
      </c>
      <c r="E707" s="175">
        <v>1</v>
      </c>
      <c r="F707" s="175">
        <v>365</v>
      </c>
      <c r="G707" s="176">
        <v>365</v>
      </c>
      <c r="H707" s="101">
        <v>68</v>
      </c>
      <c r="K707"/>
    </row>
    <row r="708" spans="1:11" x14ac:dyDescent="0.25">
      <c r="A708" s="174">
        <v>40856</v>
      </c>
      <c r="B708" s="161" t="s">
        <v>745</v>
      </c>
      <c r="C708" s="98" t="s">
        <v>8</v>
      </c>
      <c r="D708" s="98" t="s">
        <v>26</v>
      </c>
      <c r="E708" s="175">
        <v>4.5</v>
      </c>
      <c r="F708" s="175">
        <v>35.35</v>
      </c>
      <c r="G708" s="176">
        <v>159.07499999999999</v>
      </c>
      <c r="H708" s="101">
        <v>68</v>
      </c>
      <c r="K708"/>
    </row>
    <row r="709" spans="1:11" x14ac:dyDescent="0.25">
      <c r="A709" s="174">
        <v>40856</v>
      </c>
      <c r="B709" s="161" t="s">
        <v>745</v>
      </c>
      <c r="C709" s="98" t="s">
        <v>8</v>
      </c>
      <c r="D709" s="98" t="s">
        <v>26</v>
      </c>
      <c r="E709" s="175">
        <v>4.5</v>
      </c>
      <c r="F709" s="175">
        <v>35.35</v>
      </c>
      <c r="G709" s="176">
        <v>159.07499999999999</v>
      </c>
      <c r="H709" s="101">
        <v>68</v>
      </c>
      <c r="K709"/>
    </row>
    <row r="710" spans="1:11" x14ac:dyDescent="0.25">
      <c r="A710" s="174">
        <v>40856</v>
      </c>
      <c r="B710" s="161" t="s">
        <v>745</v>
      </c>
      <c r="C710" s="98" t="s">
        <v>8</v>
      </c>
      <c r="D710" s="98" t="s">
        <v>26</v>
      </c>
      <c r="E710" s="175">
        <v>6.5</v>
      </c>
      <c r="F710" s="175">
        <v>35.35</v>
      </c>
      <c r="G710" s="176">
        <v>229.77500000000001</v>
      </c>
      <c r="H710" s="101">
        <v>68</v>
      </c>
      <c r="K710"/>
    </row>
    <row r="711" spans="1:11" x14ac:dyDescent="0.25">
      <c r="A711" s="174">
        <v>40856</v>
      </c>
      <c r="B711" s="161" t="s">
        <v>745</v>
      </c>
      <c r="C711" s="98" t="s">
        <v>8</v>
      </c>
      <c r="D711" s="98" t="s">
        <v>26</v>
      </c>
      <c r="E711" s="175">
        <v>4.5</v>
      </c>
      <c r="F711" s="175">
        <v>35.35</v>
      </c>
      <c r="G711" s="176">
        <v>159.07499999999999</v>
      </c>
      <c r="H711" s="101">
        <v>68</v>
      </c>
      <c r="K711"/>
    </row>
    <row r="712" spans="1:11" x14ac:dyDescent="0.25">
      <c r="A712" s="174">
        <v>40857</v>
      </c>
      <c r="B712" s="161" t="s">
        <v>745</v>
      </c>
      <c r="C712" s="98" t="s">
        <v>8</v>
      </c>
      <c r="D712" s="98" t="s">
        <v>26</v>
      </c>
      <c r="E712" s="175">
        <v>9.5</v>
      </c>
      <c r="F712" s="175">
        <v>35.35</v>
      </c>
      <c r="G712" s="176">
        <v>335.82499999999999</v>
      </c>
      <c r="H712" s="101">
        <v>68</v>
      </c>
      <c r="K712"/>
    </row>
    <row r="713" spans="1:11" x14ac:dyDescent="0.25">
      <c r="A713" s="174">
        <v>40857</v>
      </c>
      <c r="B713" s="161" t="s">
        <v>373</v>
      </c>
      <c r="C713" s="98" t="s">
        <v>892</v>
      </c>
      <c r="D713" s="98" t="s">
        <v>26</v>
      </c>
      <c r="E713" s="175">
        <v>7</v>
      </c>
      <c r="F713" s="175">
        <v>21.61</v>
      </c>
      <c r="G713" s="176">
        <v>151.27000000000001</v>
      </c>
      <c r="H713" s="101">
        <v>68</v>
      </c>
      <c r="K713"/>
    </row>
    <row r="714" spans="1:11" x14ac:dyDescent="0.25">
      <c r="A714" s="174">
        <v>40857</v>
      </c>
      <c r="B714" s="161" t="s">
        <v>773</v>
      </c>
      <c r="C714" s="98" t="s">
        <v>774</v>
      </c>
      <c r="D714" s="98" t="s">
        <v>26</v>
      </c>
      <c r="E714" s="175">
        <v>4</v>
      </c>
      <c r="F714" s="175">
        <v>95</v>
      </c>
      <c r="G714" s="176">
        <v>380</v>
      </c>
      <c r="H714" s="101">
        <v>68</v>
      </c>
      <c r="K714"/>
    </row>
    <row r="715" spans="1:11" x14ac:dyDescent="0.25">
      <c r="A715" s="174">
        <v>40857</v>
      </c>
      <c r="B715" s="161" t="s">
        <v>829</v>
      </c>
      <c r="C715" s="98" t="s">
        <v>830</v>
      </c>
      <c r="D715" s="98" t="s">
        <v>39</v>
      </c>
      <c r="E715" s="175">
        <v>1</v>
      </c>
      <c r="F715" s="175">
        <v>365</v>
      </c>
      <c r="G715" s="176">
        <v>365</v>
      </c>
      <c r="H715" s="101">
        <v>68</v>
      </c>
      <c r="K715"/>
    </row>
    <row r="716" spans="1:11" x14ac:dyDescent="0.25">
      <c r="A716" s="174">
        <v>40857</v>
      </c>
      <c r="B716" s="161" t="s">
        <v>745</v>
      </c>
      <c r="C716" s="98" t="s">
        <v>8</v>
      </c>
      <c r="D716" s="98" t="s">
        <v>26</v>
      </c>
      <c r="E716" s="175">
        <v>9.5</v>
      </c>
      <c r="F716" s="175">
        <v>35.35</v>
      </c>
      <c r="G716" s="176">
        <v>335.82499999999999</v>
      </c>
      <c r="H716" s="101">
        <v>68</v>
      </c>
      <c r="K716"/>
    </row>
    <row r="717" spans="1:11" x14ac:dyDescent="0.25">
      <c r="A717" s="174">
        <v>40857</v>
      </c>
      <c r="B717" s="161" t="s">
        <v>745</v>
      </c>
      <c r="C717" s="98" t="s">
        <v>8</v>
      </c>
      <c r="D717" s="98" t="s">
        <v>26</v>
      </c>
      <c r="E717" s="175">
        <v>9.5</v>
      </c>
      <c r="F717" s="175">
        <v>35.35</v>
      </c>
      <c r="G717" s="176">
        <v>335.82499999999999</v>
      </c>
      <c r="H717" s="101">
        <v>68</v>
      </c>
      <c r="K717"/>
    </row>
    <row r="718" spans="1:11" x14ac:dyDescent="0.25">
      <c r="A718" s="174">
        <v>40857</v>
      </c>
      <c r="B718" s="161" t="s">
        <v>349</v>
      </c>
      <c r="C718" s="98" t="s">
        <v>827</v>
      </c>
      <c r="D718" s="98" t="s">
        <v>26</v>
      </c>
      <c r="E718" s="175">
        <v>7</v>
      </c>
      <c r="F718" s="175">
        <v>66.069999999999993</v>
      </c>
      <c r="G718" s="176">
        <v>462.49</v>
      </c>
      <c r="H718" s="101">
        <v>68</v>
      </c>
      <c r="K718"/>
    </row>
    <row r="719" spans="1:11" x14ac:dyDescent="0.25">
      <c r="A719" s="174">
        <v>40858</v>
      </c>
      <c r="B719" s="161" t="s">
        <v>349</v>
      </c>
      <c r="C719" s="98" t="s">
        <v>827</v>
      </c>
      <c r="D719" s="98" t="s">
        <v>26</v>
      </c>
      <c r="E719" s="175">
        <v>7</v>
      </c>
      <c r="F719" s="175">
        <v>66.069999999999993</v>
      </c>
      <c r="G719" s="176">
        <v>462.49</v>
      </c>
      <c r="H719" s="101">
        <v>68</v>
      </c>
      <c r="K719"/>
    </row>
    <row r="720" spans="1:11" x14ac:dyDescent="0.25">
      <c r="A720" s="174">
        <v>40858</v>
      </c>
      <c r="B720" s="161" t="s">
        <v>745</v>
      </c>
      <c r="C720" s="98" t="s">
        <v>8</v>
      </c>
      <c r="D720" s="98" t="s">
        <v>26</v>
      </c>
      <c r="E720" s="175">
        <v>8.5</v>
      </c>
      <c r="F720" s="175">
        <v>35.35</v>
      </c>
      <c r="G720" s="176">
        <v>300.47500000000002</v>
      </c>
      <c r="H720" s="101">
        <v>68</v>
      </c>
      <c r="K720"/>
    </row>
    <row r="721" spans="1:11" x14ac:dyDescent="0.25">
      <c r="A721" s="174">
        <v>40858</v>
      </c>
      <c r="B721" s="161" t="s">
        <v>373</v>
      </c>
      <c r="C721" s="98" t="s">
        <v>892</v>
      </c>
      <c r="D721" s="98" t="s">
        <v>26</v>
      </c>
      <c r="E721" s="175">
        <v>7</v>
      </c>
      <c r="F721" s="175">
        <v>21.61</v>
      </c>
      <c r="G721" s="176">
        <v>151.27000000000001</v>
      </c>
      <c r="H721" s="101">
        <v>68</v>
      </c>
      <c r="K721"/>
    </row>
    <row r="722" spans="1:11" x14ac:dyDescent="0.25">
      <c r="A722" s="174">
        <v>40858</v>
      </c>
      <c r="B722" s="161" t="s">
        <v>829</v>
      </c>
      <c r="C722" s="98" t="s">
        <v>830</v>
      </c>
      <c r="D722" s="98" t="s">
        <v>39</v>
      </c>
      <c r="E722" s="175">
        <v>1</v>
      </c>
      <c r="F722" s="175">
        <v>365</v>
      </c>
      <c r="G722" s="176">
        <v>365</v>
      </c>
      <c r="H722" s="101">
        <v>68</v>
      </c>
      <c r="K722"/>
    </row>
    <row r="723" spans="1:11" x14ac:dyDescent="0.25">
      <c r="A723" s="174">
        <v>40858</v>
      </c>
      <c r="B723" s="161" t="s">
        <v>773</v>
      </c>
      <c r="C723" s="98" t="s">
        <v>774</v>
      </c>
      <c r="D723" s="98" t="s">
        <v>26</v>
      </c>
      <c r="E723" s="175">
        <v>9.5</v>
      </c>
      <c r="F723" s="175">
        <v>95</v>
      </c>
      <c r="G723" s="176">
        <v>902.5</v>
      </c>
      <c r="H723" s="101">
        <v>68</v>
      </c>
      <c r="K723"/>
    </row>
    <row r="724" spans="1:11" x14ac:dyDescent="0.25">
      <c r="A724" s="174">
        <v>40858</v>
      </c>
      <c r="B724" s="161" t="s">
        <v>745</v>
      </c>
      <c r="C724" s="98" t="s">
        <v>8</v>
      </c>
      <c r="D724" s="98" t="s">
        <v>26</v>
      </c>
      <c r="E724" s="175">
        <v>9</v>
      </c>
      <c r="F724" s="175">
        <v>35.35</v>
      </c>
      <c r="G724" s="176">
        <v>318.14999999999998</v>
      </c>
      <c r="H724" s="101">
        <v>68</v>
      </c>
      <c r="K724"/>
    </row>
    <row r="725" spans="1:11" x14ac:dyDescent="0.25">
      <c r="A725" s="174">
        <v>40858</v>
      </c>
      <c r="B725" s="161" t="s">
        <v>745</v>
      </c>
      <c r="C725" s="98" t="s">
        <v>8</v>
      </c>
      <c r="D725" s="98" t="s">
        <v>26</v>
      </c>
      <c r="E725" s="175">
        <v>9</v>
      </c>
      <c r="F725" s="175">
        <v>35.35</v>
      </c>
      <c r="G725" s="176">
        <v>318.14999999999998</v>
      </c>
      <c r="H725" s="101">
        <v>68</v>
      </c>
      <c r="K725"/>
    </row>
    <row r="726" spans="1:11" x14ac:dyDescent="0.25">
      <c r="A726" s="174">
        <v>40858</v>
      </c>
      <c r="B726" s="161" t="s">
        <v>745</v>
      </c>
      <c r="C726" s="98" t="s">
        <v>8</v>
      </c>
      <c r="D726" s="98" t="s">
        <v>26</v>
      </c>
      <c r="E726" s="175">
        <v>9</v>
      </c>
      <c r="F726" s="175">
        <v>35.35</v>
      </c>
      <c r="G726" s="176">
        <v>318.14999999999998</v>
      </c>
      <c r="H726" s="101">
        <v>68</v>
      </c>
      <c r="K726"/>
    </row>
    <row r="727" spans="1:11" x14ac:dyDescent="0.25">
      <c r="A727" s="174">
        <v>40858</v>
      </c>
      <c r="B727" s="161" t="s">
        <v>742</v>
      </c>
      <c r="C727" s="98" t="s">
        <v>8</v>
      </c>
      <c r="D727" s="98" t="s">
        <v>26</v>
      </c>
      <c r="E727" s="175">
        <v>9</v>
      </c>
      <c r="F727" s="175">
        <v>44.2</v>
      </c>
      <c r="G727" s="176">
        <v>397.8</v>
      </c>
      <c r="H727" s="101">
        <v>68</v>
      </c>
      <c r="K727"/>
    </row>
    <row r="728" spans="1:11" x14ac:dyDescent="0.25">
      <c r="A728" s="174">
        <v>40858</v>
      </c>
      <c r="B728" s="161" t="s">
        <v>745</v>
      </c>
      <c r="C728" s="98" t="s">
        <v>8</v>
      </c>
      <c r="D728" s="98" t="s">
        <v>26</v>
      </c>
      <c r="E728" s="175">
        <v>9</v>
      </c>
      <c r="F728" s="175">
        <v>35.35</v>
      </c>
      <c r="G728" s="176">
        <v>318.14999999999998</v>
      </c>
      <c r="H728" s="101">
        <v>68</v>
      </c>
      <c r="K728"/>
    </row>
    <row r="729" spans="1:11" x14ac:dyDescent="0.25">
      <c r="A729" s="174">
        <v>40859</v>
      </c>
      <c r="B729" s="161" t="s">
        <v>373</v>
      </c>
      <c r="C729" s="98" t="s">
        <v>892</v>
      </c>
      <c r="D729" s="98" t="s">
        <v>26</v>
      </c>
      <c r="E729" s="175">
        <v>6.5</v>
      </c>
      <c r="F729" s="175">
        <v>21.61</v>
      </c>
      <c r="G729" s="176">
        <v>140.465</v>
      </c>
      <c r="H729" s="101">
        <v>68</v>
      </c>
      <c r="K729"/>
    </row>
    <row r="730" spans="1:11" x14ac:dyDescent="0.25">
      <c r="A730" s="174">
        <v>40859</v>
      </c>
      <c r="B730" s="161" t="s">
        <v>349</v>
      </c>
      <c r="C730" s="98" t="s">
        <v>827</v>
      </c>
      <c r="D730" s="98" t="s">
        <v>26</v>
      </c>
      <c r="E730" s="175">
        <v>6.5</v>
      </c>
      <c r="F730" s="175">
        <v>66.069999999999993</v>
      </c>
      <c r="G730" s="176">
        <v>429.45499999999998</v>
      </c>
      <c r="H730" s="101">
        <v>68</v>
      </c>
      <c r="K730"/>
    </row>
    <row r="731" spans="1:11" x14ac:dyDescent="0.25">
      <c r="A731" s="174">
        <v>40859</v>
      </c>
      <c r="B731" s="161" t="s">
        <v>780</v>
      </c>
      <c r="C731" s="98" t="s">
        <v>764</v>
      </c>
      <c r="D731" s="98" t="s">
        <v>26</v>
      </c>
      <c r="E731" s="175">
        <v>4.75</v>
      </c>
      <c r="F731" s="175">
        <v>110</v>
      </c>
      <c r="G731" s="176">
        <v>522.5</v>
      </c>
      <c r="H731" s="101">
        <v>68</v>
      </c>
      <c r="K731"/>
    </row>
    <row r="732" spans="1:11" x14ac:dyDescent="0.25">
      <c r="A732" s="174">
        <v>40859</v>
      </c>
      <c r="B732" s="161" t="s">
        <v>829</v>
      </c>
      <c r="C732" s="98" t="s">
        <v>830</v>
      </c>
      <c r="D732" s="98" t="s">
        <v>39</v>
      </c>
      <c r="E732" s="175">
        <v>1</v>
      </c>
      <c r="F732" s="175">
        <v>365</v>
      </c>
      <c r="G732" s="176">
        <v>365</v>
      </c>
      <c r="H732" s="101">
        <v>68</v>
      </c>
      <c r="K732"/>
    </row>
    <row r="733" spans="1:11" x14ac:dyDescent="0.25">
      <c r="A733" s="174">
        <v>40859</v>
      </c>
      <c r="B733" s="161" t="s">
        <v>773</v>
      </c>
      <c r="C733" s="98" t="s">
        <v>774</v>
      </c>
      <c r="D733" s="98" t="s">
        <v>26</v>
      </c>
      <c r="E733" s="175">
        <v>7.5</v>
      </c>
      <c r="F733" s="175">
        <v>95</v>
      </c>
      <c r="G733" s="176">
        <v>712.5</v>
      </c>
      <c r="H733" s="101">
        <v>68</v>
      </c>
      <c r="K733"/>
    </row>
    <row r="734" spans="1:11" x14ac:dyDescent="0.25">
      <c r="A734" s="174">
        <v>40859</v>
      </c>
      <c r="B734" s="161" t="s">
        <v>745</v>
      </c>
      <c r="C734" s="98" t="s">
        <v>8</v>
      </c>
      <c r="D734" s="98" t="s">
        <v>26</v>
      </c>
      <c r="E734" s="175">
        <v>6.5</v>
      </c>
      <c r="F734" s="175">
        <v>35.35</v>
      </c>
      <c r="G734" s="176">
        <v>229.77500000000001</v>
      </c>
      <c r="H734" s="101">
        <v>68</v>
      </c>
      <c r="K734"/>
    </row>
    <row r="735" spans="1:11" x14ac:dyDescent="0.25">
      <c r="A735" s="174">
        <v>40859</v>
      </c>
      <c r="B735" s="161" t="s">
        <v>745</v>
      </c>
      <c r="C735" s="98" t="s">
        <v>8</v>
      </c>
      <c r="D735" s="98" t="s">
        <v>26</v>
      </c>
      <c r="E735" s="175">
        <v>6.5</v>
      </c>
      <c r="F735" s="175">
        <v>35.35</v>
      </c>
      <c r="G735" s="176">
        <v>229.77500000000001</v>
      </c>
      <c r="H735" s="101">
        <v>68</v>
      </c>
      <c r="K735"/>
    </row>
    <row r="736" spans="1:11" x14ac:dyDescent="0.25">
      <c r="A736" s="174">
        <v>40859</v>
      </c>
      <c r="B736" s="161" t="s">
        <v>745</v>
      </c>
      <c r="C736" s="98" t="s">
        <v>8</v>
      </c>
      <c r="D736" s="98" t="s">
        <v>26</v>
      </c>
      <c r="E736" s="175">
        <v>6.5</v>
      </c>
      <c r="F736" s="175">
        <v>35.35</v>
      </c>
      <c r="G736" s="176">
        <v>229.77500000000001</v>
      </c>
      <c r="H736" s="101">
        <v>68</v>
      </c>
      <c r="K736"/>
    </row>
    <row r="737" spans="1:11" x14ac:dyDescent="0.25">
      <c r="A737" s="174">
        <v>40859</v>
      </c>
      <c r="B737" s="161" t="s">
        <v>745</v>
      </c>
      <c r="C737" s="98" t="s">
        <v>8</v>
      </c>
      <c r="D737" s="98" t="s">
        <v>26</v>
      </c>
      <c r="E737" s="175">
        <v>6.5</v>
      </c>
      <c r="F737" s="175">
        <v>35.35</v>
      </c>
      <c r="G737" s="176">
        <v>229.77500000000001</v>
      </c>
      <c r="H737" s="101">
        <v>68</v>
      </c>
      <c r="K737"/>
    </row>
    <row r="738" spans="1:11" x14ac:dyDescent="0.25">
      <c r="A738" s="174">
        <v>40859</v>
      </c>
      <c r="B738" s="161" t="s">
        <v>742</v>
      </c>
      <c r="C738" s="98" t="s">
        <v>8</v>
      </c>
      <c r="D738" s="98" t="s">
        <v>26</v>
      </c>
      <c r="E738" s="175">
        <v>6.5</v>
      </c>
      <c r="F738" s="175">
        <v>44.2</v>
      </c>
      <c r="G738" s="176">
        <v>287.3</v>
      </c>
      <c r="H738" s="101">
        <v>68</v>
      </c>
      <c r="K738"/>
    </row>
    <row r="739" spans="1:11" x14ac:dyDescent="0.25">
      <c r="A739" s="174">
        <v>40859</v>
      </c>
      <c r="B739" s="161" t="s">
        <v>745</v>
      </c>
      <c r="C739" s="98" t="s">
        <v>8</v>
      </c>
      <c r="D739" s="98" t="s">
        <v>26</v>
      </c>
      <c r="E739" s="175">
        <v>6.5</v>
      </c>
      <c r="F739" s="175">
        <v>35.35</v>
      </c>
      <c r="G739" s="176">
        <v>229.77500000000001</v>
      </c>
      <c r="H739" s="101">
        <v>68</v>
      </c>
      <c r="K739"/>
    </row>
    <row r="740" spans="1:11" x14ac:dyDescent="0.25">
      <c r="A740" s="174">
        <v>40861</v>
      </c>
      <c r="B740" s="161" t="s">
        <v>773</v>
      </c>
      <c r="C740" s="98" t="s">
        <v>774</v>
      </c>
      <c r="D740" s="98" t="s">
        <v>26</v>
      </c>
      <c r="E740" s="175">
        <v>9</v>
      </c>
      <c r="F740" s="175">
        <v>95</v>
      </c>
      <c r="G740" s="176">
        <v>855</v>
      </c>
      <c r="H740" s="101">
        <v>68</v>
      </c>
      <c r="K740"/>
    </row>
    <row r="741" spans="1:11" x14ac:dyDescent="0.25">
      <c r="A741" s="174">
        <v>40862</v>
      </c>
      <c r="B741" s="161" t="s">
        <v>745</v>
      </c>
      <c r="C741" s="98" t="s">
        <v>8</v>
      </c>
      <c r="D741" s="98" t="s">
        <v>26</v>
      </c>
      <c r="E741" s="175">
        <v>9.5</v>
      </c>
      <c r="F741" s="175">
        <v>35.35</v>
      </c>
      <c r="G741" s="176">
        <v>335.82499999999999</v>
      </c>
      <c r="H741" s="101">
        <v>68</v>
      </c>
      <c r="K741"/>
    </row>
    <row r="742" spans="1:11" x14ac:dyDescent="0.25">
      <c r="A742" s="174">
        <v>40862</v>
      </c>
      <c r="B742" s="161" t="s">
        <v>745</v>
      </c>
      <c r="C742" s="98" t="s">
        <v>8</v>
      </c>
      <c r="D742" s="98" t="s">
        <v>26</v>
      </c>
      <c r="E742" s="175">
        <v>9.5</v>
      </c>
      <c r="F742" s="175">
        <v>35.35</v>
      </c>
      <c r="G742" s="176">
        <v>335.82499999999999</v>
      </c>
      <c r="H742" s="101">
        <v>68</v>
      </c>
      <c r="K742"/>
    </row>
    <row r="743" spans="1:11" x14ac:dyDescent="0.25">
      <c r="A743" s="174">
        <v>40862</v>
      </c>
      <c r="B743" s="161" t="s">
        <v>745</v>
      </c>
      <c r="C743" s="98" t="s">
        <v>8</v>
      </c>
      <c r="D743" s="98" t="s">
        <v>26</v>
      </c>
      <c r="E743" s="175">
        <v>5</v>
      </c>
      <c r="F743" s="175">
        <v>35.35</v>
      </c>
      <c r="G743" s="176">
        <v>176.75</v>
      </c>
      <c r="H743" s="101">
        <v>68</v>
      </c>
      <c r="K743"/>
    </row>
    <row r="744" spans="1:11" x14ac:dyDescent="0.25">
      <c r="A744" s="174">
        <v>40862</v>
      </c>
      <c r="B744" s="161" t="s">
        <v>776</v>
      </c>
      <c r="C744" s="98" t="s">
        <v>775</v>
      </c>
      <c r="D744" s="98" t="s">
        <v>26</v>
      </c>
      <c r="E744" s="175">
        <v>4</v>
      </c>
      <c r="F744" s="175">
        <v>40</v>
      </c>
      <c r="G744" s="176">
        <v>160</v>
      </c>
      <c r="H744" s="101">
        <v>68</v>
      </c>
      <c r="K744"/>
    </row>
    <row r="745" spans="1:11" x14ac:dyDescent="0.25">
      <c r="A745" s="174">
        <v>40862</v>
      </c>
      <c r="B745" s="161" t="s">
        <v>829</v>
      </c>
      <c r="C745" s="98" t="s">
        <v>830</v>
      </c>
      <c r="D745" s="98" t="s">
        <v>39</v>
      </c>
      <c r="E745" s="175">
        <v>1</v>
      </c>
      <c r="F745" s="175">
        <v>365</v>
      </c>
      <c r="G745" s="176">
        <v>365</v>
      </c>
      <c r="H745" s="101">
        <v>68</v>
      </c>
      <c r="K745"/>
    </row>
    <row r="746" spans="1:11" x14ac:dyDescent="0.25">
      <c r="A746" s="174">
        <v>40862</v>
      </c>
      <c r="B746" s="161" t="s">
        <v>773</v>
      </c>
      <c r="C746" s="98" t="s">
        <v>774</v>
      </c>
      <c r="D746" s="98" t="s">
        <v>26</v>
      </c>
      <c r="E746" s="175">
        <v>5</v>
      </c>
      <c r="F746" s="175">
        <v>95</v>
      </c>
      <c r="G746" s="176">
        <v>475</v>
      </c>
      <c r="H746" s="101">
        <v>68</v>
      </c>
      <c r="K746"/>
    </row>
    <row r="747" spans="1:11" x14ac:dyDescent="0.25">
      <c r="A747" s="174">
        <v>40862</v>
      </c>
      <c r="B747" s="161" t="s">
        <v>900</v>
      </c>
      <c r="C747" s="98" t="s">
        <v>764</v>
      </c>
      <c r="D747" s="98" t="s">
        <v>26</v>
      </c>
      <c r="E747" s="175">
        <v>4</v>
      </c>
      <c r="F747" s="175">
        <v>110</v>
      </c>
      <c r="G747" s="176">
        <v>440</v>
      </c>
      <c r="H747" s="101">
        <v>68</v>
      </c>
      <c r="K747"/>
    </row>
    <row r="748" spans="1:11" x14ac:dyDescent="0.25">
      <c r="A748" s="174">
        <v>40862</v>
      </c>
      <c r="B748" s="161" t="s">
        <v>745</v>
      </c>
      <c r="C748" s="98" t="s">
        <v>8</v>
      </c>
      <c r="D748" s="98" t="s">
        <v>26</v>
      </c>
      <c r="E748" s="175">
        <v>3</v>
      </c>
      <c r="F748" s="175">
        <v>35.35</v>
      </c>
      <c r="G748" s="176">
        <v>106.05</v>
      </c>
      <c r="H748" s="101">
        <v>68</v>
      </c>
      <c r="K748"/>
    </row>
    <row r="749" spans="1:11" x14ac:dyDescent="0.25">
      <c r="A749" s="174">
        <v>40863</v>
      </c>
      <c r="B749" s="161" t="s">
        <v>900</v>
      </c>
      <c r="C749" s="98" t="s">
        <v>764</v>
      </c>
      <c r="D749" s="98" t="s">
        <v>26</v>
      </c>
      <c r="E749" s="175">
        <v>6</v>
      </c>
      <c r="F749" s="175">
        <v>140</v>
      </c>
      <c r="G749" s="176">
        <v>840</v>
      </c>
      <c r="H749" s="101">
        <v>68</v>
      </c>
      <c r="K749"/>
    </row>
    <row r="750" spans="1:11" x14ac:dyDescent="0.25">
      <c r="A750" s="174">
        <v>40863</v>
      </c>
      <c r="B750" s="161" t="s">
        <v>742</v>
      </c>
      <c r="C750" s="98" t="s">
        <v>8</v>
      </c>
      <c r="D750" s="98" t="s">
        <v>26</v>
      </c>
      <c r="E750" s="175">
        <v>8.5</v>
      </c>
      <c r="F750" s="175">
        <v>44.2</v>
      </c>
      <c r="G750" s="176">
        <v>375.7</v>
      </c>
      <c r="H750" s="101">
        <v>68</v>
      </c>
      <c r="K750"/>
    </row>
    <row r="751" spans="1:11" x14ac:dyDescent="0.25">
      <c r="A751" s="174">
        <v>40863</v>
      </c>
      <c r="B751" s="161" t="s">
        <v>745</v>
      </c>
      <c r="C751" s="98" t="s">
        <v>8</v>
      </c>
      <c r="D751" s="98" t="s">
        <v>26</v>
      </c>
      <c r="E751" s="175">
        <v>9</v>
      </c>
      <c r="F751" s="175">
        <v>35.35</v>
      </c>
      <c r="G751" s="176">
        <v>318.14999999999998</v>
      </c>
      <c r="H751" s="101">
        <v>68</v>
      </c>
      <c r="K751"/>
    </row>
    <row r="752" spans="1:11" x14ac:dyDescent="0.25">
      <c r="A752" s="174">
        <v>40863</v>
      </c>
      <c r="B752" s="161" t="s">
        <v>745</v>
      </c>
      <c r="C752" s="98" t="s">
        <v>8</v>
      </c>
      <c r="D752" s="98" t="s">
        <v>26</v>
      </c>
      <c r="E752" s="175">
        <v>4</v>
      </c>
      <c r="F752" s="175">
        <v>35.35</v>
      </c>
      <c r="G752" s="176">
        <v>141.4</v>
      </c>
      <c r="H752" s="101">
        <v>68</v>
      </c>
      <c r="K752"/>
    </row>
    <row r="753" spans="1:11" x14ac:dyDescent="0.25">
      <c r="A753" s="174">
        <v>40863</v>
      </c>
      <c r="B753" s="161" t="s">
        <v>901</v>
      </c>
      <c r="C753" s="98" t="s">
        <v>902</v>
      </c>
      <c r="D753" s="98" t="s">
        <v>715</v>
      </c>
      <c r="E753" s="175">
        <v>1</v>
      </c>
      <c r="F753" s="175">
        <v>890.4</v>
      </c>
      <c r="G753" s="176">
        <v>890.4</v>
      </c>
      <c r="H753" s="101">
        <v>68</v>
      </c>
      <c r="K753"/>
    </row>
    <row r="754" spans="1:11" x14ac:dyDescent="0.25">
      <c r="A754" s="174">
        <v>40863</v>
      </c>
      <c r="B754" s="161" t="s">
        <v>745</v>
      </c>
      <c r="C754" s="98" t="s">
        <v>8</v>
      </c>
      <c r="D754" s="98" t="s">
        <v>26</v>
      </c>
      <c r="E754" s="175">
        <v>6.5</v>
      </c>
      <c r="F754" s="175">
        <v>35.35</v>
      </c>
      <c r="G754" s="176">
        <v>229.77500000000001</v>
      </c>
      <c r="H754" s="101">
        <v>68</v>
      </c>
      <c r="K754"/>
    </row>
    <row r="755" spans="1:11" x14ac:dyDescent="0.25">
      <c r="A755" s="174">
        <v>40863</v>
      </c>
      <c r="B755" s="161" t="s">
        <v>745</v>
      </c>
      <c r="C755" s="98" t="s">
        <v>8</v>
      </c>
      <c r="D755" s="98" t="s">
        <v>26</v>
      </c>
      <c r="E755" s="175">
        <v>8.5</v>
      </c>
      <c r="F755" s="175">
        <v>35.35</v>
      </c>
      <c r="G755" s="176">
        <v>300.47500000000002</v>
      </c>
      <c r="H755" s="101">
        <v>68</v>
      </c>
      <c r="K755"/>
    </row>
    <row r="756" spans="1:11" x14ac:dyDescent="0.25">
      <c r="A756" s="174">
        <v>40863</v>
      </c>
      <c r="B756" s="161" t="s">
        <v>349</v>
      </c>
      <c r="C756" s="98" t="s">
        <v>827</v>
      </c>
      <c r="D756" s="98" t="s">
        <v>26</v>
      </c>
      <c r="E756" s="175">
        <v>3</v>
      </c>
      <c r="F756" s="175">
        <v>66.069999999999993</v>
      </c>
      <c r="G756" s="176">
        <v>198.21</v>
      </c>
      <c r="H756" s="101">
        <v>68</v>
      </c>
      <c r="K756"/>
    </row>
    <row r="757" spans="1:11" x14ac:dyDescent="0.25">
      <c r="A757" s="174">
        <v>40863</v>
      </c>
      <c r="B757" s="161" t="s">
        <v>773</v>
      </c>
      <c r="C757" s="98" t="s">
        <v>774</v>
      </c>
      <c r="D757" s="98" t="s">
        <v>26</v>
      </c>
      <c r="E757" s="175">
        <v>5</v>
      </c>
      <c r="F757" s="175">
        <v>95</v>
      </c>
      <c r="G757" s="176">
        <v>475</v>
      </c>
      <c r="H757" s="101">
        <v>68</v>
      </c>
      <c r="K757"/>
    </row>
    <row r="758" spans="1:11" x14ac:dyDescent="0.25">
      <c r="A758" s="174">
        <v>40863</v>
      </c>
      <c r="B758" s="161" t="s">
        <v>51</v>
      </c>
      <c r="C758" s="98" t="s">
        <v>775</v>
      </c>
      <c r="D758" s="98" t="s">
        <v>26</v>
      </c>
      <c r="E758" s="175">
        <v>5</v>
      </c>
      <c r="F758" s="175">
        <v>65</v>
      </c>
      <c r="G758" s="176">
        <v>325</v>
      </c>
      <c r="H758" s="101">
        <v>68</v>
      </c>
      <c r="K758"/>
    </row>
    <row r="759" spans="1:11" x14ac:dyDescent="0.25">
      <c r="A759" s="174">
        <v>40863</v>
      </c>
      <c r="B759" s="161" t="s">
        <v>829</v>
      </c>
      <c r="C759" s="98" t="s">
        <v>830</v>
      </c>
      <c r="D759" s="98" t="s">
        <v>39</v>
      </c>
      <c r="E759" s="175">
        <v>1</v>
      </c>
      <c r="F759" s="175">
        <v>365</v>
      </c>
      <c r="G759" s="176">
        <v>365</v>
      </c>
      <c r="H759" s="101">
        <v>68</v>
      </c>
      <c r="K759"/>
    </row>
    <row r="760" spans="1:11" x14ac:dyDescent="0.25">
      <c r="A760" s="174">
        <v>40863</v>
      </c>
      <c r="B760" s="161" t="s">
        <v>373</v>
      </c>
      <c r="C760" s="98" t="s">
        <v>892</v>
      </c>
      <c r="D760" s="98" t="s">
        <v>26</v>
      </c>
      <c r="E760" s="175">
        <v>3</v>
      </c>
      <c r="F760" s="175">
        <v>21.61</v>
      </c>
      <c r="G760" s="176">
        <v>64.83</v>
      </c>
      <c r="H760" s="101">
        <v>68</v>
      </c>
      <c r="K760"/>
    </row>
    <row r="761" spans="1:11" x14ac:dyDescent="0.25">
      <c r="A761" s="174">
        <v>40868</v>
      </c>
      <c r="B761" s="161" t="s">
        <v>903</v>
      </c>
      <c r="C761" s="98" t="s">
        <v>897</v>
      </c>
      <c r="D761" s="98" t="s">
        <v>715</v>
      </c>
      <c r="E761" s="175">
        <v>1</v>
      </c>
      <c r="F761" s="175">
        <v>2705</v>
      </c>
      <c r="G761" s="176">
        <v>2705</v>
      </c>
      <c r="H761" s="101">
        <v>68</v>
      </c>
      <c r="K761"/>
    </row>
    <row r="762" spans="1:11" x14ac:dyDescent="0.25">
      <c r="A762" s="174">
        <v>40989</v>
      </c>
      <c r="B762" s="161" t="s">
        <v>904</v>
      </c>
      <c r="C762" s="98" t="s">
        <v>905</v>
      </c>
      <c r="D762" s="98" t="s">
        <v>715</v>
      </c>
      <c r="E762" s="175">
        <v>5</v>
      </c>
      <c r="F762" s="175">
        <v>119</v>
      </c>
      <c r="G762" s="176">
        <v>595</v>
      </c>
      <c r="H762" s="101">
        <v>68</v>
      </c>
      <c r="K762"/>
    </row>
    <row r="763" spans="1:11" x14ac:dyDescent="0.25">
      <c r="A763" s="177" t="s">
        <v>643</v>
      </c>
      <c r="B763" s="178" t="s">
        <v>906</v>
      </c>
      <c r="C763" s="179" t="s">
        <v>643</v>
      </c>
      <c r="D763" s="179" t="s">
        <v>643</v>
      </c>
      <c r="E763" s="180"/>
      <c r="F763" s="180"/>
      <c r="G763" s="181">
        <v>47892.13</v>
      </c>
      <c r="H763" s="188" t="s">
        <v>643</v>
      </c>
      <c r="K763"/>
    </row>
    <row r="764" spans="1:11" x14ac:dyDescent="0.25">
      <c r="A764" s="174" t="s">
        <v>643</v>
      </c>
      <c r="B764" s="161" t="s">
        <v>643</v>
      </c>
      <c r="C764" s="98" t="s">
        <v>643</v>
      </c>
      <c r="D764" s="98" t="s">
        <v>643</v>
      </c>
      <c r="E764" s="175"/>
      <c r="F764" s="175"/>
      <c r="G764" s="176"/>
      <c r="H764" s="101" t="s">
        <v>643</v>
      </c>
      <c r="K764"/>
    </row>
    <row r="765" spans="1:11" x14ac:dyDescent="0.25">
      <c r="A765" s="171" t="s">
        <v>643</v>
      </c>
      <c r="B765" s="164" t="s">
        <v>1186</v>
      </c>
      <c r="C765" s="100" t="s">
        <v>643</v>
      </c>
      <c r="D765" s="100" t="s">
        <v>643</v>
      </c>
      <c r="E765" s="172"/>
      <c r="F765" s="172"/>
      <c r="G765" s="173"/>
      <c r="H765" s="187" t="s">
        <v>643</v>
      </c>
      <c r="K765"/>
    </row>
    <row r="766" spans="1:11" x14ac:dyDescent="0.25">
      <c r="A766" s="174">
        <v>40842</v>
      </c>
      <c r="B766" s="161" t="s">
        <v>825</v>
      </c>
      <c r="C766" s="98" t="s">
        <v>766</v>
      </c>
      <c r="D766" s="98" t="s">
        <v>26</v>
      </c>
      <c r="E766" s="175">
        <v>2</v>
      </c>
      <c r="F766" s="175">
        <v>110</v>
      </c>
      <c r="G766" s="176">
        <v>220</v>
      </c>
      <c r="H766" s="101">
        <v>71</v>
      </c>
      <c r="K766"/>
    </row>
    <row r="767" spans="1:11" x14ac:dyDescent="0.25">
      <c r="A767" s="174">
        <v>40842</v>
      </c>
      <c r="B767" s="161" t="s">
        <v>757</v>
      </c>
      <c r="C767" s="98" t="s">
        <v>758</v>
      </c>
      <c r="D767" s="98" t="s">
        <v>26</v>
      </c>
      <c r="E767" s="175">
        <v>2</v>
      </c>
      <c r="F767" s="175">
        <v>90</v>
      </c>
      <c r="G767" s="176">
        <v>180</v>
      </c>
      <c r="H767" s="101">
        <v>71</v>
      </c>
      <c r="K767"/>
    </row>
    <row r="768" spans="1:11" x14ac:dyDescent="0.25">
      <c r="A768" s="174">
        <v>40848</v>
      </c>
      <c r="B768" s="161" t="s">
        <v>907</v>
      </c>
      <c r="C768" s="98" t="s">
        <v>908</v>
      </c>
      <c r="D768" s="98" t="s">
        <v>715</v>
      </c>
      <c r="E768" s="175">
        <v>1</v>
      </c>
      <c r="F768" s="175">
        <v>3120</v>
      </c>
      <c r="G768" s="176">
        <v>3120</v>
      </c>
      <c r="H768" s="101">
        <v>71</v>
      </c>
      <c r="K768"/>
    </row>
    <row r="769" spans="1:11" x14ac:dyDescent="0.25">
      <c r="A769" s="174">
        <v>40932</v>
      </c>
      <c r="B769" s="161" t="s">
        <v>742</v>
      </c>
      <c r="C769" s="98" t="s">
        <v>8</v>
      </c>
      <c r="D769" s="98" t="s">
        <v>26</v>
      </c>
      <c r="E769" s="175">
        <v>5.5</v>
      </c>
      <c r="F769" s="175">
        <v>44.2</v>
      </c>
      <c r="G769" s="176">
        <v>243.1</v>
      </c>
      <c r="H769" s="101">
        <v>71</v>
      </c>
      <c r="K769"/>
    </row>
    <row r="770" spans="1:11" x14ac:dyDescent="0.25">
      <c r="A770" s="174">
        <v>40932</v>
      </c>
      <c r="B770" s="161" t="s">
        <v>745</v>
      </c>
      <c r="C770" s="98" t="s">
        <v>8</v>
      </c>
      <c r="D770" s="98" t="s">
        <v>26</v>
      </c>
      <c r="E770" s="175">
        <v>4.5</v>
      </c>
      <c r="F770" s="175">
        <v>35.35</v>
      </c>
      <c r="G770" s="176">
        <v>159.07499999999999</v>
      </c>
      <c r="H770" s="101">
        <v>71</v>
      </c>
      <c r="K770"/>
    </row>
    <row r="771" spans="1:11" x14ac:dyDescent="0.25">
      <c r="A771" s="174">
        <v>40932</v>
      </c>
      <c r="B771" s="161" t="s">
        <v>745</v>
      </c>
      <c r="C771" s="98" t="s">
        <v>8</v>
      </c>
      <c r="D771" s="98" t="s">
        <v>26</v>
      </c>
      <c r="E771" s="175">
        <v>4.5</v>
      </c>
      <c r="F771" s="175">
        <v>35.35</v>
      </c>
      <c r="G771" s="176">
        <v>159.07499999999999</v>
      </c>
      <c r="H771" s="101">
        <v>71</v>
      </c>
      <c r="K771"/>
    </row>
    <row r="772" spans="1:11" x14ac:dyDescent="0.25">
      <c r="A772" s="174">
        <v>40954</v>
      </c>
      <c r="B772" s="161" t="s">
        <v>745</v>
      </c>
      <c r="C772" s="98" t="s">
        <v>8</v>
      </c>
      <c r="D772" s="98" t="s">
        <v>26</v>
      </c>
      <c r="E772" s="175">
        <v>8.5</v>
      </c>
      <c r="F772" s="175">
        <v>35.35</v>
      </c>
      <c r="G772" s="176">
        <v>300.47500000000002</v>
      </c>
      <c r="H772" s="101">
        <v>71</v>
      </c>
      <c r="K772"/>
    </row>
    <row r="773" spans="1:11" x14ac:dyDescent="0.25">
      <c r="A773" s="174">
        <v>40954</v>
      </c>
      <c r="B773" s="161" t="s">
        <v>776</v>
      </c>
      <c r="C773" s="98" t="s">
        <v>775</v>
      </c>
      <c r="D773" s="98" t="s">
        <v>909</v>
      </c>
      <c r="E773" s="175">
        <v>4.5</v>
      </c>
      <c r="F773" s="175">
        <v>95</v>
      </c>
      <c r="G773" s="176">
        <v>427.5</v>
      </c>
      <c r="H773" s="101">
        <v>71</v>
      </c>
      <c r="K773"/>
    </row>
    <row r="774" spans="1:11" x14ac:dyDescent="0.25">
      <c r="A774" s="174">
        <v>40954</v>
      </c>
      <c r="B774" s="161" t="s">
        <v>745</v>
      </c>
      <c r="C774" s="98" t="s">
        <v>8</v>
      </c>
      <c r="D774" s="98" t="s">
        <v>26</v>
      </c>
      <c r="E774" s="175">
        <v>8.5</v>
      </c>
      <c r="F774" s="175">
        <v>35.35</v>
      </c>
      <c r="G774" s="176">
        <v>300.47500000000002</v>
      </c>
      <c r="H774" s="101">
        <v>71</v>
      </c>
      <c r="K774"/>
    </row>
    <row r="775" spans="1:11" x14ac:dyDescent="0.25">
      <c r="A775" s="174">
        <v>40954</v>
      </c>
      <c r="B775" s="161" t="s">
        <v>745</v>
      </c>
      <c r="C775" s="98" t="s">
        <v>8</v>
      </c>
      <c r="D775" s="98" t="s">
        <v>26</v>
      </c>
      <c r="E775" s="175">
        <v>8.5</v>
      </c>
      <c r="F775" s="175">
        <v>35.35</v>
      </c>
      <c r="G775" s="176">
        <v>300.47500000000002</v>
      </c>
      <c r="H775" s="101">
        <v>71</v>
      </c>
      <c r="K775"/>
    </row>
    <row r="776" spans="1:11" x14ac:dyDescent="0.25">
      <c r="A776" s="174">
        <v>40954</v>
      </c>
      <c r="B776" s="161" t="s">
        <v>745</v>
      </c>
      <c r="C776" s="98" t="s">
        <v>8</v>
      </c>
      <c r="D776" s="98" t="s">
        <v>26</v>
      </c>
      <c r="E776" s="175">
        <v>8</v>
      </c>
      <c r="F776" s="175">
        <v>35.35</v>
      </c>
      <c r="G776" s="176">
        <v>282.8</v>
      </c>
      <c r="H776" s="101">
        <v>71</v>
      </c>
      <c r="K776"/>
    </row>
    <row r="777" spans="1:11" x14ac:dyDescent="0.25">
      <c r="A777" s="174">
        <v>40960</v>
      </c>
      <c r="B777" s="161" t="s">
        <v>745</v>
      </c>
      <c r="C777" s="98" t="s">
        <v>8</v>
      </c>
      <c r="D777" s="98" t="s">
        <v>26</v>
      </c>
      <c r="E777" s="175">
        <v>8.5</v>
      </c>
      <c r="F777" s="175">
        <v>35.35</v>
      </c>
      <c r="G777" s="176">
        <v>300.47500000000002</v>
      </c>
      <c r="H777" s="101">
        <v>71</v>
      </c>
      <c r="K777"/>
    </row>
    <row r="778" spans="1:11" x14ac:dyDescent="0.25">
      <c r="A778" s="174">
        <v>40961</v>
      </c>
      <c r="B778" s="161" t="s">
        <v>745</v>
      </c>
      <c r="C778" s="98" t="s">
        <v>8</v>
      </c>
      <c r="D778" s="98" t="s">
        <v>26</v>
      </c>
      <c r="E778" s="175">
        <v>10</v>
      </c>
      <c r="F778" s="175">
        <v>35.35</v>
      </c>
      <c r="G778" s="176">
        <v>353.5</v>
      </c>
      <c r="H778" s="101">
        <v>71</v>
      </c>
      <c r="K778"/>
    </row>
    <row r="779" spans="1:11" ht="30" x14ac:dyDescent="0.25">
      <c r="A779" s="174">
        <v>40969</v>
      </c>
      <c r="B779" s="161" t="s">
        <v>910</v>
      </c>
      <c r="C779" s="98" t="s">
        <v>908</v>
      </c>
      <c r="D779" s="98" t="s">
        <v>715</v>
      </c>
      <c r="E779" s="175">
        <v>1</v>
      </c>
      <c r="F779" s="175">
        <v>780</v>
      </c>
      <c r="G779" s="176">
        <v>780</v>
      </c>
      <c r="H779" s="101">
        <v>71</v>
      </c>
      <c r="K779"/>
    </row>
    <row r="780" spans="1:11" x14ac:dyDescent="0.25">
      <c r="A780" s="174">
        <v>40969</v>
      </c>
      <c r="B780" s="161" t="s">
        <v>911</v>
      </c>
      <c r="C780" s="98" t="s">
        <v>908</v>
      </c>
      <c r="D780" s="98" t="s">
        <v>715</v>
      </c>
      <c r="E780" s="175">
        <v>1</v>
      </c>
      <c r="F780" s="175">
        <v>18775</v>
      </c>
      <c r="G780" s="176">
        <v>18775</v>
      </c>
      <c r="H780" s="101">
        <v>71</v>
      </c>
      <c r="K780"/>
    </row>
    <row r="781" spans="1:11" x14ac:dyDescent="0.25">
      <c r="A781" s="174">
        <v>40989</v>
      </c>
      <c r="B781" s="161" t="s">
        <v>912</v>
      </c>
      <c r="C781" s="98" t="s">
        <v>913</v>
      </c>
      <c r="D781" s="98" t="s">
        <v>715</v>
      </c>
      <c r="E781" s="175">
        <v>1</v>
      </c>
      <c r="F781" s="175">
        <v>5000</v>
      </c>
      <c r="G781" s="176">
        <v>5000</v>
      </c>
      <c r="H781" s="101">
        <v>71</v>
      </c>
      <c r="K781"/>
    </row>
    <row r="782" spans="1:11" x14ac:dyDescent="0.25">
      <c r="A782" s="177" t="s">
        <v>643</v>
      </c>
      <c r="B782" s="178" t="s">
        <v>914</v>
      </c>
      <c r="C782" s="179" t="s">
        <v>643</v>
      </c>
      <c r="D782" s="179" t="s">
        <v>643</v>
      </c>
      <c r="E782" s="180"/>
      <c r="F782" s="180"/>
      <c r="G782" s="181">
        <v>30901.95</v>
      </c>
      <c r="H782" s="188" t="s">
        <v>643</v>
      </c>
      <c r="K782"/>
    </row>
    <row r="783" spans="1:11" x14ac:dyDescent="0.25">
      <c r="A783" s="174" t="s">
        <v>643</v>
      </c>
      <c r="B783" s="161" t="s">
        <v>643</v>
      </c>
      <c r="C783" s="98" t="s">
        <v>643</v>
      </c>
      <c r="D783" s="98" t="s">
        <v>643</v>
      </c>
      <c r="E783" s="175"/>
      <c r="F783" s="175"/>
      <c r="G783" s="176"/>
      <c r="H783" s="101" t="s">
        <v>643</v>
      </c>
      <c r="K783"/>
    </row>
    <row r="784" spans="1:11" x14ac:dyDescent="0.25">
      <c r="A784" s="171" t="s">
        <v>643</v>
      </c>
      <c r="B784" s="164" t="s">
        <v>1187</v>
      </c>
      <c r="C784" s="100" t="s">
        <v>643</v>
      </c>
      <c r="D784" s="100" t="s">
        <v>643</v>
      </c>
      <c r="E784" s="172"/>
      <c r="F784" s="172"/>
      <c r="G784" s="173"/>
      <c r="H784" s="187" t="s">
        <v>643</v>
      </c>
      <c r="K784"/>
    </row>
    <row r="785" spans="1:11" x14ac:dyDescent="0.25">
      <c r="A785" s="174">
        <v>40854</v>
      </c>
      <c r="B785" s="161" t="s">
        <v>773</v>
      </c>
      <c r="C785" s="98" t="s">
        <v>774</v>
      </c>
      <c r="D785" s="98" t="s">
        <v>26</v>
      </c>
      <c r="E785" s="175">
        <v>2</v>
      </c>
      <c r="F785" s="175">
        <v>95</v>
      </c>
      <c r="G785" s="176">
        <v>190</v>
      </c>
      <c r="H785" s="101">
        <v>72</v>
      </c>
      <c r="K785"/>
    </row>
    <row r="786" spans="1:11" x14ac:dyDescent="0.25">
      <c r="A786" s="174">
        <v>40854</v>
      </c>
      <c r="B786" s="161" t="s">
        <v>776</v>
      </c>
      <c r="C786" s="98" t="s">
        <v>775</v>
      </c>
      <c r="D786" s="98" t="s">
        <v>26</v>
      </c>
      <c r="E786" s="175">
        <v>3</v>
      </c>
      <c r="F786" s="175">
        <v>95</v>
      </c>
      <c r="G786" s="176">
        <v>285</v>
      </c>
      <c r="H786" s="101">
        <v>72</v>
      </c>
      <c r="K786"/>
    </row>
    <row r="787" spans="1:11" x14ac:dyDescent="0.25">
      <c r="A787" s="174">
        <v>40854</v>
      </c>
      <c r="B787" s="161" t="s">
        <v>742</v>
      </c>
      <c r="C787" s="98" t="s">
        <v>8</v>
      </c>
      <c r="D787" s="98" t="s">
        <v>26</v>
      </c>
      <c r="E787" s="175">
        <v>2</v>
      </c>
      <c r="F787" s="175">
        <v>44.2</v>
      </c>
      <c r="G787" s="176">
        <v>88.4</v>
      </c>
      <c r="H787" s="101">
        <v>72</v>
      </c>
      <c r="K787"/>
    </row>
    <row r="788" spans="1:11" x14ac:dyDescent="0.25">
      <c r="A788" s="174">
        <v>40854</v>
      </c>
      <c r="B788" s="161" t="s">
        <v>745</v>
      </c>
      <c r="C788" s="98" t="s">
        <v>8</v>
      </c>
      <c r="D788" s="98" t="s">
        <v>26</v>
      </c>
      <c r="E788" s="175">
        <v>5</v>
      </c>
      <c r="F788" s="175">
        <v>35.35</v>
      </c>
      <c r="G788" s="176">
        <v>176.75</v>
      </c>
      <c r="H788" s="101">
        <v>72</v>
      </c>
      <c r="K788"/>
    </row>
    <row r="789" spans="1:11" x14ac:dyDescent="0.25">
      <c r="A789" s="174">
        <v>40855</v>
      </c>
      <c r="B789" s="161" t="s">
        <v>742</v>
      </c>
      <c r="C789" s="98" t="s">
        <v>8</v>
      </c>
      <c r="D789" s="98" t="s">
        <v>26</v>
      </c>
      <c r="E789" s="175">
        <v>9.5</v>
      </c>
      <c r="F789" s="175">
        <v>44.2</v>
      </c>
      <c r="G789" s="176">
        <v>419.9</v>
      </c>
      <c r="H789" s="101">
        <v>72</v>
      </c>
      <c r="K789"/>
    </row>
    <row r="790" spans="1:11" x14ac:dyDescent="0.25">
      <c r="A790" s="174">
        <v>40855</v>
      </c>
      <c r="B790" s="161" t="s">
        <v>745</v>
      </c>
      <c r="C790" s="98" t="s">
        <v>8</v>
      </c>
      <c r="D790" s="98" t="s">
        <v>26</v>
      </c>
      <c r="E790" s="175">
        <v>9.5</v>
      </c>
      <c r="F790" s="175">
        <v>35.35</v>
      </c>
      <c r="G790" s="176">
        <v>335.82499999999999</v>
      </c>
      <c r="H790" s="101">
        <v>72</v>
      </c>
      <c r="K790"/>
    </row>
    <row r="791" spans="1:11" x14ac:dyDescent="0.25">
      <c r="A791" s="174">
        <v>40855</v>
      </c>
      <c r="B791" s="161" t="s">
        <v>745</v>
      </c>
      <c r="C791" s="98" t="s">
        <v>8</v>
      </c>
      <c r="D791" s="98" t="s">
        <v>26</v>
      </c>
      <c r="E791" s="175">
        <v>9.5</v>
      </c>
      <c r="F791" s="175">
        <v>35.35</v>
      </c>
      <c r="G791" s="176">
        <v>335.82499999999999</v>
      </c>
      <c r="H791" s="101">
        <v>72</v>
      </c>
      <c r="K791"/>
    </row>
    <row r="792" spans="1:11" x14ac:dyDescent="0.25">
      <c r="A792" s="174">
        <v>40855</v>
      </c>
      <c r="B792" s="161" t="s">
        <v>745</v>
      </c>
      <c r="C792" s="98" t="s">
        <v>8</v>
      </c>
      <c r="D792" s="98" t="s">
        <v>26</v>
      </c>
      <c r="E792" s="175">
        <v>9.5</v>
      </c>
      <c r="F792" s="175">
        <v>35.35</v>
      </c>
      <c r="G792" s="176">
        <v>335.82499999999999</v>
      </c>
      <c r="H792" s="101">
        <v>72</v>
      </c>
      <c r="K792"/>
    </row>
    <row r="793" spans="1:11" x14ac:dyDescent="0.25">
      <c r="A793" s="174">
        <v>40856</v>
      </c>
      <c r="B793" s="161" t="s">
        <v>742</v>
      </c>
      <c r="C793" s="98" t="s">
        <v>8</v>
      </c>
      <c r="D793" s="98" t="s">
        <v>26</v>
      </c>
      <c r="E793" s="175">
        <v>9.5</v>
      </c>
      <c r="F793" s="175">
        <v>44.2</v>
      </c>
      <c r="G793" s="176">
        <v>419.9</v>
      </c>
      <c r="H793" s="101">
        <v>72</v>
      </c>
      <c r="K793"/>
    </row>
    <row r="794" spans="1:11" x14ac:dyDescent="0.25">
      <c r="A794" s="174">
        <v>40856</v>
      </c>
      <c r="B794" s="161" t="s">
        <v>745</v>
      </c>
      <c r="C794" s="98" t="s">
        <v>8</v>
      </c>
      <c r="D794" s="98" t="s">
        <v>26</v>
      </c>
      <c r="E794" s="175">
        <v>9.5</v>
      </c>
      <c r="F794" s="175">
        <v>35.35</v>
      </c>
      <c r="G794" s="176">
        <v>335.82499999999999</v>
      </c>
      <c r="H794" s="101">
        <v>72</v>
      </c>
      <c r="K794"/>
    </row>
    <row r="795" spans="1:11" x14ac:dyDescent="0.25">
      <c r="A795" s="174">
        <v>40868</v>
      </c>
      <c r="B795" s="161" t="s">
        <v>742</v>
      </c>
      <c r="C795" s="98" t="s">
        <v>8</v>
      </c>
      <c r="D795" s="98" t="s">
        <v>26</v>
      </c>
      <c r="E795" s="175">
        <v>6.5</v>
      </c>
      <c r="F795" s="175">
        <v>44.2</v>
      </c>
      <c r="G795" s="176">
        <v>287.3</v>
      </c>
      <c r="H795" s="101">
        <v>72</v>
      </c>
      <c r="K795"/>
    </row>
    <row r="796" spans="1:11" x14ac:dyDescent="0.25">
      <c r="A796" s="174">
        <v>40868</v>
      </c>
      <c r="B796" s="161" t="s">
        <v>745</v>
      </c>
      <c r="C796" s="98" t="s">
        <v>8</v>
      </c>
      <c r="D796" s="98" t="s">
        <v>26</v>
      </c>
      <c r="E796" s="175">
        <v>6.5</v>
      </c>
      <c r="F796" s="175">
        <v>35.35</v>
      </c>
      <c r="G796" s="176">
        <v>229.77500000000001</v>
      </c>
      <c r="H796" s="101">
        <v>72</v>
      </c>
      <c r="K796"/>
    </row>
    <row r="797" spans="1:11" x14ac:dyDescent="0.25">
      <c r="A797" s="174">
        <v>40890</v>
      </c>
      <c r="B797" s="161" t="s">
        <v>915</v>
      </c>
      <c r="C797" s="98" t="s">
        <v>916</v>
      </c>
      <c r="D797" s="98" t="s">
        <v>715</v>
      </c>
      <c r="E797" s="175">
        <v>1</v>
      </c>
      <c r="F797" s="175">
        <v>390</v>
      </c>
      <c r="G797" s="176">
        <v>390</v>
      </c>
      <c r="H797" s="101">
        <v>72</v>
      </c>
      <c r="K797"/>
    </row>
    <row r="798" spans="1:11" x14ac:dyDescent="0.25">
      <c r="A798" s="174">
        <v>40890</v>
      </c>
      <c r="B798" s="161" t="s">
        <v>783</v>
      </c>
      <c r="C798" s="98" t="s">
        <v>775</v>
      </c>
      <c r="D798" s="98" t="s">
        <v>26</v>
      </c>
      <c r="E798" s="175">
        <v>1.5</v>
      </c>
      <c r="F798" s="175">
        <v>65</v>
      </c>
      <c r="G798" s="176">
        <v>97.5</v>
      </c>
      <c r="H798" s="101">
        <v>72</v>
      </c>
      <c r="K798"/>
    </row>
    <row r="799" spans="1:11" x14ac:dyDescent="0.25">
      <c r="A799" s="174">
        <v>40890</v>
      </c>
      <c r="B799" s="161" t="s">
        <v>776</v>
      </c>
      <c r="C799" s="98" t="s">
        <v>775</v>
      </c>
      <c r="D799" s="98" t="s">
        <v>26</v>
      </c>
      <c r="E799" s="175">
        <v>5</v>
      </c>
      <c r="F799" s="175">
        <v>95</v>
      </c>
      <c r="G799" s="176">
        <v>475</v>
      </c>
      <c r="H799" s="101">
        <v>72</v>
      </c>
      <c r="K799"/>
    </row>
    <row r="800" spans="1:11" x14ac:dyDescent="0.25">
      <c r="A800" s="174">
        <v>40893</v>
      </c>
      <c r="B800" s="161" t="s">
        <v>917</v>
      </c>
      <c r="C800" s="98" t="s">
        <v>916</v>
      </c>
      <c r="D800" s="98" t="s">
        <v>715</v>
      </c>
      <c r="E800" s="175">
        <v>1</v>
      </c>
      <c r="F800" s="175">
        <v>170.76</v>
      </c>
      <c r="G800" s="176">
        <v>170.76</v>
      </c>
      <c r="H800" s="101">
        <v>72</v>
      </c>
      <c r="K800"/>
    </row>
    <row r="801" spans="1:11" x14ac:dyDescent="0.25">
      <c r="A801" s="174">
        <v>40894</v>
      </c>
      <c r="B801" s="161" t="s">
        <v>918</v>
      </c>
      <c r="C801" s="98" t="s">
        <v>916</v>
      </c>
      <c r="D801" s="98" t="s">
        <v>715</v>
      </c>
      <c r="E801" s="175">
        <v>1</v>
      </c>
      <c r="F801" s="175">
        <v>278.39999999999998</v>
      </c>
      <c r="G801" s="176">
        <v>278.39999999999998</v>
      </c>
      <c r="H801" s="101">
        <v>72</v>
      </c>
      <c r="K801"/>
    </row>
    <row r="802" spans="1:11" ht="30" x14ac:dyDescent="0.25">
      <c r="A802" s="174">
        <v>41061</v>
      </c>
      <c r="B802" s="161" t="s">
        <v>919</v>
      </c>
      <c r="C802" s="98" t="s">
        <v>908</v>
      </c>
      <c r="D802" s="98" t="s">
        <v>715</v>
      </c>
      <c r="E802" s="175">
        <v>1</v>
      </c>
      <c r="F802" s="175">
        <v>1845</v>
      </c>
      <c r="G802" s="176">
        <v>1845</v>
      </c>
      <c r="H802" s="101">
        <v>72</v>
      </c>
      <c r="K802"/>
    </row>
    <row r="803" spans="1:11" x14ac:dyDescent="0.25">
      <c r="A803" s="177" t="s">
        <v>643</v>
      </c>
      <c r="B803" s="178" t="s">
        <v>920</v>
      </c>
      <c r="C803" s="179" t="s">
        <v>643</v>
      </c>
      <c r="D803" s="179" t="s">
        <v>643</v>
      </c>
      <c r="E803" s="180"/>
      <c r="F803" s="180"/>
      <c r="G803" s="181">
        <v>6696.9849999999997</v>
      </c>
      <c r="H803" s="188" t="s">
        <v>643</v>
      </c>
      <c r="K803"/>
    </row>
    <row r="804" spans="1:11" x14ac:dyDescent="0.25">
      <c r="A804" s="174" t="s">
        <v>643</v>
      </c>
      <c r="B804" s="161" t="s">
        <v>643</v>
      </c>
      <c r="C804" s="98" t="s">
        <v>643</v>
      </c>
      <c r="D804" s="98" t="s">
        <v>643</v>
      </c>
      <c r="E804" s="175"/>
      <c r="F804" s="175"/>
      <c r="G804" s="176"/>
      <c r="H804" s="101" t="s">
        <v>643</v>
      </c>
      <c r="K804"/>
    </row>
    <row r="805" spans="1:11" x14ac:dyDescent="0.25">
      <c r="A805" s="171" t="s">
        <v>643</v>
      </c>
      <c r="B805" s="164" t="s">
        <v>1188</v>
      </c>
      <c r="C805" s="100" t="s">
        <v>643</v>
      </c>
      <c r="D805" s="100" t="s">
        <v>643</v>
      </c>
      <c r="E805" s="172"/>
      <c r="F805" s="172"/>
      <c r="G805" s="173"/>
      <c r="H805" s="187" t="s">
        <v>643</v>
      </c>
      <c r="K805"/>
    </row>
    <row r="806" spans="1:11" x14ac:dyDescent="0.25">
      <c r="A806" s="174">
        <v>40969</v>
      </c>
      <c r="B806" s="161" t="s">
        <v>921</v>
      </c>
      <c r="C806" s="98" t="s">
        <v>908</v>
      </c>
      <c r="D806" s="98" t="s">
        <v>715</v>
      </c>
      <c r="E806" s="175">
        <v>1</v>
      </c>
      <c r="F806" s="175">
        <v>3600</v>
      </c>
      <c r="G806" s="176">
        <v>3600</v>
      </c>
      <c r="H806" s="101">
        <v>73</v>
      </c>
      <c r="K806"/>
    </row>
    <row r="807" spans="1:11" x14ac:dyDescent="0.25">
      <c r="A807" s="174">
        <v>41000</v>
      </c>
      <c r="B807" s="161" t="s">
        <v>922</v>
      </c>
      <c r="C807" s="98" t="s">
        <v>908</v>
      </c>
      <c r="D807" s="98" t="s">
        <v>715</v>
      </c>
      <c r="E807" s="175">
        <v>1</v>
      </c>
      <c r="F807" s="175">
        <v>7970</v>
      </c>
      <c r="G807" s="176">
        <v>7970</v>
      </c>
      <c r="H807" s="101">
        <v>73</v>
      </c>
      <c r="K807"/>
    </row>
    <row r="808" spans="1:11" x14ac:dyDescent="0.25">
      <c r="A808" s="177" t="s">
        <v>643</v>
      </c>
      <c r="B808" s="178" t="s">
        <v>923</v>
      </c>
      <c r="C808" s="179" t="s">
        <v>643</v>
      </c>
      <c r="D808" s="179" t="s">
        <v>643</v>
      </c>
      <c r="E808" s="180"/>
      <c r="F808" s="180"/>
      <c r="G808" s="181">
        <v>11570</v>
      </c>
      <c r="H808" s="188" t="s">
        <v>643</v>
      </c>
      <c r="K808"/>
    </row>
    <row r="809" spans="1:11" x14ac:dyDescent="0.25">
      <c r="A809" s="174" t="s">
        <v>643</v>
      </c>
      <c r="B809" s="161" t="s">
        <v>643</v>
      </c>
      <c r="C809" s="98" t="s">
        <v>643</v>
      </c>
      <c r="D809" s="98" t="s">
        <v>643</v>
      </c>
      <c r="E809" s="175"/>
      <c r="F809" s="175"/>
      <c r="G809" s="176"/>
      <c r="H809" s="101" t="s">
        <v>643</v>
      </c>
      <c r="K809"/>
    </row>
    <row r="810" spans="1:11" x14ac:dyDescent="0.25">
      <c r="A810" s="171" t="s">
        <v>643</v>
      </c>
      <c r="B810" s="164" t="s">
        <v>1189</v>
      </c>
      <c r="C810" s="100" t="s">
        <v>643</v>
      </c>
      <c r="D810" s="100" t="s">
        <v>643</v>
      </c>
      <c r="E810" s="172"/>
      <c r="F810" s="172"/>
      <c r="G810" s="173"/>
      <c r="H810" s="187" t="s">
        <v>643</v>
      </c>
      <c r="K810"/>
    </row>
    <row r="811" spans="1:11" ht="30" x14ac:dyDescent="0.25">
      <c r="A811" s="174">
        <v>40854</v>
      </c>
      <c r="B811" s="161" t="s">
        <v>924</v>
      </c>
      <c r="C811" s="98" t="s">
        <v>925</v>
      </c>
      <c r="D811" s="98" t="s">
        <v>715</v>
      </c>
      <c r="E811" s="175">
        <v>1</v>
      </c>
      <c r="F811" s="175">
        <v>269.27999999999997</v>
      </c>
      <c r="G811" s="176">
        <v>269.27999999999997</v>
      </c>
      <c r="H811" s="101">
        <v>75</v>
      </c>
      <c r="K811"/>
    </row>
    <row r="812" spans="1:11" x14ac:dyDescent="0.25">
      <c r="A812" s="174">
        <v>40932</v>
      </c>
      <c r="B812" s="161" t="s">
        <v>742</v>
      </c>
      <c r="C812" s="98" t="s">
        <v>8</v>
      </c>
      <c r="D812" s="98" t="s">
        <v>26</v>
      </c>
      <c r="E812" s="175">
        <v>2</v>
      </c>
      <c r="F812" s="175">
        <v>44.2</v>
      </c>
      <c r="G812" s="176">
        <v>88.4</v>
      </c>
      <c r="H812" s="101">
        <v>75</v>
      </c>
      <c r="K812"/>
    </row>
    <row r="813" spans="1:11" x14ac:dyDescent="0.25">
      <c r="A813" s="174">
        <v>40938</v>
      </c>
      <c r="B813" s="161" t="s">
        <v>745</v>
      </c>
      <c r="C813" s="98" t="s">
        <v>8</v>
      </c>
      <c r="D813" s="98" t="s">
        <v>26</v>
      </c>
      <c r="E813" s="175">
        <v>5</v>
      </c>
      <c r="F813" s="175">
        <v>35.35</v>
      </c>
      <c r="G813" s="176">
        <v>176.75</v>
      </c>
      <c r="H813" s="101">
        <v>75</v>
      </c>
      <c r="K813"/>
    </row>
    <row r="814" spans="1:11" x14ac:dyDescent="0.25">
      <c r="A814" s="174">
        <v>40938</v>
      </c>
      <c r="B814" s="161" t="s">
        <v>745</v>
      </c>
      <c r="C814" s="98" t="s">
        <v>8</v>
      </c>
      <c r="D814" s="98" t="s">
        <v>26</v>
      </c>
      <c r="E814" s="175">
        <v>5</v>
      </c>
      <c r="F814" s="175">
        <v>35.35</v>
      </c>
      <c r="G814" s="176">
        <v>176.75</v>
      </c>
      <c r="H814" s="101">
        <v>75</v>
      </c>
      <c r="K814"/>
    </row>
    <row r="815" spans="1:11" x14ac:dyDescent="0.25">
      <c r="A815" s="174">
        <v>40948</v>
      </c>
      <c r="B815" s="161" t="s">
        <v>745</v>
      </c>
      <c r="C815" s="98" t="s">
        <v>8</v>
      </c>
      <c r="D815" s="98" t="s">
        <v>26</v>
      </c>
      <c r="E815" s="175">
        <v>3</v>
      </c>
      <c r="F815" s="175">
        <v>35.35</v>
      </c>
      <c r="G815" s="176">
        <v>106.05</v>
      </c>
      <c r="H815" s="101">
        <v>75</v>
      </c>
      <c r="K815"/>
    </row>
    <row r="816" spans="1:11" x14ac:dyDescent="0.25">
      <c r="A816" s="174">
        <v>40948</v>
      </c>
      <c r="B816" s="161" t="s">
        <v>745</v>
      </c>
      <c r="C816" s="98" t="s">
        <v>8</v>
      </c>
      <c r="D816" s="98" t="s">
        <v>26</v>
      </c>
      <c r="E816" s="175">
        <v>5</v>
      </c>
      <c r="F816" s="175">
        <v>35.35</v>
      </c>
      <c r="G816" s="176">
        <v>176.75</v>
      </c>
      <c r="H816" s="101">
        <v>75</v>
      </c>
      <c r="K816"/>
    </row>
    <row r="817" spans="1:11" x14ac:dyDescent="0.25">
      <c r="A817" s="174">
        <v>40949</v>
      </c>
      <c r="B817" s="161" t="s">
        <v>745</v>
      </c>
      <c r="C817" s="98" t="s">
        <v>8</v>
      </c>
      <c r="D817" s="98" t="s">
        <v>26</v>
      </c>
      <c r="E817" s="175">
        <v>2</v>
      </c>
      <c r="F817" s="175">
        <v>35.35</v>
      </c>
      <c r="G817" s="176">
        <v>70.7</v>
      </c>
      <c r="H817" s="101">
        <v>75</v>
      </c>
      <c r="K817"/>
    </row>
    <row r="818" spans="1:11" x14ac:dyDescent="0.25">
      <c r="A818" s="174">
        <v>40949</v>
      </c>
      <c r="B818" s="161" t="s">
        <v>745</v>
      </c>
      <c r="C818" s="98" t="s">
        <v>8</v>
      </c>
      <c r="D818" s="98" t="s">
        <v>26</v>
      </c>
      <c r="E818" s="175">
        <v>2</v>
      </c>
      <c r="F818" s="175">
        <v>35.35</v>
      </c>
      <c r="G818" s="176">
        <v>70.7</v>
      </c>
      <c r="H818" s="101">
        <v>75</v>
      </c>
      <c r="K818"/>
    </row>
    <row r="819" spans="1:11" x14ac:dyDescent="0.25">
      <c r="A819" s="174">
        <v>40949</v>
      </c>
      <c r="B819" s="161" t="s">
        <v>757</v>
      </c>
      <c r="C819" s="98" t="s">
        <v>758</v>
      </c>
      <c r="D819" s="98" t="s">
        <v>26</v>
      </c>
      <c r="E819" s="175">
        <v>1</v>
      </c>
      <c r="F819" s="175">
        <v>90</v>
      </c>
      <c r="G819" s="176">
        <v>90</v>
      </c>
      <c r="H819" s="101">
        <v>75</v>
      </c>
      <c r="K819"/>
    </row>
    <row r="820" spans="1:11" x14ac:dyDescent="0.25">
      <c r="A820" s="174">
        <v>40954</v>
      </c>
      <c r="B820" s="161" t="s">
        <v>926</v>
      </c>
      <c r="C820" s="98" t="s">
        <v>846</v>
      </c>
      <c r="D820" s="98" t="s">
        <v>715</v>
      </c>
      <c r="E820" s="175">
        <v>1</v>
      </c>
      <c r="F820" s="175">
        <v>64.099999999999994</v>
      </c>
      <c r="G820" s="176">
        <v>64.099999999999994</v>
      </c>
      <c r="H820" s="101">
        <v>75</v>
      </c>
      <c r="K820"/>
    </row>
    <row r="821" spans="1:11" x14ac:dyDescent="0.25">
      <c r="A821" s="174">
        <v>40960</v>
      </c>
      <c r="B821" s="161" t="s">
        <v>745</v>
      </c>
      <c r="C821" s="98" t="s">
        <v>8</v>
      </c>
      <c r="D821" s="98" t="s">
        <v>26</v>
      </c>
      <c r="E821" s="175">
        <v>8</v>
      </c>
      <c r="F821" s="175">
        <v>35.35</v>
      </c>
      <c r="G821" s="176">
        <v>282.8</v>
      </c>
      <c r="H821" s="101">
        <v>75</v>
      </c>
      <c r="K821"/>
    </row>
    <row r="822" spans="1:11" x14ac:dyDescent="0.25">
      <c r="A822" s="174">
        <v>40960</v>
      </c>
      <c r="B822" s="161" t="s">
        <v>745</v>
      </c>
      <c r="C822" s="98" t="s">
        <v>8</v>
      </c>
      <c r="D822" s="98" t="s">
        <v>26</v>
      </c>
      <c r="E822" s="175">
        <v>8</v>
      </c>
      <c r="F822" s="175">
        <v>35.35</v>
      </c>
      <c r="G822" s="176">
        <v>282.8</v>
      </c>
      <c r="H822" s="101">
        <v>75</v>
      </c>
      <c r="K822"/>
    </row>
    <row r="823" spans="1:11" x14ac:dyDescent="0.25">
      <c r="A823" s="174">
        <v>40960</v>
      </c>
      <c r="B823" s="161" t="s">
        <v>745</v>
      </c>
      <c r="C823" s="98" t="s">
        <v>8</v>
      </c>
      <c r="D823" s="98" t="s">
        <v>26</v>
      </c>
      <c r="E823" s="175">
        <v>2</v>
      </c>
      <c r="F823" s="175">
        <v>35.35</v>
      </c>
      <c r="G823" s="176">
        <v>70.7</v>
      </c>
      <c r="H823" s="101">
        <v>75</v>
      </c>
      <c r="K823"/>
    </row>
    <row r="824" spans="1:11" ht="30" x14ac:dyDescent="0.25">
      <c r="A824" s="174">
        <v>40961</v>
      </c>
      <c r="B824" s="161" t="s">
        <v>927</v>
      </c>
      <c r="C824" s="98" t="s">
        <v>846</v>
      </c>
      <c r="D824" s="98" t="s">
        <v>715</v>
      </c>
      <c r="E824" s="175">
        <v>1</v>
      </c>
      <c r="F824" s="175">
        <v>243.71</v>
      </c>
      <c r="G824" s="176">
        <v>243.71</v>
      </c>
      <c r="H824" s="101">
        <v>75</v>
      </c>
      <c r="K824"/>
    </row>
    <row r="825" spans="1:11" x14ac:dyDescent="0.25">
      <c r="A825" s="174">
        <v>40961</v>
      </c>
      <c r="B825" s="161" t="s">
        <v>928</v>
      </c>
      <c r="C825" s="98" t="s">
        <v>786</v>
      </c>
      <c r="D825" s="98" t="s">
        <v>26</v>
      </c>
      <c r="E825" s="175">
        <v>9</v>
      </c>
      <c r="F825" s="175">
        <v>100</v>
      </c>
      <c r="G825" s="176">
        <v>900</v>
      </c>
      <c r="H825" s="101">
        <v>75</v>
      </c>
      <c r="K825"/>
    </row>
    <row r="826" spans="1:11" x14ac:dyDescent="0.25">
      <c r="A826" s="174">
        <v>40962</v>
      </c>
      <c r="B826" s="161" t="s">
        <v>928</v>
      </c>
      <c r="C826" s="98" t="s">
        <v>786</v>
      </c>
      <c r="D826" s="98" t="s">
        <v>26</v>
      </c>
      <c r="E826" s="175">
        <v>9</v>
      </c>
      <c r="F826" s="175">
        <v>100</v>
      </c>
      <c r="G826" s="176">
        <v>900</v>
      </c>
      <c r="H826" s="101">
        <v>75</v>
      </c>
      <c r="K826"/>
    </row>
    <row r="827" spans="1:11" x14ac:dyDescent="0.25">
      <c r="A827" s="174">
        <v>40967</v>
      </c>
      <c r="B827" s="161" t="s">
        <v>929</v>
      </c>
      <c r="C827" s="98" t="s">
        <v>930</v>
      </c>
      <c r="D827" s="98" t="s">
        <v>715</v>
      </c>
      <c r="E827" s="175">
        <v>1</v>
      </c>
      <c r="F827" s="175">
        <v>39</v>
      </c>
      <c r="G827" s="176">
        <v>39</v>
      </c>
      <c r="H827" s="101">
        <v>75</v>
      </c>
      <c r="K827"/>
    </row>
    <row r="828" spans="1:11" x14ac:dyDescent="0.25">
      <c r="A828" s="177" t="s">
        <v>643</v>
      </c>
      <c r="B828" s="178" t="s">
        <v>931</v>
      </c>
      <c r="C828" s="179" t="s">
        <v>643</v>
      </c>
      <c r="D828" s="179" t="s">
        <v>643</v>
      </c>
      <c r="E828" s="180"/>
      <c r="F828" s="180"/>
      <c r="G828" s="181">
        <v>4008.49</v>
      </c>
      <c r="H828" s="188" t="s">
        <v>643</v>
      </c>
      <c r="K828"/>
    </row>
    <row r="829" spans="1:11" x14ac:dyDescent="0.25">
      <c r="A829" s="174" t="s">
        <v>643</v>
      </c>
      <c r="B829" s="161" t="s">
        <v>643</v>
      </c>
      <c r="C829" s="98" t="s">
        <v>643</v>
      </c>
      <c r="D829" s="98" t="s">
        <v>643</v>
      </c>
      <c r="E829" s="175"/>
      <c r="F829" s="175"/>
      <c r="G829" s="176"/>
      <c r="H829" s="101" t="s">
        <v>643</v>
      </c>
      <c r="K829"/>
    </row>
    <row r="830" spans="1:11" x14ac:dyDescent="0.25">
      <c r="A830" s="171" t="s">
        <v>643</v>
      </c>
      <c r="B830" s="164" t="s">
        <v>1190</v>
      </c>
      <c r="C830" s="100" t="s">
        <v>643</v>
      </c>
      <c r="D830" s="100" t="s">
        <v>643</v>
      </c>
      <c r="E830" s="172"/>
      <c r="F830" s="172"/>
      <c r="G830" s="173"/>
      <c r="H830" s="187" t="s">
        <v>643</v>
      </c>
      <c r="K830"/>
    </row>
    <row r="831" spans="1:11" x14ac:dyDescent="0.25">
      <c r="A831" s="174">
        <v>40794</v>
      </c>
      <c r="B831" s="161" t="s">
        <v>745</v>
      </c>
      <c r="C831" s="98" t="s">
        <v>8</v>
      </c>
      <c r="D831" s="98" t="s">
        <v>26</v>
      </c>
      <c r="E831" s="175">
        <v>2</v>
      </c>
      <c r="F831" s="175">
        <v>35.35</v>
      </c>
      <c r="G831" s="176">
        <v>70.7</v>
      </c>
      <c r="H831" s="101">
        <v>81</v>
      </c>
      <c r="K831"/>
    </row>
    <row r="832" spans="1:11" x14ac:dyDescent="0.25">
      <c r="A832" s="174">
        <v>40794</v>
      </c>
      <c r="B832" s="161" t="s">
        <v>745</v>
      </c>
      <c r="C832" s="98" t="s">
        <v>8</v>
      </c>
      <c r="D832" s="98" t="s">
        <v>26</v>
      </c>
      <c r="E832" s="175">
        <v>1</v>
      </c>
      <c r="F832" s="175">
        <v>35.35</v>
      </c>
      <c r="G832" s="176">
        <v>35.35</v>
      </c>
      <c r="H832" s="101">
        <v>81</v>
      </c>
      <c r="K832"/>
    </row>
    <row r="833" spans="1:11" x14ac:dyDescent="0.25">
      <c r="A833" s="174">
        <v>40794</v>
      </c>
      <c r="B833" s="161" t="s">
        <v>742</v>
      </c>
      <c r="C833" s="98" t="s">
        <v>8</v>
      </c>
      <c r="D833" s="98" t="s">
        <v>26</v>
      </c>
      <c r="E833" s="175">
        <v>2.5</v>
      </c>
      <c r="F833" s="175">
        <v>44.2</v>
      </c>
      <c r="G833" s="176">
        <v>110.5</v>
      </c>
      <c r="H833" s="101">
        <v>81</v>
      </c>
      <c r="K833"/>
    </row>
    <row r="834" spans="1:11" x14ac:dyDescent="0.25">
      <c r="A834" s="174">
        <v>40799</v>
      </c>
      <c r="B834" s="161" t="s">
        <v>745</v>
      </c>
      <c r="C834" s="98" t="s">
        <v>8</v>
      </c>
      <c r="D834" s="98" t="s">
        <v>26</v>
      </c>
      <c r="E834" s="175">
        <v>5</v>
      </c>
      <c r="F834" s="175">
        <v>35.35</v>
      </c>
      <c r="G834" s="176">
        <v>176.75</v>
      </c>
      <c r="H834" s="101">
        <v>81</v>
      </c>
      <c r="K834"/>
    </row>
    <row r="835" spans="1:11" x14ac:dyDescent="0.25">
      <c r="A835" s="174">
        <v>40799</v>
      </c>
      <c r="B835" s="161" t="s">
        <v>742</v>
      </c>
      <c r="C835" s="98" t="s">
        <v>8</v>
      </c>
      <c r="D835" s="98" t="s">
        <v>26</v>
      </c>
      <c r="E835" s="175">
        <v>5</v>
      </c>
      <c r="F835" s="175">
        <v>44.2</v>
      </c>
      <c r="G835" s="176">
        <v>221</v>
      </c>
      <c r="H835" s="101">
        <v>81</v>
      </c>
      <c r="K835"/>
    </row>
    <row r="836" spans="1:11" x14ac:dyDescent="0.25">
      <c r="A836" s="174">
        <v>40800</v>
      </c>
      <c r="B836" s="161" t="s">
        <v>745</v>
      </c>
      <c r="C836" s="98" t="s">
        <v>8</v>
      </c>
      <c r="D836" s="98" t="s">
        <v>26</v>
      </c>
      <c r="E836" s="175">
        <v>10.5</v>
      </c>
      <c r="F836" s="175">
        <v>35.35</v>
      </c>
      <c r="G836" s="176">
        <v>371.17500000000001</v>
      </c>
      <c r="H836" s="101">
        <v>81</v>
      </c>
      <c r="K836"/>
    </row>
    <row r="837" spans="1:11" x14ac:dyDescent="0.25">
      <c r="A837" s="174">
        <v>40800</v>
      </c>
      <c r="B837" s="161" t="s">
        <v>742</v>
      </c>
      <c r="C837" s="98" t="s">
        <v>8</v>
      </c>
      <c r="D837" s="98" t="s">
        <v>26</v>
      </c>
      <c r="E837" s="175">
        <v>10.5</v>
      </c>
      <c r="F837" s="175">
        <v>44.2</v>
      </c>
      <c r="G837" s="176">
        <v>464.1</v>
      </c>
      <c r="H837" s="101">
        <v>81</v>
      </c>
      <c r="K837"/>
    </row>
    <row r="838" spans="1:11" x14ac:dyDescent="0.25">
      <c r="A838" s="174">
        <v>40801</v>
      </c>
      <c r="B838" s="161" t="s">
        <v>742</v>
      </c>
      <c r="C838" s="98" t="s">
        <v>8</v>
      </c>
      <c r="D838" s="98" t="s">
        <v>26</v>
      </c>
      <c r="E838" s="175">
        <v>10</v>
      </c>
      <c r="F838" s="175">
        <v>44.2</v>
      </c>
      <c r="G838" s="176">
        <v>442</v>
      </c>
      <c r="H838" s="101">
        <v>81</v>
      </c>
      <c r="K838"/>
    </row>
    <row r="839" spans="1:11" x14ac:dyDescent="0.25">
      <c r="A839" s="174">
        <v>40801</v>
      </c>
      <c r="B839" s="161" t="s">
        <v>932</v>
      </c>
      <c r="C839" s="98" t="s">
        <v>814</v>
      </c>
      <c r="D839" s="98" t="s">
        <v>715</v>
      </c>
      <c r="E839" s="175">
        <v>1</v>
      </c>
      <c r="F839" s="175">
        <v>362.55</v>
      </c>
      <c r="G839" s="176">
        <v>362.55</v>
      </c>
      <c r="H839" s="101">
        <v>81</v>
      </c>
      <c r="K839"/>
    </row>
    <row r="840" spans="1:11" x14ac:dyDescent="0.25">
      <c r="A840" s="174">
        <v>40801</v>
      </c>
      <c r="B840" s="161" t="s">
        <v>745</v>
      </c>
      <c r="C840" s="98" t="s">
        <v>8</v>
      </c>
      <c r="D840" s="98" t="s">
        <v>26</v>
      </c>
      <c r="E840" s="175">
        <v>10</v>
      </c>
      <c r="F840" s="175">
        <v>35.35</v>
      </c>
      <c r="G840" s="176">
        <v>353.5</v>
      </c>
      <c r="H840" s="101">
        <v>81</v>
      </c>
      <c r="K840"/>
    </row>
    <row r="841" spans="1:11" x14ac:dyDescent="0.25">
      <c r="A841" s="174">
        <v>40802</v>
      </c>
      <c r="B841" s="161" t="s">
        <v>745</v>
      </c>
      <c r="C841" s="98" t="s">
        <v>8</v>
      </c>
      <c r="D841" s="98" t="s">
        <v>26</v>
      </c>
      <c r="E841" s="175">
        <v>8</v>
      </c>
      <c r="F841" s="175">
        <v>35.35</v>
      </c>
      <c r="G841" s="176">
        <v>282.8</v>
      </c>
      <c r="H841" s="101">
        <v>81</v>
      </c>
      <c r="K841"/>
    </row>
    <row r="842" spans="1:11" x14ac:dyDescent="0.25">
      <c r="A842" s="174">
        <v>40802</v>
      </c>
      <c r="B842" s="161" t="s">
        <v>742</v>
      </c>
      <c r="C842" s="98" t="s">
        <v>8</v>
      </c>
      <c r="D842" s="98" t="s">
        <v>26</v>
      </c>
      <c r="E842" s="175">
        <v>8</v>
      </c>
      <c r="F842" s="175">
        <v>44.2</v>
      </c>
      <c r="G842" s="176">
        <v>353.6</v>
      </c>
      <c r="H842" s="101">
        <v>81</v>
      </c>
      <c r="K842"/>
    </row>
    <row r="843" spans="1:11" x14ac:dyDescent="0.25">
      <c r="A843" s="174">
        <v>40803</v>
      </c>
      <c r="B843" s="161" t="s">
        <v>359</v>
      </c>
      <c r="C843" s="98" t="s">
        <v>752</v>
      </c>
      <c r="D843" s="98" t="s">
        <v>26</v>
      </c>
      <c r="E843" s="175">
        <v>8</v>
      </c>
      <c r="F843" s="175">
        <v>11.67</v>
      </c>
      <c r="G843" s="176">
        <v>93.36</v>
      </c>
      <c r="H843" s="101">
        <v>81</v>
      </c>
      <c r="K843"/>
    </row>
    <row r="844" spans="1:11" x14ac:dyDescent="0.25">
      <c r="A844" s="174">
        <v>40803</v>
      </c>
      <c r="B844" s="161" t="s">
        <v>742</v>
      </c>
      <c r="C844" s="98" t="s">
        <v>8</v>
      </c>
      <c r="D844" s="98" t="s">
        <v>26</v>
      </c>
      <c r="E844" s="175">
        <v>8</v>
      </c>
      <c r="F844" s="175">
        <v>44.2</v>
      </c>
      <c r="G844" s="176">
        <v>353.6</v>
      </c>
      <c r="H844" s="101">
        <v>81</v>
      </c>
      <c r="K844"/>
    </row>
    <row r="845" spans="1:11" x14ac:dyDescent="0.25">
      <c r="A845" s="174">
        <v>40803</v>
      </c>
      <c r="B845" s="161" t="s">
        <v>745</v>
      </c>
      <c r="C845" s="98" t="s">
        <v>8</v>
      </c>
      <c r="D845" s="98" t="s">
        <v>26</v>
      </c>
      <c r="E845" s="175">
        <v>8</v>
      </c>
      <c r="F845" s="175">
        <v>35.35</v>
      </c>
      <c r="G845" s="176">
        <v>282.8</v>
      </c>
      <c r="H845" s="101">
        <v>81</v>
      </c>
      <c r="K845"/>
    </row>
    <row r="846" spans="1:11" x14ac:dyDescent="0.25">
      <c r="A846" s="174">
        <v>40805</v>
      </c>
      <c r="B846" s="161" t="s">
        <v>742</v>
      </c>
      <c r="C846" s="98" t="s">
        <v>8</v>
      </c>
      <c r="D846" s="98" t="s">
        <v>26</v>
      </c>
      <c r="E846" s="175">
        <v>10</v>
      </c>
      <c r="F846" s="175">
        <v>44.2</v>
      </c>
      <c r="G846" s="176">
        <v>442</v>
      </c>
      <c r="H846" s="101">
        <v>81</v>
      </c>
      <c r="K846"/>
    </row>
    <row r="847" spans="1:11" x14ac:dyDescent="0.25">
      <c r="A847" s="174">
        <v>40805</v>
      </c>
      <c r="B847" s="161" t="s">
        <v>359</v>
      </c>
      <c r="C847" s="98" t="s">
        <v>752</v>
      </c>
      <c r="D847" s="98" t="s">
        <v>26</v>
      </c>
      <c r="E847" s="175">
        <v>10</v>
      </c>
      <c r="F847" s="175">
        <v>11.67</v>
      </c>
      <c r="G847" s="176">
        <v>116.7</v>
      </c>
      <c r="H847" s="101">
        <v>81</v>
      </c>
      <c r="K847"/>
    </row>
    <row r="848" spans="1:11" x14ac:dyDescent="0.25">
      <c r="A848" s="174">
        <v>40805</v>
      </c>
      <c r="B848" s="161" t="s">
        <v>745</v>
      </c>
      <c r="C848" s="98" t="s">
        <v>8</v>
      </c>
      <c r="D848" s="98" t="s">
        <v>26</v>
      </c>
      <c r="E848" s="175">
        <v>10</v>
      </c>
      <c r="F848" s="175">
        <v>35.35</v>
      </c>
      <c r="G848" s="176">
        <v>353.5</v>
      </c>
      <c r="H848" s="101">
        <v>81</v>
      </c>
      <c r="K848"/>
    </row>
    <row r="849" spans="1:11" x14ac:dyDescent="0.25">
      <c r="A849" s="174">
        <v>40805</v>
      </c>
      <c r="B849" s="161" t="s">
        <v>745</v>
      </c>
      <c r="C849" s="98" t="s">
        <v>8</v>
      </c>
      <c r="D849" s="98" t="s">
        <v>26</v>
      </c>
      <c r="E849" s="175">
        <v>10</v>
      </c>
      <c r="F849" s="175">
        <v>35.35</v>
      </c>
      <c r="G849" s="176">
        <v>353.5</v>
      </c>
      <c r="H849" s="101">
        <v>81</v>
      </c>
      <c r="K849"/>
    </row>
    <row r="850" spans="1:11" x14ac:dyDescent="0.25">
      <c r="A850" s="174">
        <v>40806</v>
      </c>
      <c r="B850" s="161" t="s">
        <v>742</v>
      </c>
      <c r="C850" s="98" t="s">
        <v>8</v>
      </c>
      <c r="D850" s="98" t="s">
        <v>26</v>
      </c>
      <c r="E850" s="175">
        <v>10</v>
      </c>
      <c r="F850" s="175">
        <v>44.2</v>
      </c>
      <c r="G850" s="176">
        <v>442</v>
      </c>
      <c r="H850" s="101">
        <v>81</v>
      </c>
      <c r="K850"/>
    </row>
    <row r="851" spans="1:11" x14ac:dyDescent="0.25">
      <c r="A851" s="174">
        <v>40806</v>
      </c>
      <c r="B851" s="161" t="s">
        <v>359</v>
      </c>
      <c r="C851" s="98" t="s">
        <v>752</v>
      </c>
      <c r="D851" s="98" t="s">
        <v>26</v>
      </c>
      <c r="E851" s="175">
        <v>10</v>
      </c>
      <c r="F851" s="175">
        <v>11.67</v>
      </c>
      <c r="G851" s="176">
        <v>116.7</v>
      </c>
      <c r="H851" s="101">
        <v>81</v>
      </c>
      <c r="K851"/>
    </row>
    <row r="852" spans="1:11" x14ac:dyDescent="0.25">
      <c r="A852" s="174">
        <v>40806</v>
      </c>
      <c r="B852" s="161" t="s">
        <v>745</v>
      </c>
      <c r="C852" s="98" t="s">
        <v>8</v>
      </c>
      <c r="D852" s="98" t="s">
        <v>26</v>
      </c>
      <c r="E852" s="175">
        <v>2.5</v>
      </c>
      <c r="F852" s="175">
        <v>35.35</v>
      </c>
      <c r="G852" s="176">
        <v>88.375</v>
      </c>
      <c r="H852" s="101">
        <v>81</v>
      </c>
      <c r="K852"/>
    </row>
    <row r="853" spans="1:11" x14ac:dyDescent="0.25">
      <c r="A853" s="174">
        <v>40806</v>
      </c>
      <c r="B853" s="161" t="s">
        <v>745</v>
      </c>
      <c r="C853" s="98" t="s">
        <v>8</v>
      </c>
      <c r="D853" s="98" t="s">
        <v>26</v>
      </c>
      <c r="E853" s="175">
        <v>10</v>
      </c>
      <c r="F853" s="175">
        <v>35.35</v>
      </c>
      <c r="G853" s="176">
        <v>353.5</v>
      </c>
      <c r="H853" s="101">
        <v>81</v>
      </c>
      <c r="K853"/>
    </row>
    <row r="854" spans="1:11" x14ac:dyDescent="0.25">
      <c r="A854" s="174">
        <v>40806</v>
      </c>
      <c r="B854" s="161" t="s">
        <v>745</v>
      </c>
      <c r="C854" s="98" t="s">
        <v>8</v>
      </c>
      <c r="D854" s="98" t="s">
        <v>26</v>
      </c>
      <c r="E854" s="175">
        <v>2.5</v>
      </c>
      <c r="F854" s="175">
        <v>35.35</v>
      </c>
      <c r="G854" s="176">
        <v>88.375</v>
      </c>
      <c r="H854" s="101">
        <v>81</v>
      </c>
      <c r="K854"/>
    </row>
    <row r="855" spans="1:11" x14ac:dyDescent="0.25">
      <c r="A855" s="174">
        <v>40806</v>
      </c>
      <c r="B855" s="161" t="s">
        <v>763</v>
      </c>
      <c r="C855" s="98" t="s">
        <v>764</v>
      </c>
      <c r="D855" s="98" t="s">
        <v>26</v>
      </c>
      <c r="E855" s="175">
        <v>7.5</v>
      </c>
      <c r="F855" s="175">
        <v>100</v>
      </c>
      <c r="G855" s="176">
        <v>750</v>
      </c>
      <c r="H855" s="101">
        <v>81</v>
      </c>
      <c r="K855"/>
    </row>
    <row r="856" spans="1:11" x14ac:dyDescent="0.25">
      <c r="A856" s="174">
        <v>40806</v>
      </c>
      <c r="B856" s="161" t="s">
        <v>745</v>
      </c>
      <c r="C856" s="98" t="s">
        <v>8</v>
      </c>
      <c r="D856" s="98" t="s">
        <v>26</v>
      </c>
      <c r="E856" s="175">
        <v>10</v>
      </c>
      <c r="F856" s="175">
        <v>35.35</v>
      </c>
      <c r="G856" s="176">
        <v>353.5</v>
      </c>
      <c r="H856" s="101">
        <v>81</v>
      </c>
      <c r="K856"/>
    </row>
    <row r="857" spans="1:11" x14ac:dyDescent="0.25">
      <c r="A857" s="174">
        <v>40807</v>
      </c>
      <c r="B857" s="161" t="s">
        <v>745</v>
      </c>
      <c r="C857" s="98" t="s">
        <v>8</v>
      </c>
      <c r="D857" s="98" t="s">
        <v>26</v>
      </c>
      <c r="E857" s="175">
        <v>10</v>
      </c>
      <c r="F857" s="175">
        <v>35.35</v>
      </c>
      <c r="G857" s="176">
        <v>353.5</v>
      </c>
      <c r="H857" s="101">
        <v>81</v>
      </c>
      <c r="K857"/>
    </row>
    <row r="858" spans="1:11" x14ac:dyDescent="0.25">
      <c r="A858" s="174">
        <v>40807</v>
      </c>
      <c r="B858" s="161" t="s">
        <v>359</v>
      </c>
      <c r="C858" s="98" t="s">
        <v>752</v>
      </c>
      <c r="D858" s="98" t="s">
        <v>26</v>
      </c>
      <c r="E858" s="175">
        <v>10</v>
      </c>
      <c r="F858" s="175">
        <v>11.67</v>
      </c>
      <c r="G858" s="176">
        <v>116.7</v>
      </c>
      <c r="H858" s="101">
        <v>81</v>
      </c>
      <c r="K858"/>
    </row>
    <row r="859" spans="1:11" x14ac:dyDescent="0.25">
      <c r="A859" s="174">
        <v>40807</v>
      </c>
      <c r="B859" s="161" t="s">
        <v>745</v>
      </c>
      <c r="C859" s="98" t="s">
        <v>8</v>
      </c>
      <c r="D859" s="98" t="s">
        <v>26</v>
      </c>
      <c r="E859" s="175">
        <v>10</v>
      </c>
      <c r="F859" s="175">
        <v>35.35</v>
      </c>
      <c r="G859" s="176">
        <v>353.5</v>
      </c>
      <c r="H859" s="101">
        <v>81</v>
      </c>
      <c r="K859"/>
    </row>
    <row r="860" spans="1:11" x14ac:dyDescent="0.25">
      <c r="A860" s="174">
        <v>40807</v>
      </c>
      <c r="B860" s="161" t="s">
        <v>745</v>
      </c>
      <c r="C860" s="98" t="s">
        <v>8</v>
      </c>
      <c r="D860" s="98" t="s">
        <v>26</v>
      </c>
      <c r="E860" s="175">
        <v>2</v>
      </c>
      <c r="F860" s="175">
        <v>35.35</v>
      </c>
      <c r="G860" s="176">
        <v>70.7</v>
      </c>
      <c r="H860" s="101">
        <v>81</v>
      </c>
      <c r="K860"/>
    </row>
    <row r="861" spans="1:11" x14ac:dyDescent="0.25">
      <c r="A861" s="174">
        <v>40807</v>
      </c>
      <c r="B861" s="161" t="s">
        <v>745</v>
      </c>
      <c r="C861" s="98" t="s">
        <v>8</v>
      </c>
      <c r="D861" s="98" t="s">
        <v>26</v>
      </c>
      <c r="E861" s="175">
        <v>2</v>
      </c>
      <c r="F861" s="175">
        <v>35.35</v>
      </c>
      <c r="G861" s="176">
        <v>70.7</v>
      </c>
      <c r="H861" s="101">
        <v>81</v>
      </c>
      <c r="K861"/>
    </row>
    <row r="862" spans="1:11" x14ac:dyDescent="0.25">
      <c r="A862" s="174">
        <v>40807</v>
      </c>
      <c r="B862" s="161" t="s">
        <v>742</v>
      </c>
      <c r="C862" s="98" t="s">
        <v>8</v>
      </c>
      <c r="D862" s="98" t="s">
        <v>26</v>
      </c>
      <c r="E862" s="175">
        <v>10</v>
      </c>
      <c r="F862" s="175">
        <v>44.2</v>
      </c>
      <c r="G862" s="176">
        <v>442</v>
      </c>
      <c r="H862" s="101">
        <v>81</v>
      </c>
      <c r="K862"/>
    </row>
    <row r="863" spans="1:11" x14ac:dyDescent="0.25">
      <c r="A863" s="174">
        <v>40808</v>
      </c>
      <c r="B863" s="161" t="s">
        <v>745</v>
      </c>
      <c r="C863" s="98" t="s">
        <v>8</v>
      </c>
      <c r="D863" s="98" t="s">
        <v>26</v>
      </c>
      <c r="E863" s="175">
        <v>8</v>
      </c>
      <c r="F863" s="175">
        <v>35.35</v>
      </c>
      <c r="G863" s="176">
        <v>282.8</v>
      </c>
      <c r="H863" s="101">
        <v>81</v>
      </c>
      <c r="K863"/>
    </row>
    <row r="864" spans="1:11" x14ac:dyDescent="0.25">
      <c r="A864" s="174">
        <v>40808</v>
      </c>
      <c r="B864" s="161" t="s">
        <v>745</v>
      </c>
      <c r="C864" s="98" t="s">
        <v>8</v>
      </c>
      <c r="D864" s="98" t="s">
        <v>26</v>
      </c>
      <c r="E864" s="175">
        <v>8</v>
      </c>
      <c r="F864" s="175">
        <v>10.5</v>
      </c>
      <c r="G864" s="176">
        <v>84</v>
      </c>
      <c r="H864" s="101">
        <v>81</v>
      </c>
      <c r="K864"/>
    </row>
    <row r="865" spans="1:11" x14ac:dyDescent="0.25">
      <c r="A865" s="174">
        <v>40808</v>
      </c>
      <c r="B865" s="161" t="s">
        <v>742</v>
      </c>
      <c r="C865" s="98" t="s">
        <v>8</v>
      </c>
      <c r="D865" s="98" t="s">
        <v>26</v>
      </c>
      <c r="E865" s="175">
        <v>8</v>
      </c>
      <c r="F865" s="175">
        <v>44.2</v>
      </c>
      <c r="G865" s="176">
        <v>353.6</v>
      </c>
      <c r="H865" s="101">
        <v>81</v>
      </c>
      <c r="K865"/>
    </row>
    <row r="866" spans="1:11" x14ac:dyDescent="0.25">
      <c r="A866" s="174">
        <v>40808</v>
      </c>
      <c r="B866" s="161" t="s">
        <v>745</v>
      </c>
      <c r="C866" s="98" t="s">
        <v>8</v>
      </c>
      <c r="D866" s="98" t="s">
        <v>26</v>
      </c>
      <c r="E866" s="175">
        <v>8</v>
      </c>
      <c r="F866" s="175">
        <v>35.35</v>
      </c>
      <c r="G866" s="176">
        <v>282.8</v>
      </c>
      <c r="H866" s="101">
        <v>81</v>
      </c>
      <c r="K866"/>
    </row>
    <row r="867" spans="1:11" x14ac:dyDescent="0.25">
      <c r="A867" s="174">
        <v>40809</v>
      </c>
      <c r="B867" s="161" t="s">
        <v>745</v>
      </c>
      <c r="C867" s="98" t="s">
        <v>8</v>
      </c>
      <c r="D867" s="98" t="s">
        <v>26</v>
      </c>
      <c r="E867" s="175">
        <v>5</v>
      </c>
      <c r="F867" s="175">
        <v>35.35</v>
      </c>
      <c r="G867" s="176">
        <v>176.75</v>
      </c>
      <c r="H867" s="101">
        <v>81</v>
      </c>
      <c r="K867"/>
    </row>
    <row r="868" spans="1:11" x14ac:dyDescent="0.25">
      <c r="A868" s="174">
        <v>40809</v>
      </c>
      <c r="B868" s="161" t="s">
        <v>745</v>
      </c>
      <c r="C868" s="98" t="s">
        <v>8</v>
      </c>
      <c r="D868" s="98" t="s">
        <v>26</v>
      </c>
      <c r="E868" s="175">
        <v>8</v>
      </c>
      <c r="F868" s="175">
        <v>10.5</v>
      </c>
      <c r="G868" s="176">
        <v>84</v>
      </c>
      <c r="H868" s="101">
        <v>81</v>
      </c>
      <c r="K868"/>
    </row>
    <row r="869" spans="1:11" x14ac:dyDescent="0.25">
      <c r="A869" s="174">
        <v>40809</v>
      </c>
      <c r="B869" s="161" t="s">
        <v>742</v>
      </c>
      <c r="C869" s="98" t="s">
        <v>8</v>
      </c>
      <c r="D869" s="98" t="s">
        <v>26</v>
      </c>
      <c r="E869" s="175">
        <v>8</v>
      </c>
      <c r="F869" s="175">
        <v>44.2</v>
      </c>
      <c r="G869" s="176">
        <v>353.6</v>
      </c>
      <c r="H869" s="101">
        <v>81</v>
      </c>
      <c r="K869"/>
    </row>
    <row r="870" spans="1:11" x14ac:dyDescent="0.25">
      <c r="A870" s="174">
        <v>40809</v>
      </c>
      <c r="B870" s="161" t="s">
        <v>745</v>
      </c>
      <c r="C870" s="98" t="s">
        <v>8</v>
      </c>
      <c r="D870" s="98" t="s">
        <v>26</v>
      </c>
      <c r="E870" s="175">
        <v>4.5</v>
      </c>
      <c r="F870" s="175">
        <v>35.35</v>
      </c>
      <c r="G870" s="176">
        <v>159.07499999999999</v>
      </c>
      <c r="H870" s="101">
        <v>81</v>
      </c>
      <c r="K870"/>
    </row>
    <row r="871" spans="1:11" x14ac:dyDescent="0.25">
      <c r="A871" s="174">
        <v>40812</v>
      </c>
      <c r="B871" s="161" t="s">
        <v>745</v>
      </c>
      <c r="C871" s="98" t="s">
        <v>8</v>
      </c>
      <c r="D871" s="98" t="s">
        <v>26</v>
      </c>
      <c r="E871" s="175">
        <v>10</v>
      </c>
      <c r="F871" s="175">
        <v>35.35</v>
      </c>
      <c r="G871" s="176">
        <v>353.5</v>
      </c>
      <c r="H871" s="101">
        <v>81</v>
      </c>
      <c r="K871"/>
    </row>
    <row r="872" spans="1:11" x14ac:dyDescent="0.25">
      <c r="A872" s="174">
        <v>40812</v>
      </c>
      <c r="B872" s="161" t="s">
        <v>742</v>
      </c>
      <c r="C872" s="98" t="s">
        <v>8</v>
      </c>
      <c r="D872" s="98" t="s">
        <v>26</v>
      </c>
      <c r="E872" s="175">
        <v>10</v>
      </c>
      <c r="F872" s="175">
        <v>44.2</v>
      </c>
      <c r="G872" s="176">
        <v>442</v>
      </c>
      <c r="H872" s="101">
        <v>81</v>
      </c>
      <c r="K872"/>
    </row>
    <row r="873" spans="1:11" x14ac:dyDescent="0.25">
      <c r="A873" s="174">
        <v>40813</v>
      </c>
      <c r="B873" s="161" t="s">
        <v>742</v>
      </c>
      <c r="C873" s="98" t="s">
        <v>8</v>
      </c>
      <c r="D873" s="98" t="s">
        <v>26</v>
      </c>
      <c r="E873" s="175">
        <v>10</v>
      </c>
      <c r="F873" s="175">
        <v>44.2</v>
      </c>
      <c r="G873" s="176">
        <v>442</v>
      </c>
      <c r="H873" s="101">
        <v>81</v>
      </c>
      <c r="K873"/>
    </row>
    <row r="874" spans="1:11" x14ac:dyDescent="0.25">
      <c r="A874" s="174">
        <v>40813</v>
      </c>
      <c r="B874" s="161" t="s">
        <v>745</v>
      </c>
      <c r="C874" s="98" t="s">
        <v>8</v>
      </c>
      <c r="D874" s="98" t="s">
        <v>26</v>
      </c>
      <c r="E874" s="175">
        <v>10</v>
      </c>
      <c r="F874" s="175">
        <v>35.35</v>
      </c>
      <c r="G874" s="176">
        <v>353.5</v>
      </c>
      <c r="H874" s="101">
        <v>81</v>
      </c>
      <c r="K874"/>
    </row>
    <row r="875" spans="1:11" x14ac:dyDescent="0.25">
      <c r="A875" s="174">
        <v>40814</v>
      </c>
      <c r="B875" s="161" t="s">
        <v>742</v>
      </c>
      <c r="C875" s="98" t="s">
        <v>8</v>
      </c>
      <c r="D875" s="98" t="s">
        <v>26</v>
      </c>
      <c r="E875" s="175">
        <v>10</v>
      </c>
      <c r="F875" s="175">
        <v>44.2</v>
      </c>
      <c r="G875" s="176">
        <v>442</v>
      </c>
      <c r="H875" s="101">
        <v>81</v>
      </c>
      <c r="K875"/>
    </row>
    <row r="876" spans="1:11" x14ac:dyDescent="0.25">
      <c r="A876" s="174">
        <v>40814</v>
      </c>
      <c r="B876" s="161" t="s">
        <v>745</v>
      </c>
      <c r="C876" s="98" t="s">
        <v>8</v>
      </c>
      <c r="D876" s="98" t="s">
        <v>26</v>
      </c>
      <c r="E876" s="175">
        <v>10</v>
      </c>
      <c r="F876" s="175">
        <v>35.35</v>
      </c>
      <c r="G876" s="176">
        <v>353.5</v>
      </c>
      <c r="H876" s="101">
        <v>81</v>
      </c>
      <c r="K876"/>
    </row>
    <row r="877" spans="1:11" x14ac:dyDescent="0.25">
      <c r="A877" s="174">
        <v>40815</v>
      </c>
      <c r="B877" s="161" t="s">
        <v>742</v>
      </c>
      <c r="C877" s="98" t="s">
        <v>8</v>
      </c>
      <c r="D877" s="98" t="s">
        <v>26</v>
      </c>
      <c r="E877" s="175">
        <v>10.5</v>
      </c>
      <c r="F877" s="175">
        <v>44.2</v>
      </c>
      <c r="G877" s="176">
        <v>464.1</v>
      </c>
      <c r="H877" s="101">
        <v>81</v>
      </c>
      <c r="K877"/>
    </row>
    <row r="878" spans="1:11" x14ac:dyDescent="0.25">
      <c r="A878" s="174">
        <v>40815</v>
      </c>
      <c r="B878" s="161" t="s">
        <v>745</v>
      </c>
      <c r="C878" s="98" t="s">
        <v>8</v>
      </c>
      <c r="D878" s="98" t="s">
        <v>26</v>
      </c>
      <c r="E878" s="175">
        <v>10.5</v>
      </c>
      <c r="F878" s="175">
        <v>35.35</v>
      </c>
      <c r="G878" s="176">
        <v>371.17500000000001</v>
      </c>
      <c r="H878" s="101">
        <v>81</v>
      </c>
      <c r="K878"/>
    </row>
    <row r="879" spans="1:11" x14ac:dyDescent="0.25">
      <c r="A879" s="174">
        <v>40816</v>
      </c>
      <c r="B879" s="161" t="s">
        <v>742</v>
      </c>
      <c r="C879" s="98" t="s">
        <v>8</v>
      </c>
      <c r="D879" s="98" t="s">
        <v>26</v>
      </c>
      <c r="E879" s="175">
        <v>9</v>
      </c>
      <c r="F879" s="175">
        <v>44.2</v>
      </c>
      <c r="G879" s="176">
        <v>397.8</v>
      </c>
      <c r="H879" s="101">
        <v>81</v>
      </c>
      <c r="K879"/>
    </row>
    <row r="880" spans="1:11" x14ac:dyDescent="0.25">
      <c r="A880" s="174">
        <v>40816</v>
      </c>
      <c r="B880" s="161" t="s">
        <v>745</v>
      </c>
      <c r="C880" s="98" t="s">
        <v>8</v>
      </c>
      <c r="D880" s="98" t="s">
        <v>26</v>
      </c>
      <c r="E880" s="175">
        <v>9</v>
      </c>
      <c r="F880" s="175">
        <v>35.35</v>
      </c>
      <c r="G880" s="176">
        <v>318.14999999999998</v>
      </c>
      <c r="H880" s="101">
        <v>81</v>
      </c>
      <c r="K880"/>
    </row>
    <row r="881" spans="1:11" x14ac:dyDescent="0.25">
      <c r="A881" s="174">
        <v>40817</v>
      </c>
      <c r="B881" s="161" t="s">
        <v>742</v>
      </c>
      <c r="C881" s="98" t="s">
        <v>8</v>
      </c>
      <c r="D881" s="98" t="s">
        <v>26</v>
      </c>
      <c r="E881" s="175">
        <v>7</v>
      </c>
      <c r="F881" s="175">
        <v>44.2</v>
      </c>
      <c r="G881" s="176">
        <v>309.39999999999998</v>
      </c>
      <c r="H881" s="101">
        <v>81</v>
      </c>
      <c r="K881"/>
    </row>
    <row r="882" spans="1:11" x14ac:dyDescent="0.25">
      <c r="A882" s="174">
        <v>40819</v>
      </c>
      <c r="B882" s="161" t="s">
        <v>742</v>
      </c>
      <c r="C882" s="98" t="s">
        <v>8</v>
      </c>
      <c r="D882" s="98" t="s">
        <v>26</v>
      </c>
      <c r="E882" s="175">
        <v>10</v>
      </c>
      <c r="F882" s="175">
        <v>44.2</v>
      </c>
      <c r="G882" s="176">
        <v>442</v>
      </c>
      <c r="H882" s="101">
        <v>81</v>
      </c>
      <c r="K882"/>
    </row>
    <row r="883" spans="1:11" ht="30" x14ac:dyDescent="0.25">
      <c r="A883" s="174">
        <v>40820</v>
      </c>
      <c r="B883" s="161" t="s">
        <v>933</v>
      </c>
      <c r="C883" s="98" t="s">
        <v>842</v>
      </c>
      <c r="D883" s="98" t="s">
        <v>715</v>
      </c>
      <c r="E883" s="175">
        <v>1</v>
      </c>
      <c r="F883" s="175">
        <v>329.28</v>
      </c>
      <c r="G883" s="176">
        <v>329.28</v>
      </c>
      <c r="H883" s="101">
        <v>81</v>
      </c>
      <c r="K883"/>
    </row>
    <row r="884" spans="1:11" x14ac:dyDescent="0.25">
      <c r="A884" s="174">
        <v>40820</v>
      </c>
      <c r="B884" s="161" t="s">
        <v>742</v>
      </c>
      <c r="C884" s="98" t="s">
        <v>8</v>
      </c>
      <c r="D884" s="98" t="s">
        <v>26</v>
      </c>
      <c r="E884" s="175">
        <v>10</v>
      </c>
      <c r="F884" s="175">
        <v>44.2</v>
      </c>
      <c r="G884" s="176">
        <v>442</v>
      </c>
      <c r="H884" s="101">
        <v>81</v>
      </c>
      <c r="K884"/>
    </row>
    <row r="885" spans="1:11" x14ac:dyDescent="0.25">
      <c r="A885" s="174">
        <v>40826</v>
      </c>
      <c r="B885" s="161" t="s">
        <v>765</v>
      </c>
      <c r="C885" s="98" t="s">
        <v>766</v>
      </c>
      <c r="D885" s="98" t="s">
        <v>26</v>
      </c>
      <c r="E885" s="175">
        <v>10</v>
      </c>
      <c r="F885" s="175">
        <v>110</v>
      </c>
      <c r="G885" s="176">
        <v>1100</v>
      </c>
      <c r="H885" s="101">
        <v>81</v>
      </c>
      <c r="K885"/>
    </row>
    <row r="886" spans="1:11" x14ac:dyDescent="0.25">
      <c r="A886" s="174">
        <v>40826</v>
      </c>
      <c r="B886" s="161" t="s">
        <v>745</v>
      </c>
      <c r="C886" s="98" t="s">
        <v>8</v>
      </c>
      <c r="D886" s="98" t="s">
        <v>26</v>
      </c>
      <c r="E886" s="175">
        <v>10</v>
      </c>
      <c r="F886" s="175">
        <v>35.35</v>
      </c>
      <c r="G886" s="176">
        <v>353.5</v>
      </c>
      <c r="H886" s="101">
        <v>81</v>
      </c>
      <c r="K886"/>
    </row>
    <row r="887" spans="1:11" x14ac:dyDescent="0.25">
      <c r="A887" s="174">
        <v>40826</v>
      </c>
      <c r="B887" s="161" t="s">
        <v>745</v>
      </c>
      <c r="C887" s="98" t="s">
        <v>8</v>
      </c>
      <c r="D887" s="98" t="s">
        <v>26</v>
      </c>
      <c r="E887" s="175">
        <v>10</v>
      </c>
      <c r="F887" s="175">
        <v>35.35</v>
      </c>
      <c r="G887" s="176">
        <v>353.5</v>
      </c>
      <c r="H887" s="101">
        <v>81</v>
      </c>
      <c r="K887"/>
    </row>
    <row r="888" spans="1:11" x14ac:dyDescent="0.25">
      <c r="A888" s="174">
        <v>40827</v>
      </c>
      <c r="B888" s="161" t="s">
        <v>745</v>
      </c>
      <c r="C888" s="98" t="s">
        <v>8</v>
      </c>
      <c r="D888" s="98" t="s">
        <v>26</v>
      </c>
      <c r="E888" s="175">
        <v>10</v>
      </c>
      <c r="F888" s="175">
        <v>35.35</v>
      </c>
      <c r="G888" s="176">
        <v>353.5</v>
      </c>
      <c r="H888" s="101">
        <v>81</v>
      </c>
      <c r="K888"/>
    </row>
    <row r="889" spans="1:11" x14ac:dyDescent="0.25">
      <c r="A889" s="174">
        <v>40827</v>
      </c>
      <c r="B889" s="161" t="s">
        <v>745</v>
      </c>
      <c r="C889" s="98" t="s">
        <v>8</v>
      </c>
      <c r="D889" s="98" t="s">
        <v>26</v>
      </c>
      <c r="E889" s="175">
        <v>10</v>
      </c>
      <c r="F889" s="175">
        <v>35.35</v>
      </c>
      <c r="G889" s="176">
        <v>353.5</v>
      </c>
      <c r="H889" s="101">
        <v>81</v>
      </c>
      <c r="K889"/>
    </row>
    <row r="890" spans="1:11" x14ac:dyDescent="0.25">
      <c r="A890" s="174">
        <v>40827</v>
      </c>
      <c r="B890" s="161" t="s">
        <v>765</v>
      </c>
      <c r="C890" s="98" t="s">
        <v>766</v>
      </c>
      <c r="D890" s="98" t="s">
        <v>26</v>
      </c>
      <c r="E890" s="175">
        <v>10</v>
      </c>
      <c r="F890" s="175">
        <v>110</v>
      </c>
      <c r="G890" s="176">
        <v>1100</v>
      </c>
      <c r="H890" s="101">
        <v>81</v>
      </c>
      <c r="K890"/>
    </row>
    <row r="891" spans="1:11" x14ac:dyDescent="0.25">
      <c r="A891" s="174">
        <v>40828</v>
      </c>
      <c r="B891" s="161" t="s">
        <v>745</v>
      </c>
      <c r="C891" s="98" t="s">
        <v>8</v>
      </c>
      <c r="D891" s="98" t="s">
        <v>26</v>
      </c>
      <c r="E891" s="175">
        <v>10</v>
      </c>
      <c r="F891" s="175">
        <v>35.35</v>
      </c>
      <c r="G891" s="176">
        <v>353.5</v>
      </c>
      <c r="H891" s="101">
        <v>81</v>
      </c>
      <c r="K891"/>
    </row>
    <row r="892" spans="1:11" x14ac:dyDescent="0.25">
      <c r="A892" s="174">
        <v>40828</v>
      </c>
      <c r="B892" s="161" t="s">
        <v>765</v>
      </c>
      <c r="C892" s="98" t="s">
        <v>766</v>
      </c>
      <c r="D892" s="98" t="s">
        <v>26</v>
      </c>
      <c r="E892" s="175">
        <v>10</v>
      </c>
      <c r="F892" s="175">
        <v>110</v>
      </c>
      <c r="G892" s="176">
        <v>1100</v>
      </c>
      <c r="H892" s="101">
        <v>81</v>
      </c>
      <c r="K892"/>
    </row>
    <row r="893" spans="1:11" x14ac:dyDescent="0.25">
      <c r="A893" s="174">
        <v>40829</v>
      </c>
      <c r="B893" s="161" t="s">
        <v>742</v>
      </c>
      <c r="C893" s="98" t="s">
        <v>8</v>
      </c>
      <c r="D893" s="98" t="s">
        <v>26</v>
      </c>
      <c r="E893" s="175">
        <v>5</v>
      </c>
      <c r="F893" s="175">
        <v>44.2</v>
      </c>
      <c r="G893" s="176">
        <v>221</v>
      </c>
      <c r="H893" s="101">
        <v>81</v>
      </c>
      <c r="K893"/>
    </row>
    <row r="894" spans="1:11" x14ac:dyDescent="0.25">
      <c r="A894" s="174">
        <v>40829</v>
      </c>
      <c r="B894" s="161" t="s">
        <v>745</v>
      </c>
      <c r="C894" s="98" t="s">
        <v>8</v>
      </c>
      <c r="D894" s="98" t="s">
        <v>26</v>
      </c>
      <c r="E894" s="175">
        <v>5</v>
      </c>
      <c r="F894" s="175">
        <v>35.35</v>
      </c>
      <c r="G894" s="176">
        <v>176.75</v>
      </c>
      <c r="H894" s="101">
        <v>81</v>
      </c>
      <c r="K894"/>
    </row>
    <row r="895" spans="1:11" x14ac:dyDescent="0.25">
      <c r="A895" s="174">
        <v>40829</v>
      </c>
      <c r="B895" s="161" t="s">
        <v>359</v>
      </c>
      <c r="C895" s="98" t="s">
        <v>752</v>
      </c>
      <c r="D895" s="98" t="s">
        <v>26</v>
      </c>
      <c r="E895" s="175">
        <v>5</v>
      </c>
      <c r="F895" s="175">
        <v>11.67</v>
      </c>
      <c r="G895" s="176">
        <v>58.35</v>
      </c>
      <c r="H895" s="101">
        <v>81</v>
      </c>
      <c r="K895"/>
    </row>
    <row r="896" spans="1:11" x14ac:dyDescent="0.25">
      <c r="A896" s="174">
        <v>40829</v>
      </c>
      <c r="B896" s="161" t="s">
        <v>359</v>
      </c>
      <c r="C896" s="98" t="s">
        <v>752</v>
      </c>
      <c r="D896" s="98" t="s">
        <v>26</v>
      </c>
      <c r="E896" s="175">
        <v>5</v>
      </c>
      <c r="F896" s="175">
        <v>11.67</v>
      </c>
      <c r="G896" s="176">
        <v>58.35</v>
      </c>
      <c r="H896" s="101">
        <v>81</v>
      </c>
      <c r="K896"/>
    </row>
    <row r="897" spans="1:11" x14ac:dyDescent="0.25">
      <c r="A897" s="174">
        <v>40829</v>
      </c>
      <c r="B897" s="161" t="s">
        <v>742</v>
      </c>
      <c r="C897" s="98" t="s">
        <v>8</v>
      </c>
      <c r="D897" s="98" t="s">
        <v>26</v>
      </c>
      <c r="E897" s="175">
        <v>5</v>
      </c>
      <c r="F897" s="175">
        <v>44.2</v>
      </c>
      <c r="G897" s="176">
        <v>221</v>
      </c>
      <c r="H897" s="101">
        <v>81</v>
      </c>
      <c r="K897"/>
    </row>
    <row r="898" spans="1:11" x14ac:dyDescent="0.25">
      <c r="A898" s="174">
        <v>40829</v>
      </c>
      <c r="B898" s="161" t="s">
        <v>745</v>
      </c>
      <c r="C898" s="98" t="s">
        <v>8</v>
      </c>
      <c r="D898" s="98" t="s">
        <v>26</v>
      </c>
      <c r="E898" s="175">
        <v>5</v>
      </c>
      <c r="F898" s="175">
        <v>35.35</v>
      </c>
      <c r="G898" s="176">
        <v>176.75</v>
      </c>
      <c r="H898" s="101">
        <v>81</v>
      </c>
      <c r="K898"/>
    </row>
    <row r="899" spans="1:11" x14ac:dyDescent="0.25">
      <c r="A899" s="174">
        <v>40829</v>
      </c>
      <c r="B899" s="161" t="s">
        <v>815</v>
      </c>
      <c r="C899" s="98" t="s">
        <v>766</v>
      </c>
      <c r="D899" s="98" t="s">
        <v>26</v>
      </c>
      <c r="E899" s="175">
        <v>5</v>
      </c>
      <c r="F899" s="175">
        <v>110</v>
      </c>
      <c r="G899" s="176">
        <v>550</v>
      </c>
      <c r="H899" s="101">
        <v>81</v>
      </c>
      <c r="K899"/>
    </row>
    <row r="900" spans="1:11" x14ac:dyDescent="0.25">
      <c r="A900" s="174">
        <v>40830</v>
      </c>
      <c r="B900" s="161" t="s">
        <v>749</v>
      </c>
      <c r="C900" s="98" t="s">
        <v>750</v>
      </c>
      <c r="D900" s="98" t="s">
        <v>26</v>
      </c>
      <c r="E900" s="175">
        <v>3</v>
      </c>
      <c r="F900" s="175">
        <v>95</v>
      </c>
      <c r="G900" s="176">
        <v>285</v>
      </c>
      <c r="H900" s="101">
        <v>81</v>
      </c>
      <c r="K900"/>
    </row>
    <row r="901" spans="1:11" x14ac:dyDescent="0.25">
      <c r="A901" s="174">
        <v>40830</v>
      </c>
      <c r="B901" s="161" t="s">
        <v>748</v>
      </c>
      <c r="C901" s="98" t="s">
        <v>747</v>
      </c>
      <c r="D901" s="98" t="s">
        <v>26</v>
      </c>
      <c r="E901" s="175">
        <v>4</v>
      </c>
      <c r="F901" s="175">
        <v>85</v>
      </c>
      <c r="G901" s="176">
        <v>340</v>
      </c>
      <c r="H901" s="101">
        <v>81</v>
      </c>
      <c r="K901"/>
    </row>
    <row r="902" spans="1:11" x14ac:dyDescent="0.25">
      <c r="A902" s="174">
        <v>40830</v>
      </c>
      <c r="B902" s="161" t="s">
        <v>815</v>
      </c>
      <c r="C902" s="98" t="s">
        <v>766</v>
      </c>
      <c r="D902" s="98" t="s">
        <v>26</v>
      </c>
      <c r="E902" s="175">
        <v>4</v>
      </c>
      <c r="F902" s="175">
        <v>110</v>
      </c>
      <c r="G902" s="176">
        <v>440</v>
      </c>
      <c r="H902" s="101">
        <v>81</v>
      </c>
      <c r="K902"/>
    </row>
    <row r="903" spans="1:11" x14ac:dyDescent="0.25">
      <c r="A903" s="174">
        <v>40831</v>
      </c>
      <c r="B903" s="161" t="s">
        <v>785</v>
      </c>
      <c r="C903" s="98" t="s">
        <v>786</v>
      </c>
      <c r="D903" s="98" t="s">
        <v>26</v>
      </c>
      <c r="E903" s="175">
        <v>2</v>
      </c>
      <c r="F903" s="175">
        <v>60</v>
      </c>
      <c r="G903" s="176">
        <v>120</v>
      </c>
      <c r="H903" s="101">
        <v>81</v>
      </c>
      <c r="K903"/>
    </row>
    <row r="904" spans="1:11" x14ac:dyDescent="0.25">
      <c r="A904" s="174">
        <v>40831</v>
      </c>
      <c r="B904" s="161" t="s">
        <v>748</v>
      </c>
      <c r="C904" s="98" t="s">
        <v>747</v>
      </c>
      <c r="D904" s="98" t="s">
        <v>26</v>
      </c>
      <c r="E904" s="175">
        <v>5.5</v>
      </c>
      <c r="F904" s="175">
        <v>85</v>
      </c>
      <c r="G904" s="176">
        <v>467.5</v>
      </c>
      <c r="H904" s="101">
        <v>81</v>
      </c>
      <c r="K904"/>
    </row>
    <row r="905" spans="1:11" x14ac:dyDescent="0.25">
      <c r="A905" s="174">
        <v>40831</v>
      </c>
      <c r="B905" s="161" t="s">
        <v>815</v>
      </c>
      <c r="C905" s="98" t="s">
        <v>766</v>
      </c>
      <c r="D905" s="98" t="s">
        <v>26</v>
      </c>
      <c r="E905" s="175">
        <v>5</v>
      </c>
      <c r="F905" s="175">
        <v>110</v>
      </c>
      <c r="G905" s="176">
        <v>550</v>
      </c>
      <c r="H905" s="101">
        <v>81</v>
      </c>
      <c r="K905"/>
    </row>
    <row r="906" spans="1:11" x14ac:dyDescent="0.25">
      <c r="A906" s="174">
        <v>40831</v>
      </c>
      <c r="B906" s="161" t="s">
        <v>934</v>
      </c>
      <c r="C906" s="98" t="s">
        <v>747</v>
      </c>
      <c r="D906" s="98" t="s">
        <v>26</v>
      </c>
      <c r="E906" s="175">
        <v>5</v>
      </c>
      <c r="F906" s="175">
        <v>90</v>
      </c>
      <c r="G906" s="176">
        <v>450</v>
      </c>
      <c r="H906" s="101">
        <v>81</v>
      </c>
      <c r="K906"/>
    </row>
    <row r="907" spans="1:11" x14ac:dyDescent="0.25">
      <c r="A907" s="174">
        <v>40831</v>
      </c>
      <c r="B907" s="161" t="s">
        <v>828</v>
      </c>
      <c r="C907" s="98" t="s">
        <v>747</v>
      </c>
      <c r="D907" s="98" t="s">
        <v>26</v>
      </c>
      <c r="E907" s="175">
        <v>4</v>
      </c>
      <c r="F907" s="175">
        <v>55</v>
      </c>
      <c r="G907" s="176">
        <v>220</v>
      </c>
      <c r="H907" s="101">
        <v>81</v>
      </c>
      <c r="K907"/>
    </row>
    <row r="908" spans="1:11" x14ac:dyDescent="0.25">
      <c r="A908" s="174">
        <v>40833</v>
      </c>
      <c r="B908" s="161" t="s">
        <v>757</v>
      </c>
      <c r="C908" s="98" t="s">
        <v>758</v>
      </c>
      <c r="D908" s="98" t="s">
        <v>26</v>
      </c>
      <c r="E908" s="175">
        <v>4</v>
      </c>
      <c r="F908" s="175">
        <v>90</v>
      </c>
      <c r="G908" s="176">
        <v>360</v>
      </c>
      <c r="H908" s="101">
        <v>81</v>
      </c>
      <c r="K908"/>
    </row>
    <row r="909" spans="1:11" x14ac:dyDescent="0.25">
      <c r="A909" s="174">
        <v>40833</v>
      </c>
      <c r="B909" s="161" t="s">
        <v>815</v>
      </c>
      <c r="C909" s="98" t="s">
        <v>766</v>
      </c>
      <c r="D909" s="98" t="s">
        <v>26</v>
      </c>
      <c r="E909" s="175">
        <v>4</v>
      </c>
      <c r="F909" s="175">
        <v>110</v>
      </c>
      <c r="G909" s="176">
        <v>440</v>
      </c>
      <c r="H909" s="101">
        <v>81</v>
      </c>
      <c r="K909"/>
    </row>
    <row r="910" spans="1:11" x14ac:dyDescent="0.25">
      <c r="A910" s="174">
        <v>40834</v>
      </c>
      <c r="B910" s="161" t="s">
        <v>745</v>
      </c>
      <c r="C910" s="98" t="s">
        <v>8</v>
      </c>
      <c r="D910" s="98" t="s">
        <v>26</v>
      </c>
      <c r="E910" s="175">
        <v>6</v>
      </c>
      <c r="F910" s="175">
        <v>35.35</v>
      </c>
      <c r="G910" s="176">
        <v>212.1</v>
      </c>
      <c r="H910" s="101">
        <v>81</v>
      </c>
      <c r="K910"/>
    </row>
    <row r="911" spans="1:11" x14ac:dyDescent="0.25">
      <c r="A911" s="174">
        <v>40834</v>
      </c>
      <c r="B911" s="161" t="s">
        <v>934</v>
      </c>
      <c r="C911" s="98" t="s">
        <v>747</v>
      </c>
      <c r="D911" s="98" t="s">
        <v>26</v>
      </c>
      <c r="E911" s="175">
        <v>6</v>
      </c>
      <c r="F911" s="175">
        <v>90</v>
      </c>
      <c r="G911" s="176">
        <v>540</v>
      </c>
      <c r="H911" s="101">
        <v>81</v>
      </c>
      <c r="K911"/>
    </row>
    <row r="912" spans="1:11" x14ac:dyDescent="0.25">
      <c r="A912" s="174">
        <v>40834</v>
      </c>
      <c r="B912" s="161" t="s">
        <v>742</v>
      </c>
      <c r="C912" s="98" t="s">
        <v>8</v>
      </c>
      <c r="D912" s="98" t="s">
        <v>26</v>
      </c>
      <c r="E912" s="175">
        <v>6</v>
      </c>
      <c r="F912" s="175">
        <v>44.2</v>
      </c>
      <c r="G912" s="176">
        <v>265.2</v>
      </c>
      <c r="H912" s="101">
        <v>81</v>
      </c>
      <c r="K912"/>
    </row>
    <row r="913" spans="1:11" x14ac:dyDescent="0.25">
      <c r="A913" s="174">
        <v>40834</v>
      </c>
      <c r="B913" s="161" t="s">
        <v>815</v>
      </c>
      <c r="C913" s="98" t="s">
        <v>766</v>
      </c>
      <c r="D913" s="98" t="s">
        <v>26</v>
      </c>
      <c r="E913" s="175">
        <v>6</v>
      </c>
      <c r="F913" s="175">
        <v>110</v>
      </c>
      <c r="G913" s="176">
        <v>660</v>
      </c>
      <c r="H913" s="101">
        <v>81</v>
      </c>
      <c r="K913"/>
    </row>
    <row r="914" spans="1:11" x14ac:dyDescent="0.25">
      <c r="A914" s="174">
        <v>40834</v>
      </c>
      <c r="B914" s="161" t="s">
        <v>757</v>
      </c>
      <c r="C914" s="98" t="s">
        <v>758</v>
      </c>
      <c r="D914" s="98" t="s">
        <v>26</v>
      </c>
      <c r="E914" s="175">
        <v>6</v>
      </c>
      <c r="F914" s="175">
        <v>90</v>
      </c>
      <c r="G914" s="176">
        <v>540</v>
      </c>
      <c r="H914" s="101">
        <v>81</v>
      </c>
      <c r="K914"/>
    </row>
    <row r="915" spans="1:11" x14ac:dyDescent="0.25">
      <c r="A915" s="174">
        <v>40834</v>
      </c>
      <c r="B915" s="161" t="s">
        <v>359</v>
      </c>
      <c r="C915" s="98" t="s">
        <v>752</v>
      </c>
      <c r="D915" s="98" t="s">
        <v>26</v>
      </c>
      <c r="E915" s="175">
        <v>6</v>
      </c>
      <c r="F915" s="175">
        <v>11.67</v>
      </c>
      <c r="G915" s="176">
        <v>70.02</v>
      </c>
      <c r="H915" s="101">
        <v>81</v>
      </c>
      <c r="K915"/>
    </row>
    <row r="916" spans="1:11" x14ac:dyDescent="0.25">
      <c r="A916" s="174">
        <v>40835</v>
      </c>
      <c r="B916" s="161" t="s">
        <v>742</v>
      </c>
      <c r="C916" s="98" t="s">
        <v>8</v>
      </c>
      <c r="D916" s="98" t="s">
        <v>26</v>
      </c>
      <c r="E916" s="175">
        <v>5</v>
      </c>
      <c r="F916" s="175">
        <v>44.2</v>
      </c>
      <c r="G916" s="176">
        <v>221</v>
      </c>
      <c r="H916" s="101">
        <v>81</v>
      </c>
      <c r="K916"/>
    </row>
    <row r="917" spans="1:11" x14ac:dyDescent="0.25">
      <c r="A917" s="174">
        <v>40835</v>
      </c>
      <c r="B917" s="161" t="s">
        <v>359</v>
      </c>
      <c r="C917" s="98" t="s">
        <v>752</v>
      </c>
      <c r="D917" s="98" t="s">
        <v>26</v>
      </c>
      <c r="E917" s="175">
        <v>5</v>
      </c>
      <c r="F917" s="175">
        <v>11.67</v>
      </c>
      <c r="G917" s="176">
        <v>58.35</v>
      </c>
      <c r="H917" s="101">
        <v>81</v>
      </c>
      <c r="K917"/>
    </row>
    <row r="918" spans="1:11" x14ac:dyDescent="0.25">
      <c r="A918" s="174">
        <v>40835</v>
      </c>
      <c r="B918" s="161" t="s">
        <v>815</v>
      </c>
      <c r="C918" s="98" t="s">
        <v>766</v>
      </c>
      <c r="D918" s="98" t="s">
        <v>26</v>
      </c>
      <c r="E918" s="175">
        <v>5</v>
      </c>
      <c r="F918" s="175">
        <v>110</v>
      </c>
      <c r="G918" s="176">
        <v>550</v>
      </c>
      <c r="H918" s="101">
        <v>81</v>
      </c>
      <c r="K918"/>
    </row>
    <row r="919" spans="1:11" x14ac:dyDescent="0.25">
      <c r="A919" s="174">
        <v>40840</v>
      </c>
      <c r="B919" s="161" t="s">
        <v>815</v>
      </c>
      <c r="C919" s="98" t="s">
        <v>766</v>
      </c>
      <c r="D919" s="98" t="s">
        <v>26</v>
      </c>
      <c r="E919" s="175">
        <v>10</v>
      </c>
      <c r="F919" s="175">
        <v>110</v>
      </c>
      <c r="G919" s="176">
        <v>1100</v>
      </c>
      <c r="H919" s="101">
        <v>81</v>
      </c>
      <c r="K919"/>
    </row>
    <row r="920" spans="1:11" x14ac:dyDescent="0.25">
      <c r="A920" s="174">
        <v>40841</v>
      </c>
      <c r="B920" s="161" t="s">
        <v>825</v>
      </c>
      <c r="C920" s="98" t="s">
        <v>766</v>
      </c>
      <c r="D920" s="98" t="s">
        <v>26</v>
      </c>
      <c r="E920" s="175">
        <v>6</v>
      </c>
      <c r="F920" s="175">
        <v>110</v>
      </c>
      <c r="G920" s="176">
        <v>660</v>
      </c>
      <c r="H920" s="101">
        <v>81</v>
      </c>
      <c r="K920"/>
    </row>
    <row r="921" spans="1:11" x14ac:dyDescent="0.25">
      <c r="A921" s="174">
        <v>40841</v>
      </c>
      <c r="B921" s="161" t="s">
        <v>742</v>
      </c>
      <c r="C921" s="98" t="s">
        <v>8</v>
      </c>
      <c r="D921" s="98" t="s">
        <v>26</v>
      </c>
      <c r="E921" s="175">
        <v>6.5</v>
      </c>
      <c r="F921" s="175">
        <v>44.2</v>
      </c>
      <c r="G921" s="176">
        <v>287.3</v>
      </c>
      <c r="H921" s="101">
        <v>81</v>
      </c>
      <c r="K921"/>
    </row>
    <row r="922" spans="1:11" x14ac:dyDescent="0.25">
      <c r="A922" s="174">
        <v>40842</v>
      </c>
      <c r="B922" s="161" t="s">
        <v>742</v>
      </c>
      <c r="C922" s="98" t="s">
        <v>8</v>
      </c>
      <c r="D922" s="98" t="s">
        <v>26</v>
      </c>
      <c r="E922" s="175">
        <v>10</v>
      </c>
      <c r="F922" s="175">
        <v>44.2</v>
      </c>
      <c r="G922" s="176">
        <v>442</v>
      </c>
      <c r="H922" s="101">
        <v>81</v>
      </c>
      <c r="K922"/>
    </row>
    <row r="923" spans="1:11" x14ac:dyDescent="0.25">
      <c r="A923" s="174">
        <v>40843</v>
      </c>
      <c r="B923" s="161" t="s">
        <v>359</v>
      </c>
      <c r="C923" s="98" t="s">
        <v>752</v>
      </c>
      <c r="D923" s="98" t="s">
        <v>26</v>
      </c>
      <c r="E923" s="175">
        <v>4</v>
      </c>
      <c r="F923" s="175">
        <v>11.67</v>
      </c>
      <c r="G923" s="176">
        <v>46.68</v>
      </c>
      <c r="H923" s="101">
        <v>81</v>
      </c>
      <c r="K923"/>
    </row>
    <row r="924" spans="1:11" x14ac:dyDescent="0.25">
      <c r="A924" s="174">
        <v>40843</v>
      </c>
      <c r="B924" s="161" t="s">
        <v>815</v>
      </c>
      <c r="C924" s="98" t="s">
        <v>766</v>
      </c>
      <c r="D924" s="98" t="s">
        <v>26</v>
      </c>
      <c r="E924" s="175">
        <v>4</v>
      </c>
      <c r="F924" s="175">
        <v>110</v>
      </c>
      <c r="G924" s="176">
        <v>440</v>
      </c>
      <c r="H924" s="101">
        <v>81</v>
      </c>
      <c r="K924"/>
    </row>
    <row r="925" spans="1:11" x14ac:dyDescent="0.25">
      <c r="A925" s="174">
        <v>40844</v>
      </c>
      <c r="B925" s="161" t="s">
        <v>359</v>
      </c>
      <c r="C925" s="98" t="s">
        <v>752</v>
      </c>
      <c r="D925" s="98" t="s">
        <v>26</v>
      </c>
      <c r="E925" s="175">
        <v>8</v>
      </c>
      <c r="F925" s="175">
        <v>11.67</v>
      </c>
      <c r="G925" s="176">
        <v>93.36</v>
      </c>
      <c r="H925" s="101">
        <v>81</v>
      </c>
      <c r="K925"/>
    </row>
    <row r="926" spans="1:11" x14ac:dyDescent="0.25">
      <c r="A926" s="174">
        <v>40921</v>
      </c>
      <c r="B926" s="161" t="s">
        <v>773</v>
      </c>
      <c r="C926" s="98" t="s">
        <v>774</v>
      </c>
      <c r="D926" s="98" t="s">
        <v>26</v>
      </c>
      <c r="E926" s="175">
        <v>6</v>
      </c>
      <c r="F926" s="175">
        <v>95</v>
      </c>
      <c r="G926" s="176">
        <v>570</v>
      </c>
      <c r="H926" s="101">
        <v>81</v>
      </c>
      <c r="K926"/>
    </row>
    <row r="927" spans="1:11" x14ac:dyDescent="0.25">
      <c r="A927" s="174">
        <v>40938</v>
      </c>
      <c r="B927" s="161" t="s">
        <v>890</v>
      </c>
      <c r="C927" s="98" t="s">
        <v>8</v>
      </c>
      <c r="D927" s="98" t="s">
        <v>26</v>
      </c>
      <c r="E927" s="175">
        <v>6</v>
      </c>
      <c r="F927" s="175">
        <v>35.35</v>
      </c>
      <c r="G927" s="176">
        <v>212.1</v>
      </c>
      <c r="H927" s="101">
        <v>81</v>
      </c>
      <c r="K927"/>
    </row>
    <row r="928" spans="1:11" x14ac:dyDescent="0.25">
      <c r="A928" s="174">
        <v>40939</v>
      </c>
      <c r="B928" s="161" t="s">
        <v>890</v>
      </c>
      <c r="C928" s="98" t="s">
        <v>8</v>
      </c>
      <c r="D928" s="98" t="s">
        <v>26</v>
      </c>
      <c r="E928" s="175">
        <v>5.5</v>
      </c>
      <c r="F928" s="175">
        <v>35.35</v>
      </c>
      <c r="G928" s="176">
        <v>194.42500000000001</v>
      </c>
      <c r="H928" s="101">
        <v>81</v>
      </c>
      <c r="K928"/>
    </row>
    <row r="929" spans="1:11" x14ac:dyDescent="0.25">
      <c r="A929" s="174">
        <v>41214</v>
      </c>
      <c r="B929" s="161" t="s">
        <v>795</v>
      </c>
      <c r="C929" s="98" t="s">
        <v>935</v>
      </c>
      <c r="D929" s="98" t="s">
        <v>26</v>
      </c>
      <c r="E929" s="175">
        <v>6</v>
      </c>
      <c r="F929" s="175">
        <v>95</v>
      </c>
      <c r="G929" s="176">
        <v>570</v>
      </c>
      <c r="H929" s="101">
        <v>81</v>
      </c>
      <c r="K929"/>
    </row>
    <row r="930" spans="1:11" x14ac:dyDescent="0.25">
      <c r="A930" s="177" t="s">
        <v>643</v>
      </c>
      <c r="B930" s="178" t="s">
        <v>936</v>
      </c>
      <c r="C930" s="179" t="s">
        <v>643</v>
      </c>
      <c r="D930" s="179" t="s">
        <v>643</v>
      </c>
      <c r="E930" s="180"/>
      <c r="F930" s="180"/>
      <c r="G930" s="181">
        <v>34010.800000000003</v>
      </c>
      <c r="H930" s="188" t="s">
        <v>643</v>
      </c>
      <c r="K930"/>
    </row>
    <row r="931" spans="1:11" x14ac:dyDescent="0.25">
      <c r="A931" s="174" t="s">
        <v>643</v>
      </c>
      <c r="B931" s="161" t="s">
        <v>643</v>
      </c>
      <c r="C931" s="98" t="s">
        <v>643</v>
      </c>
      <c r="D931" s="98" t="s">
        <v>643</v>
      </c>
      <c r="E931" s="175"/>
      <c r="F931" s="175"/>
      <c r="G931" s="176"/>
      <c r="H931" s="101" t="s">
        <v>643</v>
      </c>
      <c r="K931"/>
    </row>
    <row r="932" spans="1:11" x14ac:dyDescent="0.25">
      <c r="A932" s="171" t="s">
        <v>643</v>
      </c>
      <c r="B932" s="164" t="s">
        <v>1191</v>
      </c>
      <c r="C932" s="100" t="s">
        <v>643</v>
      </c>
      <c r="D932" s="100" t="s">
        <v>643</v>
      </c>
      <c r="E932" s="172"/>
      <c r="F932" s="172"/>
      <c r="G932" s="173"/>
      <c r="H932" s="187" t="s">
        <v>643</v>
      </c>
      <c r="K932"/>
    </row>
    <row r="933" spans="1:11" x14ac:dyDescent="0.25">
      <c r="A933" s="174">
        <v>40821</v>
      </c>
      <c r="B933" s="161" t="s">
        <v>359</v>
      </c>
      <c r="C933" s="98" t="s">
        <v>752</v>
      </c>
      <c r="D933" s="98" t="s">
        <v>26</v>
      </c>
      <c r="E933" s="175">
        <v>10</v>
      </c>
      <c r="F933" s="175">
        <v>11.67</v>
      </c>
      <c r="G933" s="176">
        <v>116.7</v>
      </c>
      <c r="H933" s="101">
        <v>87</v>
      </c>
      <c r="K933"/>
    </row>
    <row r="934" spans="1:11" x14ac:dyDescent="0.25">
      <c r="A934" s="174">
        <v>40821</v>
      </c>
      <c r="B934" s="161" t="s">
        <v>804</v>
      </c>
      <c r="C934" s="98" t="s">
        <v>750</v>
      </c>
      <c r="D934" s="98" t="s">
        <v>26</v>
      </c>
      <c r="E934" s="175">
        <v>10.5</v>
      </c>
      <c r="F934" s="175">
        <v>130</v>
      </c>
      <c r="G934" s="176">
        <v>1365</v>
      </c>
      <c r="H934" s="101">
        <v>87</v>
      </c>
      <c r="K934"/>
    </row>
    <row r="935" spans="1:11" x14ac:dyDescent="0.25">
      <c r="A935" s="174">
        <v>40821</v>
      </c>
      <c r="B935" s="161" t="s">
        <v>745</v>
      </c>
      <c r="C935" s="98" t="s">
        <v>8</v>
      </c>
      <c r="D935" s="98" t="s">
        <v>26</v>
      </c>
      <c r="E935" s="175">
        <v>5</v>
      </c>
      <c r="F935" s="175">
        <v>35.35</v>
      </c>
      <c r="G935" s="176">
        <v>176.75</v>
      </c>
      <c r="H935" s="101">
        <v>87</v>
      </c>
      <c r="K935"/>
    </row>
    <row r="936" spans="1:11" x14ac:dyDescent="0.25">
      <c r="A936" s="174">
        <v>40821</v>
      </c>
      <c r="B936" s="161" t="s">
        <v>742</v>
      </c>
      <c r="C936" s="98" t="s">
        <v>8</v>
      </c>
      <c r="D936" s="98" t="s">
        <v>26</v>
      </c>
      <c r="E936" s="175">
        <v>10</v>
      </c>
      <c r="F936" s="175">
        <v>44.2</v>
      </c>
      <c r="G936" s="176">
        <v>442</v>
      </c>
      <c r="H936" s="101">
        <v>87</v>
      </c>
      <c r="K936"/>
    </row>
    <row r="937" spans="1:11" x14ac:dyDescent="0.25">
      <c r="A937" s="174">
        <v>40821</v>
      </c>
      <c r="B937" s="161" t="s">
        <v>745</v>
      </c>
      <c r="C937" s="98" t="s">
        <v>8</v>
      </c>
      <c r="D937" s="98" t="s">
        <v>26</v>
      </c>
      <c r="E937" s="175">
        <v>10</v>
      </c>
      <c r="F937" s="175">
        <v>35.35</v>
      </c>
      <c r="G937" s="176">
        <v>353.5</v>
      </c>
      <c r="H937" s="101">
        <v>87</v>
      </c>
      <c r="K937"/>
    </row>
    <row r="938" spans="1:11" x14ac:dyDescent="0.25">
      <c r="A938" s="174">
        <v>40822</v>
      </c>
      <c r="B938" s="161" t="s">
        <v>802</v>
      </c>
      <c r="C938" s="98" t="s">
        <v>803</v>
      </c>
      <c r="D938" s="98" t="s">
        <v>39</v>
      </c>
      <c r="E938" s="175">
        <v>1</v>
      </c>
      <c r="F938" s="175">
        <v>1500</v>
      </c>
      <c r="G938" s="176">
        <v>1500</v>
      </c>
      <c r="H938" s="101">
        <v>87</v>
      </c>
      <c r="K938"/>
    </row>
    <row r="939" spans="1:11" x14ac:dyDescent="0.25">
      <c r="A939" s="174">
        <v>40822</v>
      </c>
      <c r="B939" s="161" t="s">
        <v>742</v>
      </c>
      <c r="C939" s="98" t="s">
        <v>8</v>
      </c>
      <c r="D939" s="98" t="s">
        <v>26</v>
      </c>
      <c r="E939" s="175">
        <v>10.5</v>
      </c>
      <c r="F939" s="175">
        <v>44.2</v>
      </c>
      <c r="G939" s="176">
        <v>464.1</v>
      </c>
      <c r="H939" s="101">
        <v>87</v>
      </c>
      <c r="K939"/>
    </row>
    <row r="940" spans="1:11" x14ac:dyDescent="0.25">
      <c r="A940" s="174">
        <v>40822</v>
      </c>
      <c r="B940" s="161" t="s">
        <v>745</v>
      </c>
      <c r="C940" s="98" t="s">
        <v>8</v>
      </c>
      <c r="D940" s="98" t="s">
        <v>26</v>
      </c>
      <c r="E940" s="175">
        <v>10.5</v>
      </c>
      <c r="F940" s="175">
        <v>35.35</v>
      </c>
      <c r="G940" s="176">
        <v>371.17500000000001</v>
      </c>
      <c r="H940" s="101">
        <v>87</v>
      </c>
      <c r="K940"/>
    </row>
    <row r="941" spans="1:11" x14ac:dyDescent="0.25">
      <c r="A941" s="174">
        <v>40822</v>
      </c>
      <c r="B941" s="161" t="s">
        <v>745</v>
      </c>
      <c r="C941" s="98" t="s">
        <v>8</v>
      </c>
      <c r="D941" s="98" t="s">
        <v>26</v>
      </c>
      <c r="E941" s="175">
        <v>2.5</v>
      </c>
      <c r="F941" s="175">
        <v>35.35</v>
      </c>
      <c r="G941" s="176">
        <v>88.375</v>
      </c>
      <c r="H941" s="101">
        <v>87</v>
      </c>
      <c r="K941"/>
    </row>
    <row r="942" spans="1:11" x14ac:dyDescent="0.25">
      <c r="A942" s="174">
        <v>40823</v>
      </c>
      <c r="B942" s="161" t="s">
        <v>745</v>
      </c>
      <c r="C942" s="98" t="s">
        <v>8</v>
      </c>
      <c r="D942" s="98" t="s">
        <v>26</v>
      </c>
      <c r="E942" s="175">
        <v>8</v>
      </c>
      <c r="F942" s="175">
        <v>35.35</v>
      </c>
      <c r="G942" s="176">
        <v>282.8</v>
      </c>
      <c r="H942" s="101">
        <v>87</v>
      </c>
      <c r="K942"/>
    </row>
    <row r="943" spans="1:11" x14ac:dyDescent="0.25">
      <c r="A943" s="174">
        <v>40823</v>
      </c>
      <c r="B943" s="161" t="s">
        <v>359</v>
      </c>
      <c r="C943" s="98" t="s">
        <v>752</v>
      </c>
      <c r="D943" s="98" t="s">
        <v>26</v>
      </c>
      <c r="E943" s="175">
        <v>8</v>
      </c>
      <c r="F943" s="175">
        <v>11.67</v>
      </c>
      <c r="G943" s="176">
        <v>93.36</v>
      </c>
      <c r="H943" s="101">
        <v>87</v>
      </c>
      <c r="K943"/>
    </row>
    <row r="944" spans="1:11" x14ac:dyDescent="0.25">
      <c r="A944" s="174">
        <v>40823</v>
      </c>
      <c r="B944" s="161" t="s">
        <v>742</v>
      </c>
      <c r="C944" s="98" t="s">
        <v>8</v>
      </c>
      <c r="D944" s="98" t="s">
        <v>26</v>
      </c>
      <c r="E944" s="175">
        <v>8</v>
      </c>
      <c r="F944" s="175">
        <v>44.2</v>
      </c>
      <c r="G944" s="176">
        <v>353.6</v>
      </c>
      <c r="H944" s="101">
        <v>87</v>
      </c>
      <c r="K944"/>
    </row>
    <row r="945" spans="1:11" x14ac:dyDescent="0.25">
      <c r="A945" s="174">
        <v>40824</v>
      </c>
      <c r="B945" s="161" t="s">
        <v>745</v>
      </c>
      <c r="C945" s="98" t="s">
        <v>8</v>
      </c>
      <c r="D945" s="98" t="s">
        <v>26</v>
      </c>
      <c r="E945" s="175">
        <v>6</v>
      </c>
      <c r="F945" s="175">
        <v>35.35</v>
      </c>
      <c r="G945" s="176">
        <v>212.1</v>
      </c>
      <c r="H945" s="101">
        <v>87</v>
      </c>
      <c r="K945"/>
    </row>
    <row r="946" spans="1:11" x14ac:dyDescent="0.25">
      <c r="A946" s="174">
        <v>40824</v>
      </c>
      <c r="B946" s="161" t="s">
        <v>359</v>
      </c>
      <c r="C946" s="98" t="s">
        <v>752</v>
      </c>
      <c r="D946" s="98" t="s">
        <v>26</v>
      </c>
      <c r="E946" s="175">
        <v>8</v>
      </c>
      <c r="F946" s="175">
        <v>11.67</v>
      </c>
      <c r="G946" s="176">
        <v>93.36</v>
      </c>
      <c r="H946" s="101">
        <v>87</v>
      </c>
      <c r="K946"/>
    </row>
    <row r="947" spans="1:11" x14ac:dyDescent="0.25">
      <c r="A947" s="174">
        <v>40824</v>
      </c>
      <c r="B947" s="161" t="s">
        <v>742</v>
      </c>
      <c r="C947" s="98" t="s">
        <v>8</v>
      </c>
      <c r="D947" s="98" t="s">
        <v>26</v>
      </c>
      <c r="E947" s="175">
        <v>6</v>
      </c>
      <c r="F947" s="175">
        <v>44.2</v>
      </c>
      <c r="G947" s="176">
        <v>265.2</v>
      </c>
      <c r="H947" s="101">
        <v>87</v>
      </c>
      <c r="K947"/>
    </row>
    <row r="948" spans="1:11" x14ac:dyDescent="0.25">
      <c r="A948" s="174">
        <v>40829</v>
      </c>
      <c r="B948" s="161" t="s">
        <v>742</v>
      </c>
      <c r="C948" s="98" t="s">
        <v>8</v>
      </c>
      <c r="D948" s="98" t="s">
        <v>26</v>
      </c>
      <c r="E948" s="175">
        <v>5</v>
      </c>
      <c r="F948" s="175">
        <v>44.2</v>
      </c>
      <c r="G948" s="176">
        <v>221</v>
      </c>
      <c r="H948" s="101">
        <v>87</v>
      </c>
      <c r="K948"/>
    </row>
    <row r="949" spans="1:11" x14ac:dyDescent="0.25">
      <c r="A949" s="174">
        <v>40829</v>
      </c>
      <c r="B949" s="161" t="s">
        <v>359</v>
      </c>
      <c r="C949" s="98" t="s">
        <v>752</v>
      </c>
      <c r="D949" s="98" t="s">
        <v>26</v>
      </c>
      <c r="E949" s="175">
        <v>5</v>
      </c>
      <c r="F949" s="175">
        <v>11.67</v>
      </c>
      <c r="G949" s="176">
        <v>58.35</v>
      </c>
      <c r="H949" s="101">
        <v>87</v>
      </c>
      <c r="K949"/>
    </row>
    <row r="950" spans="1:11" x14ac:dyDescent="0.25">
      <c r="A950" s="174">
        <v>40829</v>
      </c>
      <c r="B950" s="161" t="s">
        <v>745</v>
      </c>
      <c r="C950" s="98" t="s">
        <v>8</v>
      </c>
      <c r="D950" s="98" t="s">
        <v>26</v>
      </c>
      <c r="E950" s="175">
        <v>5</v>
      </c>
      <c r="F950" s="175">
        <v>35.35</v>
      </c>
      <c r="G950" s="176">
        <v>176.75</v>
      </c>
      <c r="H950" s="101">
        <v>87</v>
      </c>
      <c r="K950"/>
    </row>
    <row r="951" spans="1:11" x14ac:dyDescent="0.25">
      <c r="A951" s="174">
        <v>40829</v>
      </c>
      <c r="B951" s="161" t="s">
        <v>745</v>
      </c>
      <c r="C951" s="98" t="s">
        <v>8</v>
      </c>
      <c r="D951" s="98" t="s">
        <v>26</v>
      </c>
      <c r="E951" s="175">
        <v>5</v>
      </c>
      <c r="F951" s="175">
        <v>35.35</v>
      </c>
      <c r="G951" s="176">
        <v>176.75</v>
      </c>
      <c r="H951" s="101">
        <v>87</v>
      </c>
      <c r="K951"/>
    </row>
    <row r="952" spans="1:11" x14ac:dyDescent="0.25">
      <c r="A952" s="174">
        <v>40829</v>
      </c>
      <c r="B952" s="161" t="s">
        <v>742</v>
      </c>
      <c r="C952" s="98" t="s">
        <v>8</v>
      </c>
      <c r="D952" s="98" t="s">
        <v>26</v>
      </c>
      <c r="E952" s="175">
        <v>5</v>
      </c>
      <c r="F952" s="175">
        <v>44.2</v>
      </c>
      <c r="G952" s="176">
        <v>221</v>
      </c>
      <c r="H952" s="101">
        <v>87</v>
      </c>
      <c r="K952"/>
    </row>
    <row r="953" spans="1:11" x14ac:dyDescent="0.25">
      <c r="A953" s="174">
        <v>40829</v>
      </c>
      <c r="B953" s="161" t="s">
        <v>359</v>
      </c>
      <c r="C953" s="98" t="s">
        <v>752</v>
      </c>
      <c r="D953" s="98" t="s">
        <v>26</v>
      </c>
      <c r="E953" s="175">
        <v>5</v>
      </c>
      <c r="F953" s="175">
        <v>11.67</v>
      </c>
      <c r="G953" s="176">
        <v>58.35</v>
      </c>
      <c r="H953" s="101">
        <v>87</v>
      </c>
      <c r="K953"/>
    </row>
    <row r="954" spans="1:11" x14ac:dyDescent="0.25">
      <c r="A954" s="174">
        <v>40830</v>
      </c>
      <c r="B954" s="161" t="s">
        <v>359</v>
      </c>
      <c r="C954" s="98" t="s">
        <v>752</v>
      </c>
      <c r="D954" s="98" t="s">
        <v>26</v>
      </c>
      <c r="E954" s="175">
        <v>8</v>
      </c>
      <c r="F954" s="175">
        <v>11.67</v>
      </c>
      <c r="G954" s="176">
        <v>93.36</v>
      </c>
      <c r="H954" s="101">
        <v>87</v>
      </c>
      <c r="K954"/>
    </row>
    <row r="955" spans="1:11" x14ac:dyDescent="0.25">
      <c r="A955" s="174">
        <v>40830</v>
      </c>
      <c r="B955" s="161" t="s">
        <v>745</v>
      </c>
      <c r="C955" s="98" t="s">
        <v>8</v>
      </c>
      <c r="D955" s="98" t="s">
        <v>26</v>
      </c>
      <c r="E955" s="175">
        <v>8</v>
      </c>
      <c r="F955" s="175">
        <v>35.35</v>
      </c>
      <c r="G955" s="176">
        <v>282.8</v>
      </c>
      <c r="H955" s="101">
        <v>87</v>
      </c>
      <c r="K955"/>
    </row>
    <row r="956" spans="1:11" x14ac:dyDescent="0.25">
      <c r="A956" s="174">
        <v>40830</v>
      </c>
      <c r="B956" s="161" t="s">
        <v>742</v>
      </c>
      <c r="C956" s="98" t="s">
        <v>8</v>
      </c>
      <c r="D956" s="98" t="s">
        <v>26</v>
      </c>
      <c r="E956" s="175">
        <v>8</v>
      </c>
      <c r="F956" s="175">
        <v>44.2</v>
      </c>
      <c r="G956" s="176">
        <v>353.6</v>
      </c>
      <c r="H956" s="101">
        <v>87</v>
      </c>
      <c r="K956"/>
    </row>
    <row r="957" spans="1:11" x14ac:dyDescent="0.25">
      <c r="A957" s="174">
        <v>40831</v>
      </c>
      <c r="B957" s="161" t="s">
        <v>745</v>
      </c>
      <c r="C957" s="98" t="s">
        <v>8</v>
      </c>
      <c r="D957" s="98" t="s">
        <v>26</v>
      </c>
      <c r="E957" s="175">
        <v>5.5</v>
      </c>
      <c r="F957" s="175">
        <v>35.35</v>
      </c>
      <c r="G957" s="176">
        <v>194.42500000000001</v>
      </c>
      <c r="H957" s="101">
        <v>87</v>
      </c>
      <c r="K957"/>
    </row>
    <row r="958" spans="1:11" x14ac:dyDescent="0.25">
      <c r="A958" s="174">
        <v>40831</v>
      </c>
      <c r="B958" s="161" t="s">
        <v>742</v>
      </c>
      <c r="C958" s="98" t="s">
        <v>8</v>
      </c>
      <c r="D958" s="98" t="s">
        <v>26</v>
      </c>
      <c r="E958" s="175">
        <v>5.5</v>
      </c>
      <c r="F958" s="175">
        <v>44.2</v>
      </c>
      <c r="G958" s="176">
        <v>243.1</v>
      </c>
      <c r="H958" s="101">
        <v>87</v>
      </c>
      <c r="K958"/>
    </row>
    <row r="959" spans="1:11" x14ac:dyDescent="0.25">
      <c r="A959" s="174">
        <v>40831</v>
      </c>
      <c r="B959" s="161" t="s">
        <v>359</v>
      </c>
      <c r="C959" s="98" t="s">
        <v>752</v>
      </c>
      <c r="D959" s="98" t="s">
        <v>26</v>
      </c>
      <c r="E959" s="175">
        <v>5.5</v>
      </c>
      <c r="F959" s="175">
        <v>11.67</v>
      </c>
      <c r="G959" s="176">
        <v>64.185000000000002</v>
      </c>
      <c r="H959" s="101">
        <v>87</v>
      </c>
      <c r="K959"/>
    </row>
    <row r="960" spans="1:11" x14ac:dyDescent="0.25">
      <c r="A960" s="174">
        <v>40833</v>
      </c>
      <c r="B960" s="161" t="s">
        <v>745</v>
      </c>
      <c r="C960" s="98" t="s">
        <v>8</v>
      </c>
      <c r="D960" s="98" t="s">
        <v>26</v>
      </c>
      <c r="E960" s="175">
        <v>5</v>
      </c>
      <c r="F960" s="175">
        <v>35.35</v>
      </c>
      <c r="G960" s="176">
        <v>176.75</v>
      </c>
      <c r="H960" s="101">
        <v>87</v>
      </c>
      <c r="K960"/>
    </row>
    <row r="961" spans="1:11" x14ac:dyDescent="0.25">
      <c r="A961" s="174">
        <v>40833</v>
      </c>
      <c r="B961" s="161" t="s">
        <v>742</v>
      </c>
      <c r="C961" s="98" t="s">
        <v>8</v>
      </c>
      <c r="D961" s="98" t="s">
        <v>26</v>
      </c>
      <c r="E961" s="175">
        <v>5</v>
      </c>
      <c r="F961" s="175">
        <v>44.2</v>
      </c>
      <c r="G961" s="176">
        <v>221</v>
      </c>
      <c r="H961" s="101">
        <v>87</v>
      </c>
      <c r="K961"/>
    </row>
    <row r="962" spans="1:11" x14ac:dyDescent="0.25">
      <c r="A962" s="174">
        <v>40833</v>
      </c>
      <c r="B962" s="161" t="s">
        <v>359</v>
      </c>
      <c r="C962" s="98" t="s">
        <v>752</v>
      </c>
      <c r="D962" s="98" t="s">
        <v>26</v>
      </c>
      <c r="E962" s="175">
        <v>5</v>
      </c>
      <c r="F962" s="175">
        <v>11.67</v>
      </c>
      <c r="G962" s="176">
        <v>58.35</v>
      </c>
      <c r="H962" s="101">
        <v>87</v>
      </c>
      <c r="K962"/>
    </row>
    <row r="963" spans="1:11" x14ac:dyDescent="0.25">
      <c r="A963" s="174">
        <v>40834</v>
      </c>
      <c r="B963" s="161" t="s">
        <v>359</v>
      </c>
      <c r="C963" s="98" t="s">
        <v>752</v>
      </c>
      <c r="D963" s="98" t="s">
        <v>26</v>
      </c>
      <c r="E963" s="175">
        <v>2.5</v>
      </c>
      <c r="F963" s="175">
        <v>11.67</v>
      </c>
      <c r="G963" s="176">
        <v>29.175000000000001</v>
      </c>
      <c r="H963" s="101">
        <v>87</v>
      </c>
      <c r="K963"/>
    </row>
    <row r="964" spans="1:11" x14ac:dyDescent="0.25">
      <c r="A964" s="174">
        <v>40834</v>
      </c>
      <c r="B964" s="161" t="s">
        <v>745</v>
      </c>
      <c r="C964" s="98" t="s">
        <v>8</v>
      </c>
      <c r="D964" s="98" t="s">
        <v>26</v>
      </c>
      <c r="E964" s="175">
        <v>2.5</v>
      </c>
      <c r="F964" s="175">
        <v>35.35</v>
      </c>
      <c r="G964" s="176">
        <v>88.375</v>
      </c>
      <c r="H964" s="101">
        <v>87</v>
      </c>
      <c r="K964"/>
    </row>
    <row r="965" spans="1:11" x14ac:dyDescent="0.25">
      <c r="A965" s="174">
        <v>40834</v>
      </c>
      <c r="B965" s="161" t="s">
        <v>742</v>
      </c>
      <c r="C965" s="98" t="s">
        <v>8</v>
      </c>
      <c r="D965" s="98" t="s">
        <v>26</v>
      </c>
      <c r="E965" s="175">
        <v>2.5</v>
      </c>
      <c r="F965" s="175">
        <v>44.2</v>
      </c>
      <c r="G965" s="176">
        <v>110.5</v>
      </c>
      <c r="H965" s="101">
        <v>87</v>
      </c>
      <c r="K965"/>
    </row>
    <row r="966" spans="1:11" x14ac:dyDescent="0.25">
      <c r="A966" s="174">
        <v>40840</v>
      </c>
      <c r="B966" s="161" t="s">
        <v>745</v>
      </c>
      <c r="C966" s="98" t="s">
        <v>8</v>
      </c>
      <c r="D966" s="98" t="s">
        <v>26</v>
      </c>
      <c r="E966" s="175">
        <v>4</v>
      </c>
      <c r="F966" s="175">
        <v>35.35</v>
      </c>
      <c r="G966" s="176">
        <v>141.4</v>
      </c>
      <c r="H966" s="101">
        <v>87</v>
      </c>
      <c r="K966"/>
    </row>
    <row r="967" spans="1:11" x14ac:dyDescent="0.25">
      <c r="A967" s="174">
        <v>40840</v>
      </c>
      <c r="B967" s="161" t="s">
        <v>745</v>
      </c>
      <c r="C967" s="98" t="s">
        <v>8</v>
      </c>
      <c r="D967" s="98" t="s">
        <v>26</v>
      </c>
      <c r="E967" s="175">
        <v>7.5</v>
      </c>
      <c r="F967" s="175">
        <v>35.35</v>
      </c>
      <c r="G967" s="176">
        <v>265.125</v>
      </c>
      <c r="H967" s="101">
        <v>87</v>
      </c>
      <c r="K967"/>
    </row>
    <row r="968" spans="1:11" x14ac:dyDescent="0.25">
      <c r="A968" s="174">
        <v>40840</v>
      </c>
      <c r="B968" s="161" t="s">
        <v>745</v>
      </c>
      <c r="C968" s="98" t="s">
        <v>8</v>
      </c>
      <c r="D968" s="98" t="s">
        <v>26</v>
      </c>
      <c r="E968" s="175">
        <v>4</v>
      </c>
      <c r="F968" s="175">
        <v>35.35</v>
      </c>
      <c r="G968" s="176">
        <v>141.4</v>
      </c>
      <c r="H968" s="101">
        <v>87</v>
      </c>
      <c r="K968"/>
    </row>
    <row r="969" spans="1:11" x14ac:dyDescent="0.25">
      <c r="A969" s="174">
        <v>40841</v>
      </c>
      <c r="B969" s="161" t="s">
        <v>745</v>
      </c>
      <c r="C969" s="98" t="s">
        <v>8</v>
      </c>
      <c r="D969" s="98" t="s">
        <v>26</v>
      </c>
      <c r="E969" s="175">
        <v>2</v>
      </c>
      <c r="F969" s="175">
        <v>35.35</v>
      </c>
      <c r="G969" s="176">
        <v>70.7</v>
      </c>
      <c r="H969" s="101">
        <v>87</v>
      </c>
      <c r="K969"/>
    </row>
    <row r="970" spans="1:11" x14ac:dyDescent="0.25">
      <c r="A970" s="174">
        <v>40871</v>
      </c>
      <c r="B970" s="161" t="s">
        <v>937</v>
      </c>
      <c r="C970" s="98" t="s">
        <v>938</v>
      </c>
      <c r="D970" s="98" t="s">
        <v>715</v>
      </c>
      <c r="E970" s="175">
        <v>1</v>
      </c>
      <c r="F970" s="175">
        <v>590</v>
      </c>
      <c r="G970" s="176">
        <v>590</v>
      </c>
      <c r="H970" s="101">
        <v>87</v>
      </c>
      <c r="K970"/>
    </row>
    <row r="971" spans="1:11" x14ac:dyDescent="0.25">
      <c r="A971" s="174">
        <v>40917</v>
      </c>
      <c r="B971" s="161" t="s">
        <v>757</v>
      </c>
      <c r="C971" s="98" t="s">
        <v>758</v>
      </c>
      <c r="D971" s="98" t="s">
        <v>26</v>
      </c>
      <c r="E971" s="175">
        <v>8</v>
      </c>
      <c r="F971" s="175">
        <v>90</v>
      </c>
      <c r="G971" s="176">
        <v>720</v>
      </c>
      <c r="H971" s="101">
        <v>87</v>
      </c>
      <c r="K971"/>
    </row>
    <row r="972" spans="1:11" x14ac:dyDescent="0.25">
      <c r="A972" s="174">
        <v>40917</v>
      </c>
      <c r="B972" s="161" t="s">
        <v>939</v>
      </c>
      <c r="C972" s="98" t="s">
        <v>764</v>
      </c>
      <c r="D972" s="98" t="s">
        <v>26</v>
      </c>
      <c r="E972" s="175">
        <v>8</v>
      </c>
      <c r="F972" s="175">
        <v>110</v>
      </c>
      <c r="G972" s="176">
        <v>880</v>
      </c>
      <c r="H972" s="101">
        <v>87</v>
      </c>
      <c r="K972"/>
    </row>
    <row r="973" spans="1:11" x14ac:dyDescent="0.25">
      <c r="A973" s="174">
        <v>40917</v>
      </c>
      <c r="B973" s="161" t="s">
        <v>870</v>
      </c>
      <c r="C973" s="98" t="s">
        <v>8</v>
      </c>
      <c r="D973" s="98" t="s">
        <v>26</v>
      </c>
      <c r="E973" s="175">
        <v>9.5</v>
      </c>
      <c r="F973" s="175">
        <v>40.97</v>
      </c>
      <c r="G973" s="176">
        <v>389.21499999999997</v>
      </c>
      <c r="H973" s="101">
        <v>87</v>
      </c>
      <c r="K973"/>
    </row>
    <row r="974" spans="1:11" x14ac:dyDescent="0.25">
      <c r="A974" s="174">
        <v>40917</v>
      </c>
      <c r="B974" s="161" t="s">
        <v>745</v>
      </c>
      <c r="C974" s="98" t="s">
        <v>8</v>
      </c>
      <c r="D974" s="98" t="s">
        <v>26</v>
      </c>
      <c r="E974" s="175">
        <v>9.5</v>
      </c>
      <c r="F974" s="175">
        <v>35.35</v>
      </c>
      <c r="G974" s="176">
        <v>335.82499999999999</v>
      </c>
      <c r="H974" s="101">
        <v>87</v>
      </c>
      <c r="K974"/>
    </row>
    <row r="975" spans="1:11" x14ac:dyDescent="0.25">
      <c r="A975" s="174">
        <v>40917</v>
      </c>
      <c r="B975" s="161" t="s">
        <v>860</v>
      </c>
      <c r="C975" s="98" t="s">
        <v>8</v>
      </c>
      <c r="D975" s="98" t="s">
        <v>26</v>
      </c>
      <c r="E975" s="175">
        <v>3.5</v>
      </c>
      <c r="F975" s="175">
        <v>57.7</v>
      </c>
      <c r="G975" s="176">
        <v>201.95</v>
      </c>
      <c r="H975" s="101">
        <v>87</v>
      </c>
      <c r="K975"/>
    </row>
    <row r="976" spans="1:11" x14ac:dyDescent="0.25">
      <c r="A976" s="174">
        <v>40917</v>
      </c>
      <c r="B976" s="161" t="s">
        <v>78</v>
      </c>
      <c r="C976" s="98" t="s">
        <v>764</v>
      </c>
      <c r="D976" s="98" t="s">
        <v>26</v>
      </c>
      <c r="E976" s="175">
        <v>1</v>
      </c>
      <c r="F976" s="175">
        <v>120</v>
      </c>
      <c r="G976" s="176">
        <v>120</v>
      </c>
      <c r="H976" s="101">
        <v>87</v>
      </c>
      <c r="K976"/>
    </row>
    <row r="977" spans="1:11" x14ac:dyDescent="0.25">
      <c r="A977" s="174">
        <v>40917</v>
      </c>
      <c r="B977" s="161" t="s">
        <v>745</v>
      </c>
      <c r="C977" s="98" t="s">
        <v>8</v>
      </c>
      <c r="D977" s="98" t="s">
        <v>26</v>
      </c>
      <c r="E977" s="175">
        <v>9.5</v>
      </c>
      <c r="F977" s="175">
        <v>35.35</v>
      </c>
      <c r="G977" s="176">
        <v>335.82499999999999</v>
      </c>
      <c r="H977" s="101">
        <v>87</v>
      </c>
      <c r="K977"/>
    </row>
    <row r="978" spans="1:11" x14ac:dyDescent="0.25">
      <c r="A978" s="174">
        <v>40918</v>
      </c>
      <c r="B978" s="161" t="s">
        <v>757</v>
      </c>
      <c r="C978" s="98" t="s">
        <v>758</v>
      </c>
      <c r="D978" s="98" t="s">
        <v>26</v>
      </c>
      <c r="E978" s="175">
        <v>9</v>
      </c>
      <c r="F978" s="175">
        <v>90</v>
      </c>
      <c r="G978" s="176">
        <v>810</v>
      </c>
      <c r="H978" s="101">
        <v>87</v>
      </c>
      <c r="K978"/>
    </row>
    <row r="979" spans="1:11" x14ac:dyDescent="0.25">
      <c r="A979" s="174">
        <v>40918</v>
      </c>
      <c r="B979" s="161" t="s">
        <v>939</v>
      </c>
      <c r="C979" s="98" t="s">
        <v>764</v>
      </c>
      <c r="D979" s="98" t="s">
        <v>26</v>
      </c>
      <c r="E979" s="175">
        <v>8.75</v>
      </c>
      <c r="F979" s="175">
        <v>110</v>
      </c>
      <c r="G979" s="176">
        <v>962.5</v>
      </c>
      <c r="H979" s="101">
        <v>87</v>
      </c>
      <c r="K979"/>
    </row>
    <row r="980" spans="1:11" x14ac:dyDescent="0.25">
      <c r="A980" s="174">
        <v>40918</v>
      </c>
      <c r="B980" s="161" t="s">
        <v>745</v>
      </c>
      <c r="C980" s="98" t="s">
        <v>8</v>
      </c>
      <c r="D980" s="98" t="s">
        <v>26</v>
      </c>
      <c r="E980" s="175">
        <v>9.5</v>
      </c>
      <c r="F980" s="175">
        <v>35.35</v>
      </c>
      <c r="G980" s="176">
        <v>335.82499999999999</v>
      </c>
      <c r="H980" s="101">
        <v>87</v>
      </c>
      <c r="K980"/>
    </row>
    <row r="981" spans="1:11" x14ac:dyDescent="0.25">
      <c r="A981" s="174">
        <v>40918</v>
      </c>
      <c r="B981" s="161" t="s">
        <v>745</v>
      </c>
      <c r="C981" s="98" t="s">
        <v>8</v>
      </c>
      <c r="D981" s="98" t="s">
        <v>26</v>
      </c>
      <c r="E981" s="175">
        <v>9.5</v>
      </c>
      <c r="F981" s="175">
        <v>35.35</v>
      </c>
      <c r="G981" s="176">
        <v>335.82499999999999</v>
      </c>
      <c r="H981" s="101">
        <v>87</v>
      </c>
      <c r="K981"/>
    </row>
    <row r="982" spans="1:11" x14ac:dyDescent="0.25">
      <c r="A982" s="174">
        <v>40918</v>
      </c>
      <c r="B982" s="161" t="s">
        <v>870</v>
      </c>
      <c r="C982" s="98" t="s">
        <v>8</v>
      </c>
      <c r="D982" s="98" t="s">
        <v>26</v>
      </c>
      <c r="E982" s="175">
        <v>9.5</v>
      </c>
      <c r="F982" s="175">
        <v>40.97</v>
      </c>
      <c r="G982" s="176">
        <v>389.21499999999997</v>
      </c>
      <c r="H982" s="101">
        <v>87</v>
      </c>
      <c r="K982"/>
    </row>
    <row r="983" spans="1:11" x14ac:dyDescent="0.25">
      <c r="A983" s="174">
        <v>40919</v>
      </c>
      <c r="B983" s="161" t="s">
        <v>745</v>
      </c>
      <c r="C983" s="98" t="s">
        <v>8</v>
      </c>
      <c r="D983" s="98" t="s">
        <v>26</v>
      </c>
      <c r="E983" s="175">
        <v>9</v>
      </c>
      <c r="F983" s="175">
        <v>35.35</v>
      </c>
      <c r="G983" s="176">
        <v>318.14999999999998</v>
      </c>
      <c r="H983" s="101">
        <v>87</v>
      </c>
      <c r="K983"/>
    </row>
    <row r="984" spans="1:11" x14ac:dyDescent="0.25">
      <c r="A984" s="174">
        <v>40919</v>
      </c>
      <c r="B984" s="161" t="s">
        <v>870</v>
      </c>
      <c r="C984" s="98" t="s">
        <v>8</v>
      </c>
      <c r="D984" s="98" t="s">
        <v>26</v>
      </c>
      <c r="E984" s="175">
        <v>9</v>
      </c>
      <c r="F984" s="175">
        <v>40.97</v>
      </c>
      <c r="G984" s="176">
        <v>368.73</v>
      </c>
      <c r="H984" s="101">
        <v>87</v>
      </c>
      <c r="K984"/>
    </row>
    <row r="985" spans="1:11" x14ac:dyDescent="0.25">
      <c r="A985" s="174">
        <v>40919</v>
      </c>
      <c r="B985" s="161" t="s">
        <v>939</v>
      </c>
      <c r="C985" s="98" t="s">
        <v>764</v>
      </c>
      <c r="D985" s="98" t="s">
        <v>26</v>
      </c>
      <c r="E985" s="175">
        <v>7.5</v>
      </c>
      <c r="F985" s="175">
        <v>110</v>
      </c>
      <c r="G985" s="176">
        <v>825</v>
      </c>
      <c r="H985" s="101">
        <v>87</v>
      </c>
      <c r="K985"/>
    </row>
    <row r="986" spans="1:11" x14ac:dyDescent="0.25">
      <c r="A986" s="174">
        <v>40919</v>
      </c>
      <c r="B986" s="161" t="s">
        <v>757</v>
      </c>
      <c r="C986" s="98" t="s">
        <v>758</v>
      </c>
      <c r="D986" s="98" t="s">
        <v>26</v>
      </c>
      <c r="E986" s="175">
        <v>8</v>
      </c>
      <c r="F986" s="175">
        <v>90</v>
      </c>
      <c r="G986" s="176">
        <v>720</v>
      </c>
      <c r="H986" s="101">
        <v>87</v>
      </c>
      <c r="K986"/>
    </row>
    <row r="987" spans="1:11" x14ac:dyDescent="0.25">
      <c r="A987" s="174">
        <v>40974</v>
      </c>
      <c r="B987" s="161" t="s">
        <v>940</v>
      </c>
      <c r="C987" s="98" t="s">
        <v>938</v>
      </c>
      <c r="D987" s="98" t="s">
        <v>715</v>
      </c>
      <c r="E987" s="175">
        <v>1</v>
      </c>
      <c r="F987" s="175">
        <v>1028.5</v>
      </c>
      <c r="G987" s="176">
        <v>1028.5</v>
      </c>
      <c r="H987" s="101">
        <v>87</v>
      </c>
      <c r="K987"/>
    </row>
    <row r="988" spans="1:11" x14ac:dyDescent="0.25">
      <c r="A988" s="177" t="s">
        <v>643</v>
      </c>
      <c r="B988" s="178" t="s">
        <v>941</v>
      </c>
      <c r="C988" s="179" t="s">
        <v>643</v>
      </c>
      <c r="D988" s="179" t="s">
        <v>643</v>
      </c>
      <c r="E988" s="180"/>
      <c r="F988" s="180"/>
      <c r="G988" s="181">
        <v>19291.025000000001</v>
      </c>
      <c r="H988" s="188" t="s">
        <v>643</v>
      </c>
      <c r="K988"/>
    </row>
    <row r="989" spans="1:11" x14ac:dyDescent="0.25">
      <c r="A989" s="174" t="s">
        <v>643</v>
      </c>
      <c r="B989" s="161" t="s">
        <v>643</v>
      </c>
      <c r="C989" s="98" t="s">
        <v>643</v>
      </c>
      <c r="D989" s="98" t="s">
        <v>643</v>
      </c>
      <c r="E989" s="175"/>
      <c r="F989" s="175"/>
      <c r="G989" s="176"/>
      <c r="H989" s="101" t="s">
        <v>643</v>
      </c>
      <c r="K989"/>
    </row>
    <row r="990" spans="1:11" x14ac:dyDescent="0.25">
      <c r="A990" s="171" t="s">
        <v>643</v>
      </c>
      <c r="B990" s="164" t="s">
        <v>1192</v>
      </c>
      <c r="C990" s="100" t="s">
        <v>643</v>
      </c>
      <c r="D990" s="100" t="s">
        <v>643</v>
      </c>
      <c r="E990" s="172"/>
      <c r="F990" s="172"/>
      <c r="G990" s="173"/>
      <c r="H990" s="187" t="s">
        <v>643</v>
      </c>
      <c r="K990"/>
    </row>
    <row r="991" spans="1:11" x14ac:dyDescent="0.25">
      <c r="A991" s="174">
        <v>40900</v>
      </c>
      <c r="B991" s="161" t="s">
        <v>942</v>
      </c>
      <c r="C991" s="98" t="s">
        <v>943</v>
      </c>
      <c r="D991" s="98" t="s">
        <v>715</v>
      </c>
      <c r="E991" s="175">
        <v>1</v>
      </c>
      <c r="F991" s="175">
        <v>13840</v>
      </c>
      <c r="G991" s="176">
        <v>13840</v>
      </c>
      <c r="H991" s="101">
        <v>103</v>
      </c>
      <c r="K991"/>
    </row>
    <row r="992" spans="1:11" x14ac:dyDescent="0.25">
      <c r="A992" s="177" t="s">
        <v>643</v>
      </c>
      <c r="B992" s="178" t="s">
        <v>944</v>
      </c>
      <c r="C992" s="179" t="s">
        <v>643</v>
      </c>
      <c r="D992" s="179" t="s">
        <v>643</v>
      </c>
      <c r="E992" s="180"/>
      <c r="F992" s="180"/>
      <c r="G992" s="181">
        <v>13840</v>
      </c>
      <c r="H992" s="188" t="s">
        <v>643</v>
      </c>
      <c r="K992"/>
    </row>
    <row r="993" spans="1:11" x14ac:dyDescent="0.25">
      <c r="A993" s="174" t="s">
        <v>643</v>
      </c>
      <c r="B993" s="161" t="s">
        <v>643</v>
      </c>
      <c r="C993" s="98" t="s">
        <v>643</v>
      </c>
      <c r="D993" s="98" t="s">
        <v>643</v>
      </c>
      <c r="E993" s="175"/>
      <c r="F993" s="175"/>
      <c r="G993" s="176"/>
      <c r="H993" s="101" t="s">
        <v>643</v>
      </c>
      <c r="K993"/>
    </row>
    <row r="994" spans="1:11" x14ac:dyDescent="0.25">
      <c r="A994" s="171" t="s">
        <v>643</v>
      </c>
      <c r="B994" s="164" t="s">
        <v>1193</v>
      </c>
      <c r="C994" s="100" t="s">
        <v>643</v>
      </c>
      <c r="D994" s="100" t="s">
        <v>643</v>
      </c>
      <c r="E994" s="172"/>
      <c r="F994" s="172"/>
      <c r="G994" s="173"/>
      <c r="H994" s="187" t="s">
        <v>643</v>
      </c>
      <c r="K994"/>
    </row>
    <row r="995" spans="1:11" x14ac:dyDescent="0.25">
      <c r="A995" s="174">
        <v>40791</v>
      </c>
      <c r="B995" s="161" t="s">
        <v>745</v>
      </c>
      <c r="C995" s="98" t="s">
        <v>8</v>
      </c>
      <c r="D995" s="98" t="s">
        <v>26</v>
      </c>
      <c r="E995" s="175">
        <v>5</v>
      </c>
      <c r="F995" s="175">
        <v>35.35</v>
      </c>
      <c r="G995" s="176">
        <v>176.75</v>
      </c>
      <c r="H995" s="101">
        <v>141</v>
      </c>
      <c r="K995"/>
    </row>
    <row r="996" spans="1:11" x14ac:dyDescent="0.25">
      <c r="A996" s="174">
        <v>40791</v>
      </c>
      <c r="B996" s="161" t="s">
        <v>761</v>
      </c>
      <c r="C996" s="98" t="s">
        <v>8</v>
      </c>
      <c r="D996" s="98" t="s">
        <v>26</v>
      </c>
      <c r="E996" s="175">
        <v>5</v>
      </c>
      <c r="F996" s="175">
        <v>35.35</v>
      </c>
      <c r="G996" s="176">
        <v>176.75</v>
      </c>
      <c r="H996" s="101">
        <v>141</v>
      </c>
      <c r="K996"/>
    </row>
    <row r="997" spans="1:11" x14ac:dyDescent="0.25">
      <c r="A997" s="174">
        <v>40791</v>
      </c>
      <c r="B997" s="161" t="s">
        <v>742</v>
      </c>
      <c r="C997" s="98" t="s">
        <v>8</v>
      </c>
      <c r="D997" s="98" t="s">
        <v>26</v>
      </c>
      <c r="E997" s="175">
        <v>6.5</v>
      </c>
      <c r="F997" s="175">
        <v>44.2</v>
      </c>
      <c r="G997" s="176">
        <v>287.3</v>
      </c>
      <c r="H997" s="101">
        <v>141</v>
      </c>
      <c r="K997"/>
    </row>
    <row r="998" spans="1:11" x14ac:dyDescent="0.25">
      <c r="A998" s="174">
        <v>40791</v>
      </c>
      <c r="B998" s="161" t="s">
        <v>745</v>
      </c>
      <c r="C998" s="98" t="s">
        <v>8</v>
      </c>
      <c r="D998" s="98" t="s">
        <v>26</v>
      </c>
      <c r="E998" s="175">
        <v>5</v>
      </c>
      <c r="F998" s="175">
        <v>35.35</v>
      </c>
      <c r="G998" s="176">
        <v>176.75</v>
      </c>
      <c r="H998" s="101">
        <v>141</v>
      </c>
      <c r="K998"/>
    </row>
    <row r="999" spans="1:11" ht="30" x14ac:dyDescent="0.25">
      <c r="A999" s="174">
        <v>40791</v>
      </c>
      <c r="B999" s="161" t="s">
        <v>1133</v>
      </c>
      <c r="C999" s="98" t="s">
        <v>1134</v>
      </c>
      <c r="D999" s="98" t="s">
        <v>715</v>
      </c>
      <c r="E999" s="175">
        <v>1</v>
      </c>
      <c r="F999" s="175">
        <v>3628.13</v>
      </c>
      <c r="G999" s="176">
        <v>3628.13</v>
      </c>
      <c r="H999" s="101">
        <v>141</v>
      </c>
      <c r="K999"/>
    </row>
    <row r="1000" spans="1:11" ht="30" x14ac:dyDescent="0.25">
      <c r="A1000" s="174">
        <v>40791</v>
      </c>
      <c r="B1000" s="161" t="s">
        <v>1135</v>
      </c>
      <c r="C1000" s="98" t="s">
        <v>1134</v>
      </c>
      <c r="D1000" s="98" t="s">
        <v>715</v>
      </c>
      <c r="E1000" s="175">
        <v>1</v>
      </c>
      <c r="F1000" s="175">
        <v>1203.48</v>
      </c>
      <c r="G1000" s="176">
        <v>1203.48</v>
      </c>
      <c r="H1000" s="101">
        <v>141</v>
      </c>
      <c r="K1000"/>
    </row>
    <row r="1001" spans="1:11" ht="30" x14ac:dyDescent="0.25">
      <c r="A1001" s="174">
        <v>40792</v>
      </c>
      <c r="B1001" s="161" t="s">
        <v>1136</v>
      </c>
      <c r="C1001" s="98" t="s">
        <v>1134</v>
      </c>
      <c r="D1001" s="98" t="s">
        <v>715</v>
      </c>
      <c r="E1001" s="175">
        <v>1</v>
      </c>
      <c r="F1001" s="175">
        <v>590.25</v>
      </c>
      <c r="G1001" s="176">
        <v>590.25</v>
      </c>
      <c r="H1001" s="101">
        <v>141</v>
      </c>
      <c r="K1001"/>
    </row>
    <row r="1002" spans="1:11" x14ac:dyDescent="0.25">
      <c r="A1002" s="174">
        <v>40794</v>
      </c>
      <c r="B1002" s="161" t="s">
        <v>761</v>
      </c>
      <c r="C1002" s="98" t="s">
        <v>8</v>
      </c>
      <c r="D1002" s="98" t="s">
        <v>26</v>
      </c>
      <c r="E1002" s="175">
        <v>10</v>
      </c>
      <c r="F1002" s="175">
        <v>35.35</v>
      </c>
      <c r="G1002" s="176">
        <v>353.5</v>
      </c>
      <c r="H1002" s="101">
        <v>141</v>
      </c>
      <c r="K1002"/>
    </row>
    <row r="1003" spans="1:11" x14ac:dyDescent="0.25">
      <c r="A1003" s="174">
        <v>40794</v>
      </c>
      <c r="B1003" s="161" t="s">
        <v>745</v>
      </c>
      <c r="C1003" s="98" t="s">
        <v>8</v>
      </c>
      <c r="D1003" s="98" t="s">
        <v>26</v>
      </c>
      <c r="E1003" s="175">
        <v>10</v>
      </c>
      <c r="F1003" s="175">
        <v>35.35</v>
      </c>
      <c r="G1003" s="176">
        <v>353.5</v>
      </c>
      <c r="H1003" s="101">
        <v>141</v>
      </c>
      <c r="K1003"/>
    </row>
    <row r="1004" spans="1:11" x14ac:dyDescent="0.25">
      <c r="A1004" s="174">
        <v>40798</v>
      </c>
      <c r="B1004" s="161" t="s">
        <v>769</v>
      </c>
      <c r="C1004" s="98" t="s">
        <v>770</v>
      </c>
      <c r="D1004" s="98" t="s">
        <v>39</v>
      </c>
      <c r="E1004" s="175">
        <v>1</v>
      </c>
      <c r="F1004" s="175">
        <v>125</v>
      </c>
      <c r="G1004" s="176">
        <v>125</v>
      </c>
      <c r="H1004" s="101">
        <v>141</v>
      </c>
      <c r="K1004"/>
    </row>
    <row r="1005" spans="1:11" x14ac:dyDescent="0.25">
      <c r="A1005" s="174">
        <v>40799</v>
      </c>
      <c r="B1005" s="161" t="s">
        <v>745</v>
      </c>
      <c r="C1005" s="98" t="s">
        <v>8</v>
      </c>
      <c r="D1005" s="98" t="s">
        <v>26</v>
      </c>
      <c r="E1005" s="175">
        <v>10</v>
      </c>
      <c r="F1005" s="175">
        <v>35.35</v>
      </c>
      <c r="G1005" s="176">
        <v>353.5</v>
      </c>
      <c r="H1005" s="101">
        <v>141</v>
      </c>
      <c r="K1005"/>
    </row>
    <row r="1006" spans="1:11" x14ac:dyDescent="0.25">
      <c r="A1006" s="174">
        <v>40799</v>
      </c>
      <c r="B1006" s="161" t="s">
        <v>745</v>
      </c>
      <c r="C1006" s="98" t="s">
        <v>8</v>
      </c>
      <c r="D1006" s="98" t="s">
        <v>26</v>
      </c>
      <c r="E1006" s="175">
        <v>10</v>
      </c>
      <c r="F1006" s="175">
        <v>35.35</v>
      </c>
      <c r="G1006" s="176">
        <v>353.5</v>
      </c>
      <c r="H1006" s="101">
        <v>141</v>
      </c>
      <c r="K1006"/>
    </row>
    <row r="1007" spans="1:11" x14ac:dyDescent="0.25">
      <c r="A1007" s="174">
        <v>40799</v>
      </c>
      <c r="B1007" s="161" t="s">
        <v>769</v>
      </c>
      <c r="C1007" s="98" t="s">
        <v>770</v>
      </c>
      <c r="D1007" s="98" t="s">
        <v>39</v>
      </c>
      <c r="E1007" s="175">
        <v>1</v>
      </c>
      <c r="F1007" s="175">
        <v>125</v>
      </c>
      <c r="G1007" s="176">
        <v>125</v>
      </c>
      <c r="H1007" s="101">
        <v>141</v>
      </c>
      <c r="K1007"/>
    </row>
    <row r="1008" spans="1:11" ht="30" x14ac:dyDescent="0.25">
      <c r="A1008" s="174">
        <v>40821</v>
      </c>
      <c r="B1008" s="161" t="s">
        <v>1137</v>
      </c>
      <c r="C1008" s="98" t="s">
        <v>1134</v>
      </c>
      <c r="D1008" s="98" t="s">
        <v>715</v>
      </c>
      <c r="E1008" s="175">
        <v>1</v>
      </c>
      <c r="F1008" s="175">
        <v>2020.72</v>
      </c>
      <c r="G1008" s="176">
        <v>2020.72</v>
      </c>
      <c r="H1008" s="101">
        <v>141</v>
      </c>
      <c r="K1008"/>
    </row>
    <row r="1009" spans="1:11" ht="30" x14ac:dyDescent="0.25">
      <c r="A1009" s="174">
        <v>40829</v>
      </c>
      <c r="B1009" s="161" t="s">
        <v>1138</v>
      </c>
      <c r="C1009" s="98" t="s">
        <v>1134</v>
      </c>
      <c r="D1009" s="98" t="s">
        <v>715</v>
      </c>
      <c r="E1009" s="175">
        <v>1</v>
      </c>
      <c r="F1009" s="175">
        <v>1647</v>
      </c>
      <c r="G1009" s="176">
        <v>1647</v>
      </c>
      <c r="H1009" s="101">
        <v>141</v>
      </c>
      <c r="K1009"/>
    </row>
    <row r="1010" spans="1:11" x14ac:dyDescent="0.25">
      <c r="A1010" s="174">
        <v>40833</v>
      </c>
      <c r="B1010" s="161" t="s">
        <v>745</v>
      </c>
      <c r="C1010" s="98" t="s">
        <v>8</v>
      </c>
      <c r="D1010" s="98" t="s">
        <v>26</v>
      </c>
      <c r="E1010" s="175">
        <v>9.5</v>
      </c>
      <c r="F1010" s="175">
        <v>35.35</v>
      </c>
      <c r="G1010" s="176">
        <v>335.82499999999999</v>
      </c>
      <c r="H1010" s="101">
        <v>141</v>
      </c>
      <c r="K1010"/>
    </row>
    <row r="1011" spans="1:11" ht="30" x14ac:dyDescent="0.25">
      <c r="A1011" s="174">
        <v>40834</v>
      </c>
      <c r="B1011" s="161" t="s">
        <v>1139</v>
      </c>
      <c r="C1011" s="98" t="s">
        <v>1134</v>
      </c>
      <c r="D1011" s="98" t="s">
        <v>715</v>
      </c>
      <c r="E1011" s="175">
        <v>1</v>
      </c>
      <c r="F1011" s="175">
        <v>2044</v>
      </c>
      <c r="G1011" s="176">
        <v>2044</v>
      </c>
      <c r="H1011" s="101">
        <v>141</v>
      </c>
      <c r="K1011"/>
    </row>
    <row r="1012" spans="1:11" x14ac:dyDescent="0.25">
      <c r="A1012" s="174">
        <v>40836</v>
      </c>
      <c r="B1012" s="161" t="s">
        <v>945</v>
      </c>
      <c r="C1012" s="98" t="s">
        <v>946</v>
      </c>
      <c r="D1012" s="98" t="s">
        <v>715</v>
      </c>
      <c r="E1012" s="175">
        <v>1</v>
      </c>
      <c r="F1012" s="175">
        <v>291.79000000000002</v>
      </c>
      <c r="G1012" s="176">
        <v>291.79000000000002</v>
      </c>
      <c r="H1012" s="101">
        <v>141</v>
      </c>
      <c r="K1012"/>
    </row>
    <row r="1013" spans="1:11" x14ac:dyDescent="0.25">
      <c r="A1013" s="174">
        <v>40843</v>
      </c>
      <c r="B1013" s="161" t="s">
        <v>745</v>
      </c>
      <c r="C1013" s="98" t="s">
        <v>8</v>
      </c>
      <c r="D1013" s="98" t="s">
        <v>26</v>
      </c>
      <c r="E1013" s="175">
        <v>7.5</v>
      </c>
      <c r="F1013" s="175">
        <v>35.35</v>
      </c>
      <c r="G1013" s="176">
        <v>265.125</v>
      </c>
      <c r="H1013" s="101">
        <v>141</v>
      </c>
      <c r="K1013"/>
    </row>
    <row r="1014" spans="1:11" x14ac:dyDescent="0.25">
      <c r="A1014" s="174">
        <v>40844</v>
      </c>
      <c r="B1014" s="161" t="s">
        <v>745</v>
      </c>
      <c r="C1014" s="98" t="s">
        <v>8</v>
      </c>
      <c r="D1014" s="98" t="s">
        <v>26</v>
      </c>
      <c r="E1014" s="175">
        <v>9.5</v>
      </c>
      <c r="F1014" s="175">
        <v>35.35</v>
      </c>
      <c r="G1014" s="176">
        <v>335.82499999999999</v>
      </c>
      <c r="H1014" s="101">
        <v>141</v>
      </c>
      <c r="K1014"/>
    </row>
    <row r="1015" spans="1:11" x14ac:dyDescent="0.25">
      <c r="A1015" s="174">
        <v>40847</v>
      </c>
      <c r="B1015" s="161" t="s">
        <v>745</v>
      </c>
      <c r="C1015" s="98" t="s">
        <v>8</v>
      </c>
      <c r="D1015" s="98" t="s">
        <v>26</v>
      </c>
      <c r="E1015" s="175">
        <v>9.5</v>
      </c>
      <c r="F1015" s="175">
        <v>35.35</v>
      </c>
      <c r="G1015" s="176">
        <v>335.82499999999999</v>
      </c>
      <c r="H1015" s="101">
        <v>141</v>
      </c>
      <c r="K1015"/>
    </row>
    <row r="1016" spans="1:11" x14ac:dyDescent="0.25">
      <c r="A1016" s="174">
        <v>40849</v>
      </c>
      <c r="B1016" s="161" t="s">
        <v>745</v>
      </c>
      <c r="C1016" s="98" t="s">
        <v>8</v>
      </c>
      <c r="D1016" s="98" t="s">
        <v>26</v>
      </c>
      <c r="E1016" s="175">
        <v>9</v>
      </c>
      <c r="F1016" s="175">
        <v>35.35</v>
      </c>
      <c r="G1016" s="176">
        <v>318.14999999999998</v>
      </c>
      <c r="H1016" s="101">
        <v>141</v>
      </c>
      <c r="K1016"/>
    </row>
    <row r="1017" spans="1:11" ht="30" x14ac:dyDescent="0.25">
      <c r="A1017" s="174">
        <v>40913</v>
      </c>
      <c r="B1017" s="161" t="s">
        <v>1140</v>
      </c>
      <c r="C1017" s="98" t="s">
        <v>1134</v>
      </c>
      <c r="D1017" s="98" t="s">
        <v>715</v>
      </c>
      <c r="E1017" s="175">
        <v>1</v>
      </c>
      <c r="F1017" s="175">
        <v>2304.16</v>
      </c>
      <c r="G1017" s="176">
        <v>2304.16</v>
      </c>
      <c r="H1017" s="101">
        <v>141</v>
      </c>
      <c r="K1017"/>
    </row>
    <row r="1018" spans="1:11" x14ac:dyDescent="0.25">
      <c r="A1018" s="174">
        <v>40917</v>
      </c>
      <c r="B1018" s="161" t="s">
        <v>745</v>
      </c>
      <c r="C1018" s="98" t="s">
        <v>8</v>
      </c>
      <c r="D1018" s="98" t="s">
        <v>26</v>
      </c>
      <c r="E1018" s="175">
        <v>9.5</v>
      </c>
      <c r="F1018" s="175">
        <v>35.35</v>
      </c>
      <c r="G1018" s="176">
        <v>335.82499999999999</v>
      </c>
      <c r="H1018" s="101">
        <v>141</v>
      </c>
      <c r="K1018"/>
    </row>
    <row r="1019" spans="1:11" x14ac:dyDescent="0.25">
      <c r="A1019" s="174">
        <v>40919</v>
      </c>
      <c r="B1019" s="161" t="s">
        <v>745</v>
      </c>
      <c r="C1019" s="98" t="s">
        <v>8</v>
      </c>
      <c r="D1019" s="98" t="s">
        <v>26</v>
      </c>
      <c r="E1019" s="175">
        <v>9</v>
      </c>
      <c r="F1019" s="175">
        <v>35.35</v>
      </c>
      <c r="G1019" s="176">
        <v>318.14999999999998</v>
      </c>
      <c r="H1019" s="101">
        <v>141</v>
      </c>
      <c r="K1019"/>
    </row>
    <row r="1020" spans="1:11" x14ac:dyDescent="0.25">
      <c r="A1020" s="174">
        <v>40931</v>
      </c>
      <c r="B1020" s="161" t="s">
        <v>745</v>
      </c>
      <c r="C1020" s="98" t="s">
        <v>8</v>
      </c>
      <c r="D1020" s="98" t="s">
        <v>26</v>
      </c>
      <c r="E1020" s="175">
        <v>9.5</v>
      </c>
      <c r="F1020" s="175">
        <v>35.35</v>
      </c>
      <c r="G1020" s="176">
        <v>335.82499999999999</v>
      </c>
      <c r="H1020" s="101">
        <v>141</v>
      </c>
      <c r="K1020"/>
    </row>
    <row r="1021" spans="1:11" x14ac:dyDescent="0.25">
      <c r="A1021" s="174">
        <v>40932</v>
      </c>
      <c r="B1021" s="161" t="s">
        <v>745</v>
      </c>
      <c r="C1021" s="98" t="s">
        <v>8</v>
      </c>
      <c r="D1021" s="98" t="s">
        <v>26</v>
      </c>
      <c r="E1021" s="175">
        <v>9.5</v>
      </c>
      <c r="F1021" s="175">
        <v>35.35</v>
      </c>
      <c r="G1021" s="176">
        <v>335.82499999999999</v>
      </c>
      <c r="H1021" s="101">
        <v>141</v>
      </c>
      <c r="K1021"/>
    </row>
    <row r="1022" spans="1:11" ht="30" x14ac:dyDescent="0.25">
      <c r="A1022" s="174">
        <v>40955</v>
      </c>
      <c r="B1022" s="161" t="s">
        <v>1141</v>
      </c>
      <c r="C1022" s="98" t="s">
        <v>1134</v>
      </c>
      <c r="D1022" s="98" t="s">
        <v>715</v>
      </c>
      <c r="E1022" s="175">
        <v>1</v>
      </c>
      <c r="F1022" s="175">
        <v>1487.08</v>
      </c>
      <c r="G1022" s="176">
        <v>1487.08</v>
      </c>
      <c r="H1022" s="101">
        <v>141</v>
      </c>
      <c r="K1022"/>
    </row>
    <row r="1023" spans="1:11" x14ac:dyDescent="0.25">
      <c r="A1023" s="174">
        <v>40959</v>
      </c>
      <c r="B1023" s="161" t="s">
        <v>1142</v>
      </c>
      <c r="C1023" s="98" t="s">
        <v>1134</v>
      </c>
      <c r="D1023" s="98" t="s">
        <v>715</v>
      </c>
      <c r="E1023" s="175">
        <v>1</v>
      </c>
      <c r="F1023" s="175">
        <v>368.47</v>
      </c>
      <c r="G1023" s="176">
        <v>368.47</v>
      </c>
      <c r="H1023" s="101">
        <v>141</v>
      </c>
      <c r="K1023"/>
    </row>
    <row r="1024" spans="1:11" x14ac:dyDescent="0.25">
      <c r="A1024" s="174">
        <v>40961</v>
      </c>
      <c r="B1024" s="161" t="s">
        <v>745</v>
      </c>
      <c r="C1024" s="98" t="s">
        <v>8</v>
      </c>
      <c r="D1024" s="98" t="s">
        <v>26</v>
      </c>
      <c r="E1024" s="175">
        <v>9.5</v>
      </c>
      <c r="F1024" s="175">
        <v>35.35</v>
      </c>
      <c r="G1024" s="176">
        <v>335.82499999999999</v>
      </c>
      <c r="H1024" s="101">
        <v>141</v>
      </c>
      <c r="K1024"/>
    </row>
    <row r="1025" spans="1:11" x14ac:dyDescent="0.25">
      <c r="A1025" s="174">
        <v>40962</v>
      </c>
      <c r="B1025" s="161" t="s">
        <v>745</v>
      </c>
      <c r="C1025" s="98" t="s">
        <v>8</v>
      </c>
      <c r="D1025" s="98" t="s">
        <v>26</v>
      </c>
      <c r="E1025" s="175">
        <v>6.5</v>
      </c>
      <c r="F1025" s="175">
        <v>35.35</v>
      </c>
      <c r="G1025" s="176">
        <v>229.77500000000001</v>
      </c>
      <c r="H1025" s="101">
        <v>141</v>
      </c>
      <c r="K1025"/>
    </row>
    <row r="1026" spans="1:11" x14ac:dyDescent="0.25">
      <c r="A1026" s="177" t="s">
        <v>643</v>
      </c>
      <c r="B1026" s="178" t="s">
        <v>947</v>
      </c>
      <c r="C1026" s="179" t="s">
        <v>643</v>
      </c>
      <c r="D1026" s="179" t="s">
        <v>643</v>
      </c>
      <c r="E1026" s="180"/>
      <c r="F1026" s="180"/>
      <c r="G1026" s="181">
        <v>21548.605000000007</v>
      </c>
      <c r="H1026" s="188" t="s">
        <v>643</v>
      </c>
      <c r="K1026"/>
    </row>
    <row r="1027" spans="1:11" x14ac:dyDescent="0.25">
      <c r="A1027" s="174" t="s">
        <v>643</v>
      </c>
      <c r="B1027" s="161" t="s">
        <v>643</v>
      </c>
      <c r="C1027" s="98" t="s">
        <v>643</v>
      </c>
      <c r="D1027" s="98" t="s">
        <v>643</v>
      </c>
      <c r="E1027" s="175"/>
      <c r="F1027" s="175"/>
      <c r="G1027" s="176"/>
      <c r="H1027" s="101" t="s">
        <v>643</v>
      </c>
      <c r="K1027"/>
    </row>
    <row r="1028" spans="1:11" x14ac:dyDescent="0.25">
      <c r="A1028" s="171" t="s">
        <v>643</v>
      </c>
      <c r="B1028" s="164" t="s">
        <v>1194</v>
      </c>
      <c r="C1028" s="100" t="s">
        <v>643</v>
      </c>
      <c r="D1028" s="100" t="s">
        <v>643</v>
      </c>
      <c r="E1028" s="172"/>
      <c r="F1028" s="172"/>
      <c r="G1028" s="173"/>
      <c r="H1028" s="187" t="s">
        <v>643</v>
      </c>
      <c r="K1028"/>
    </row>
    <row r="1029" spans="1:11" x14ac:dyDescent="0.25">
      <c r="A1029" s="174">
        <v>40799</v>
      </c>
      <c r="B1029" s="161" t="s">
        <v>346</v>
      </c>
      <c r="C1029" s="98" t="s">
        <v>751</v>
      </c>
      <c r="D1029" s="98" t="s">
        <v>26</v>
      </c>
      <c r="E1029" s="175">
        <v>2</v>
      </c>
      <c r="F1029" s="175">
        <v>26.46</v>
      </c>
      <c r="G1029" s="176">
        <v>52.92</v>
      </c>
      <c r="H1029" s="101">
        <v>181</v>
      </c>
      <c r="K1029"/>
    </row>
    <row r="1030" spans="1:11" x14ac:dyDescent="0.25">
      <c r="A1030" s="174">
        <v>40800</v>
      </c>
      <c r="B1030" s="161" t="s">
        <v>346</v>
      </c>
      <c r="C1030" s="98" t="s">
        <v>751</v>
      </c>
      <c r="D1030" s="98" t="s">
        <v>26</v>
      </c>
      <c r="E1030" s="175">
        <v>3</v>
      </c>
      <c r="F1030" s="175">
        <v>26.46</v>
      </c>
      <c r="G1030" s="176">
        <v>79.38</v>
      </c>
      <c r="H1030" s="101">
        <v>181</v>
      </c>
      <c r="K1030"/>
    </row>
    <row r="1031" spans="1:11" x14ac:dyDescent="0.25">
      <c r="A1031" s="174">
        <v>40801</v>
      </c>
      <c r="B1031" s="161" t="s">
        <v>346</v>
      </c>
      <c r="C1031" s="98" t="s">
        <v>751</v>
      </c>
      <c r="D1031" s="98" t="s">
        <v>26</v>
      </c>
      <c r="E1031" s="175">
        <v>3.5</v>
      </c>
      <c r="F1031" s="175">
        <v>26.46</v>
      </c>
      <c r="G1031" s="176">
        <v>92.61</v>
      </c>
      <c r="H1031" s="101">
        <v>181</v>
      </c>
      <c r="K1031"/>
    </row>
    <row r="1032" spans="1:11" x14ac:dyDescent="0.25">
      <c r="A1032" s="174">
        <v>40806</v>
      </c>
      <c r="B1032" s="161" t="s">
        <v>346</v>
      </c>
      <c r="C1032" s="98" t="s">
        <v>751</v>
      </c>
      <c r="D1032" s="98" t="s">
        <v>26</v>
      </c>
      <c r="E1032" s="175">
        <v>4.5</v>
      </c>
      <c r="F1032" s="175">
        <v>26.46</v>
      </c>
      <c r="G1032" s="176">
        <v>119.07</v>
      </c>
      <c r="H1032" s="101">
        <v>181</v>
      </c>
      <c r="K1032"/>
    </row>
    <row r="1033" spans="1:11" x14ac:dyDescent="0.25">
      <c r="A1033" s="174">
        <v>40807</v>
      </c>
      <c r="B1033" s="161" t="s">
        <v>948</v>
      </c>
      <c r="C1033" s="98" t="s">
        <v>750</v>
      </c>
      <c r="D1033" s="98" t="s">
        <v>26</v>
      </c>
      <c r="E1033" s="175">
        <v>3.5</v>
      </c>
      <c r="F1033" s="175">
        <v>45</v>
      </c>
      <c r="G1033" s="176">
        <v>157.5</v>
      </c>
      <c r="H1033" s="101">
        <v>181</v>
      </c>
      <c r="K1033"/>
    </row>
    <row r="1034" spans="1:11" x14ac:dyDescent="0.25">
      <c r="A1034" s="174">
        <v>40807</v>
      </c>
      <c r="B1034" s="161" t="s">
        <v>949</v>
      </c>
      <c r="C1034" s="98" t="s">
        <v>766</v>
      </c>
      <c r="D1034" s="98" t="s">
        <v>26</v>
      </c>
      <c r="E1034" s="175">
        <v>3.5</v>
      </c>
      <c r="F1034" s="175">
        <v>110</v>
      </c>
      <c r="G1034" s="176">
        <v>385</v>
      </c>
      <c r="H1034" s="101">
        <v>181</v>
      </c>
      <c r="K1034"/>
    </row>
    <row r="1035" spans="1:11" x14ac:dyDescent="0.25">
      <c r="A1035" s="174">
        <v>40807</v>
      </c>
      <c r="B1035" s="161" t="s">
        <v>346</v>
      </c>
      <c r="C1035" s="98" t="s">
        <v>751</v>
      </c>
      <c r="D1035" s="98" t="s">
        <v>26</v>
      </c>
      <c r="E1035" s="175">
        <v>3.5</v>
      </c>
      <c r="F1035" s="175">
        <v>26.46</v>
      </c>
      <c r="G1035" s="176">
        <v>92.61</v>
      </c>
      <c r="H1035" s="101">
        <v>181</v>
      </c>
      <c r="K1035"/>
    </row>
    <row r="1036" spans="1:11" x14ac:dyDescent="0.25">
      <c r="A1036" s="174">
        <v>40808</v>
      </c>
      <c r="B1036" s="161" t="s">
        <v>949</v>
      </c>
      <c r="C1036" s="98" t="s">
        <v>766</v>
      </c>
      <c r="D1036" s="98" t="s">
        <v>26</v>
      </c>
      <c r="E1036" s="175">
        <v>2</v>
      </c>
      <c r="F1036" s="175">
        <v>110</v>
      </c>
      <c r="G1036" s="176">
        <v>220</v>
      </c>
      <c r="H1036" s="101">
        <v>181</v>
      </c>
      <c r="K1036"/>
    </row>
    <row r="1037" spans="1:11" x14ac:dyDescent="0.25">
      <c r="A1037" s="174">
        <v>40808</v>
      </c>
      <c r="B1037" s="161" t="s">
        <v>763</v>
      </c>
      <c r="C1037" s="98" t="s">
        <v>764</v>
      </c>
      <c r="D1037" s="98" t="s">
        <v>26</v>
      </c>
      <c r="E1037" s="175">
        <v>3</v>
      </c>
      <c r="F1037" s="175">
        <v>100</v>
      </c>
      <c r="G1037" s="176">
        <v>300</v>
      </c>
      <c r="H1037" s="101">
        <v>181</v>
      </c>
      <c r="K1037"/>
    </row>
    <row r="1038" spans="1:11" x14ac:dyDescent="0.25">
      <c r="A1038" s="174">
        <v>40808</v>
      </c>
      <c r="B1038" s="161" t="s">
        <v>346</v>
      </c>
      <c r="C1038" s="98" t="s">
        <v>751</v>
      </c>
      <c r="D1038" s="98" t="s">
        <v>26</v>
      </c>
      <c r="E1038" s="175">
        <v>3.5</v>
      </c>
      <c r="F1038" s="175">
        <v>26.46</v>
      </c>
      <c r="G1038" s="176">
        <v>92.61</v>
      </c>
      <c r="H1038" s="101">
        <v>181</v>
      </c>
      <c r="K1038"/>
    </row>
    <row r="1039" spans="1:11" x14ac:dyDescent="0.25">
      <c r="A1039" s="174">
        <v>40808</v>
      </c>
      <c r="B1039" s="161" t="s">
        <v>948</v>
      </c>
      <c r="C1039" s="98" t="s">
        <v>750</v>
      </c>
      <c r="D1039" s="98" t="s">
        <v>26</v>
      </c>
      <c r="E1039" s="175">
        <v>2</v>
      </c>
      <c r="F1039" s="175">
        <v>45</v>
      </c>
      <c r="G1039" s="176">
        <v>90</v>
      </c>
      <c r="H1039" s="101">
        <v>181</v>
      </c>
      <c r="K1039"/>
    </row>
    <row r="1040" spans="1:11" x14ac:dyDescent="0.25">
      <c r="A1040" s="174">
        <v>40809</v>
      </c>
      <c r="B1040" s="161" t="s">
        <v>748</v>
      </c>
      <c r="C1040" s="98" t="s">
        <v>747</v>
      </c>
      <c r="D1040" s="98" t="s">
        <v>26</v>
      </c>
      <c r="E1040" s="175">
        <v>4</v>
      </c>
      <c r="F1040" s="175">
        <v>85</v>
      </c>
      <c r="G1040" s="176">
        <v>340</v>
      </c>
      <c r="H1040" s="101">
        <v>181</v>
      </c>
      <c r="K1040"/>
    </row>
    <row r="1041" spans="1:11" x14ac:dyDescent="0.25">
      <c r="A1041" s="174">
        <v>40809</v>
      </c>
      <c r="B1041" s="161" t="s">
        <v>359</v>
      </c>
      <c r="C1041" s="98" t="s">
        <v>752</v>
      </c>
      <c r="D1041" s="98" t="s">
        <v>26</v>
      </c>
      <c r="E1041" s="175">
        <v>8</v>
      </c>
      <c r="F1041" s="175">
        <v>11.67</v>
      </c>
      <c r="G1041" s="176">
        <v>93.36</v>
      </c>
      <c r="H1041" s="101">
        <v>181</v>
      </c>
      <c r="K1041"/>
    </row>
    <row r="1042" spans="1:11" x14ac:dyDescent="0.25">
      <c r="A1042" s="174">
        <v>40809</v>
      </c>
      <c r="B1042" s="161" t="s">
        <v>783</v>
      </c>
      <c r="C1042" s="98" t="s">
        <v>750</v>
      </c>
      <c r="D1042" s="98" t="s">
        <v>26</v>
      </c>
      <c r="E1042" s="175">
        <v>5</v>
      </c>
      <c r="F1042" s="175">
        <v>95</v>
      </c>
      <c r="G1042" s="176">
        <v>475</v>
      </c>
      <c r="H1042" s="101">
        <v>181</v>
      </c>
      <c r="K1042"/>
    </row>
    <row r="1043" spans="1:11" x14ac:dyDescent="0.25">
      <c r="A1043" s="174">
        <v>40809</v>
      </c>
      <c r="B1043" s="161" t="s">
        <v>346</v>
      </c>
      <c r="C1043" s="98" t="s">
        <v>751</v>
      </c>
      <c r="D1043" s="98" t="s">
        <v>26</v>
      </c>
      <c r="E1043" s="175">
        <v>2</v>
      </c>
      <c r="F1043" s="175">
        <v>26.46</v>
      </c>
      <c r="G1043" s="176">
        <v>52.92</v>
      </c>
      <c r="H1043" s="101">
        <v>181</v>
      </c>
      <c r="K1043"/>
    </row>
    <row r="1044" spans="1:11" x14ac:dyDescent="0.25">
      <c r="A1044" s="174">
        <v>40809</v>
      </c>
      <c r="B1044" s="161" t="s">
        <v>768</v>
      </c>
      <c r="C1044" s="98" t="s">
        <v>750</v>
      </c>
      <c r="D1044" s="98" t="s">
        <v>26</v>
      </c>
      <c r="E1044" s="175">
        <v>3.5</v>
      </c>
      <c r="F1044" s="175">
        <v>125</v>
      </c>
      <c r="G1044" s="176">
        <v>437.5</v>
      </c>
      <c r="H1044" s="101">
        <v>181</v>
      </c>
      <c r="K1044"/>
    </row>
    <row r="1045" spans="1:11" x14ac:dyDescent="0.25">
      <c r="A1045" s="174">
        <v>40809</v>
      </c>
      <c r="B1045" s="161" t="s">
        <v>949</v>
      </c>
      <c r="C1045" s="98" t="s">
        <v>766</v>
      </c>
      <c r="D1045" s="98" t="s">
        <v>26</v>
      </c>
      <c r="E1045" s="175">
        <v>6</v>
      </c>
      <c r="F1045" s="175">
        <v>110</v>
      </c>
      <c r="G1045" s="176">
        <v>660</v>
      </c>
      <c r="H1045" s="101">
        <v>181</v>
      </c>
      <c r="K1045"/>
    </row>
    <row r="1046" spans="1:11" x14ac:dyDescent="0.25">
      <c r="A1046" s="174">
        <v>40812</v>
      </c>
      <c r="B1046" s="161" t="s">
        <v>768</v>
      </c>
      <c r="C1046" s="98" t="s">
        <v>750</v>
      </c>
      <c r="D1046" s="98" t="s">
        <v>26</v>
      </c>
      <c r="E1046" s="175">
        <v>5</v>
      </c>
      <c r="F1046" s="175">
        <v>95</v>
      </c>
      <c r="G1046" s="176">
        <v>475</v>
      </c>
      <c r="H1046" s="101">
        <v>181</v>
      </c>
      <c r="K1046"/>
    </row>
    <row r="1047" spans="1:11" x14ac:dyDescent="0.25">
      <c r="A1047" s="174">
        <v>40812</v>
      </c>
      <c r="B1047" s="161" t="s">
        <v>765</v>
      </c>
      <c r="C1047" s="98" t="s">
        <v>766</v>
      </c>
      <c r="D1047" s="98" t="s">
        <v>26</v>
      </c>
      <c r="E1047" s="175">
        <v>10</v>
      </c>
      <c r="F1047" s="175">
        <v>110</v>
      </c>
      <c r="G1047" s="176">
        <v>1100</v>
      </c>
      <c r="H1047" s="101">
        <v>181</v>
      </c>
      <c r="K1047"/>
    </row>
    <row r="1048" spans="1:11" x14ac:dyDescent="0.25">
      <c r="A1048" s="174">
        <v>40812</v>
      </c>
      <c r="B1048" s="161" t="s">
        <v>763</v>
      </c>
      <c r="C1048" s="98" t="s">
        <v>764</v>
      </c>
      <c r="D1048" s="98" t="s">
        <v>26</v>
      </c>
      <c r="E1048" s="175">
        <v>1</v>
      </c>
      <c r="F1048" s="175">
        <v>100</v>
      </c>
      <c r="G1048" s="176">
        <v>100</v>
      </c>
      <c r="H1048" s="101">
        <v>181</v>
      </c>
      <c r="K1048"/>
    </row>
    <row r="1049" spans="1:11" x14ac:dyDescent="0.25">
      <c r="A1049" s="174">
        <v>40812</v>
      </c>
      <c r="B1049" s="161" t="s">
        <v>950</v>
      </c>
      <c r="C1049" s="98" t="s">
        <v>750</v>
      </c>
      <c r="D1049" s="98" t="s">
        <v>26</v>
      </c>
      <c r="E1049" s="175">
        <v>5</v>
      </c>
      <c r="F1049" s="175">
        <v>45</v>
      </c>
      <c r="G1049" s="176">
        <v>225</v>
      </c>
      <c r="H1049" s="101">
        <v>181</v>
      </c>
      <c r="K1049"/>
    </row>
    <row r="1050" spans="1:11" x14ac:dyDescent="0.25">
      <c r="A1050" s="174">
        <v>40812</v>
      </c>
      <c r="B1050" s="161" t="s">
        <v>346</v>
      </c>
      <c r="C1050" s="98" t="s">
        <v>751</v>
      </c>
      <c r="D1050" s="98" t="s">
        <v>26</v>
      </c>
      <c r="E1050" s="175">
        <v>3.5</v>
      </c>
      <c r="F1050" s="175">
        <v>26.46</v>
      </c>
      <c r="G1050" s="176">
        <v>92.61</v>
      </c>
      <c r="H1050" s="101">
        <v>181</v>
      </c>
      <c r="K1050"/>
    </row>
    <row r="1051" spans="1:11" x14ac:dyDescent="0.25">
      <c r="A1051" s="174">
        <v>40812</v>
      </c>
      <c r="B1051" s="161" t="s">
        <v>769</v>
      </c>
      <c r="C1051" s="98" t="s">
        <v>770</v>
      </c>
      <c r="D1051" s="98" t="s">
        <v>39</v>
      </c>
      <c r="E1051" s="175">
        <v>1</v>
      </c>
      <c r="F1051" s="175">
        <v>125</v>
      </c>
      <c r="G1051" s="176">
        <v>125</v>
      </c>
      <c r="H1051" s="101">
        <v>181</v>
      </c>
      <c r="K1051"/>
    </row>
    <row r="1052" spans="1:11" x14ac:dyDescent="0.25">
      <c r="A1052" s="174">
        <v>40812</v>
      </c>
      <c r="B1052" s="161" t="s">
        <v>359</v>
      </c>
      <c r="C1052" s="98" t="s">
        <v>752</v>
      </c>
      <c r="D1052" s="98" t="s">
        <v>26</v>
      </c>
      <c r="E1052" s="175">
        <v>10</v>
      </c>
      <c r="F1052" s="175">
        <v>11.67</v>
      </c>
      <c r="G1052" s="176">
        <v>116.7</v>
      </c>
      <c r="H1052" s="101">
        <v>181</v>
      </c>
      <c r="K1052"/>
    </row>
    <row r="1053" spans="1:11" x14ac:dyDescent="0.25">
      <c r="A1053" s="174">
        <v>40813</v>
      </c>
      <c r="B1053" s="161" t="s">
        <v>745</v>
      </c>
      <c r="C1053" s="98" t="s">
        <v>8</v>
      </c>
      <c r="D1053" s="98" t="s">
        <v>26</v>
      </c>
      <c r="E1053" s="175">
        <v>10</v>
      </c>
      <c r="F1053" s="175">
        <v>35.35</v>
      </c>
      <c r="G1053" s="176">
        <v>353.5</v>
      </c>
      <c r="H1053" s="101">
        <v>181</v>
      </c>
      <c r="K1053"/>
    </row>
    <row r="1054" spans="1:11" x14ac:dyDescent="0.25">
      <c r="A1054" s="174">
        <v>40813</v>
      </c>
      <c r="B1054" s="161" t="s">
        <v>763</v>
      </c>
      <c r="C1054" s="98" t="s">
        <v>764</v>
      </c>
      <c r="D1054" s="98" t="s">
        <v>26</v>
      </c>
      <c r="E1054" s="175">
        <v>1</v>
      </c>
      <c r="F1054" s="175">
        <v>100</v>
      </c>
      <c r="G1054" s="176">
        <v>100</v>
      </c>
      <c r="H1054" s="101">
        <v>181</v>
      </c>
      <c r="K1054"/>
    </row>
    <row r="1055" spans="1:11" x14ac:dyDescent="0.25">
      <c r="A1055" s="174">
        <v>40813</v>
      </c>
      <c r="B1055" s="161" t="s">
        <v>950</v>
      </c>
      <c r="C1055" s="98" t="s">
        <v>750</v>
      </c>
      <c r="D1055" s="98" t="s">
        <v>26</v>
      </c>
      <c r="E1055" s="175">
        <v>4</v>
      </c>
      <c r="F1055" s="175">
        <v>45</v>
      </c>
      <c r="G1055" s="176">
        <v>180</v>
      </c>
      <c r="H1055" s="101">
        <v>181</v>
      </c>
      <c r="K1055"/>
    </row>
    <row r="1056" spans="1:11" x14ac:dyDescent="0.25">
      <c r="A1056" s="174">
        <v>40813</v>
      </c>
      <c r="B1056" s="161" t="s">
        <v>768</v>
      </c>
      <c r="C1056" s="98" t="s">
        <v>750</v>
      </c>
      <c r="D1056" s="98" t="s">
        <v>26</v>
      </c>
      <c r="E1056" s="175">
        <v>6</v>
      </c>
      <c r="F1056" s="175">
        <v>95</v>
      </c>
      <c r="G1056" s="176">
        <v>570</v>
      </c>
      <c r="H1056" s="101">
        <v>181</v>
      </c>
      <c r="K1056"/>
    </row>
    <row r="1057" spans="1:11" x14ac:dyDescent="0.25">
      <c r="A1057" s="174">
        <v>40813</v>
      </c>
      <c r="B1057" s="161" t="s">
        <v>765</v>
      </c>
      <c r="C1057" s="98" t="s">
        <v>766</v>
      </c>
      <c r="D1057" s="98" t="s">
        <v>26</v>
      </c>
      <c r="E1057" s="175">
        <v>10</v>
      </c>
      <c r="F1057" s="175">
        <v>110</v>
      </c>
      <c r="G1057" s="176">
        <v>1100</v>
      </c>
      <c r="H1057" s="101">
        <v>181</v>
      </c>
      <c r="K1057"/>
    </row>
    <row r="1058" spans="1:11" x14ac:dyDescent="0.25">
      <c r="A1058" s="174">
        <v>40813</v>
      </c>
      <c r="B1058" s="161" t="s">
        <v>346</v>
      </c>
      <c r="C1058" s="98" t="s">
        <v>751</v>
      </c>
      <c r="D1058" s="98" t="s">
        <v>26</v>
      </c>
      <c r="E1058" s="175">
        <v>3.5</v>
      </c>
      <c r="F1058" s="175">
        <v>26.46</v>
      </c>
      <c r="G1058" s="176">
        <v>92.61</v>
      </c>
      <c r="H1058" s="101">
        <v>181</v>
      </c>
      <c r="K1058"/>
    </row>
    <row r="1059" spans="1:11" x14ac:dyDescent="0.25">
      <c r="A1059" s="174">
        <v>40813</v>
      </c>
      <c r="B1059" s="161" t="s">
        <v>951</v>
      </c>
      <c r="C1059" s="98" t="s">
        <v>8</v>
      </c>
      <c r="D1059" s="98" t="s">
        <v>26</v>
      </c>
      <c r="E1059" s="175">
        <v>10</v>
      </c>
      <c r="F1059" s="175">
        <v>35.35</v>
      </c>
      <c r="G1059" s="176">
        <v>353.5</v>
      </c>
      <c r="H1059" s="101">
        <v>181</v>
      </c>
      <c r="K1059"/>
    </row>
    <row r="1060" spans="1:11" x14ac:dyDescent="0.25">
      <c r="A1060" s="174">
        <v>40813</v>
      </c>
      <c r="B1060" s="161" t="s">
        <v>359</v>
      </c>
      <c r="C1060" s="98" t="s">
        <v>752</v>
      </c>
      <c r="D1060" s="98" t="s">
        <v>26</v>
      </c>
      <c r="E1060" s="175">
        <v>10</v>
      </c>
      <c r="F1060" s="175">
        <v>11.67</v>
      </c>
      <c r="G1060" s="176">
        <v>116.7</v>
      </c>
      <c r="H1060" s="101">
        <v>181</v>
      </c>
      <c r="K1060"/>
    </row>
    <row r="1061" spans="1:11" x14ac:dyDescent="0.25">
      <c r="A1061" s="174">
        <v>40813</v>
      </c>
      <c r="B1061" s="161" t="s">
        <v>769</v>
      </c>
      <c r="C1061" s="98" t="s">
        <v>770</v>
      </c>
      <c r="D1061" s="98" t="s">
        <v>39</v>
      </c>
      <c r="E1061" s="175">
        <v>1</v>
      </c>
      <c r="F1061" s="175">
        <v>125</v>
      </c>
      <c r="G1061" s="176">
        <v>125</v>
      </c>
      <c r="H1061" s="101">
        <v>181</v>
      </c>
      <c r="K1061"/>
    </row>
    <row r="1062" spans="1:11" x14ac:dyDescent="0.25">
      <c r="A1062" s="174">
        <v>40814</v>
      </c>
      <c r="B1062" s="161" t="s">
        <v>783</v>
      </c>
      <c r="C1062" s="98" t="s">
        <v>750</v>
      </c>
      <c r="D1062" s="98" t="s">
        <v>26</v>
      </c>
      <c r="E1062" s="175">
        <v>6</v>
      </c>
      <c r="F1062" s="175">
        <v>95</v>
      </c>
      <c r="G1062" s="176">
        <v>570</v>
      </c>
      <c r="H1062" s="101">
        <v>181</v>
      </c>
      <c r="K1062"/>
    </row>
    <row r="1063" spans="1:11" x14ac:dyDescent="0.25">
      <c r="A1063" s="174">
        <v>40814</v>
      </c>
      <c r="B1063" s="161" t="s">
        <v>952</v>
      </c>
      <c r="C1063" s="98" t="s">
        <v>750</v>
      </c>
      <c r="D1063" s="98" t="s">
        <v>26</v>
      </c>
      <c r="E1063" s="175">
        <v>4</v>
      </c>
      <c r="F1063" s="175">
        <v>45</v>
      </c>
      <c r="G1063" s="176">
        <v>180</v>
      </c>
      <c r="H1063" s="101">
        <v>181</v>
      </c>
      <c r="K1063"/>
    </row>
    <row r="1064" spans="1:11" x14ac:dyDescent="0.25">
      <c r="A1064" s="174">
        <v>40814</v>
      </c>
      <c r="B1064" s="161" t="s">
        <v>346</v>
      </c>
      <c r="C1064" s="98" t="s">
        <v>751</v>
      </c>
      <c r="D1064" s="98" t="s">
        <v>26</v>
      </c>
      <c r="E1064" s="175">
        <v>10</v>
      </c>
      <c r="F1064" s="175">
        <v>26.46</v>
      </c>
      <c r="G1064" s="176">
        <v>264.60000000000002</v>
      </c>
      <c r="H1064" s="101">
        <v>181</v>
      </c>
      <c r="K1064"/>
    </row>
    <row r="1065" spans="1:11" x14ac:dyDescent="0.25">
      <c r="A1065" s="174">
        <v>40814</v>
      </c>
      <c r="B1065" s="161" t="s">
        <v>359</v>
      </c>
      <c r="C1065" s="98" t="s">
        <v>752</v>
      </c>
      <c r="D1065" s="98" t="s">
        <v>26</v>
      </c>
      <c r="E1065" s="175">
        <v>10</v>
      </c>
      <c r="F1065" s="175">
        <v>11.67</v>
      </c>
      <c r="G1065" s="176">
        <v>116.7</v>
      </c>
      <c r="H1065" s="101">
        <v>181</v>
      </c>
      <c r="K1065"/>
    </row>
    <row r="1066" spans="1:11" x14ac:dyDescent="0.25">
      <c r="A1066" s="174">
        <v>40814</v>
      </c>
      <c r="B1066" s="161" t="s">
        <v>769</v>
      </c>
      <c r="C1066" s="98" t="s">
        <v>770</v>
      </c>
      <c r="D1066" s="98" t="s">
        <v>39</v>
      </c>
      <c r="E1066" s="175">
        <v>1</v>
      </c>
      <c r="F1066" s="175">
        <v>125</v>
      </c>
      <c r="G1066" s="176">
        <v>125</v>
      </c>
      <c r="H1066" s="101">
        <v>181</v>
      </c>
      <c r="K1066"/>
    </row>
    <row r="1067" spans="1:11" x14ac:dyDescent="0.25">
      <c r="A1067" s="174">
        <v>40814</v>
      </c>
      <c r="B1067" s="161" t="s">
        <v>745</v>
      </c>
      <c r="C1067" s="98" t="s">
        <v>8</v>
      </c>
      <c r="D1067" s="98" t="s">
        <v>26</v>
      </c>
      <c r="E1067" s="175">
        <v>10</v>
      </c>
      <c r="F1067" s="175">
        <v>35.35</v>
      </c>
      <c r="G1067" s="176">
        <v>353.5</v>
      </c>
      <c r="H1067" s="101">
        <v>181</v>
      </c>
      <c r="K1067"/>
    </row>
    <row r="1068" spans="1:11" x14ac:dyDescent="0.25">
      <c r="A1068" s="174">
        <v>40814</v>
      </c>
      <c r="B1068" s="161" t="s">
        <v>763</v>
      </c>
      <c r="C1068" s="98" t="s">
        <v>764</v>
      </c>
      <c r="D1068" s="98" t="s">
        <v>26</v>
      </c>
      <c r="E1068" s="175">
        <v>1</v>
      </c>
      <c r="F1068" s="175">
        <v>100</v>
      </c>
      <c r="G1068" s="176">
        <v>100</v>
      </c>
      <c r="H1068" s="101">
        <v>181</v>
      </c>
      <c r="K1068"/>
    </row>
    <row r="1069" spans="1:11" x14ac:dyDescent="0.25">
      <c r="A1069" s="174">
        <v>40814</v>
      </c>
      <c r="B1069" s="161" t="s">
        <v>765</v>
      </c>
      <c r="C1069" s="98" t="s">
        <v>766</v>
      </c>
      <c r="D1069" s="98" t="s">
        <v>26</v>
      </c>
      <c r="E1069" s="175">
        <v>10</v>
      </c>
      <c r="F1069" s="175">
        <v>110</v>
      </c>
      <c r="G1069" s="176">
        <v>1100</v>
      </c>
      <c r="H1069" s="101">
        <v>181</v>
      </c>
      <c r="K1069"/>
    </row>
    <row r="1070" spans="1:11" x14ac:dyDescent="0.25">
      <c r="A1070" s="174">
        <v>40814</v>
      </c>
      <c r="B1070" s="161" t="s">
        <v>745</v>
      </c>
      <c r="C1070" s="98" t="s">
        <v>8</v>
      </c>
      <c r="D1070" s="98" t="s">
        <v>26</v>
      </c>
      <c r="E1070" s="175">
        <v>10</v>
      </c>
      <c r="F1070" s="175">
        <v>35.35</v>
      </c>
      <c r="G1070" s="176">
        <v>353.5</v>
      </c>
      <c r="H1070" s="101">
        <v>181</v>
      </c>
      <c r="K1070"/>
    </row>
    <row r="1071" spans="1:11" x14ac:dyDescent="0.25">
      <c r="A1071" s="174">
        <v>40815</v>
      </c>
      <c r="B1071" s="161" t="s">
        <v>768</v>
      </c>
      <c r="C1071" s="98" t="s">
        <v>750</v>
      </c>
      <c r="D1071" s="98" t="s">
        <v>26</v>
      </c>
      <c r="E1071" s="175">
        <v>10</v>
      </c>
      <c r="F1071" s="175">
        <v>95</v>
      </c>
      <c r="G1071" s="176">
        <v>950</v>
      </c>
      <c r="H1071" s="101">
        <v>181</v>
      </c>
      <c r="K1071"/>
    </row>
    <row r="1072" spans="1:11" x14ac:dyDescent="0.25">
      <c r="A1072" s="174">
        <v>40815</v>
      </c>
      <c r="B1072" s="161" t="s">
        <v>359</v>
      </c>
      <c r="C1072" s="98" t="s">
        <v>752</v>
      </c>
      <c r="D1072" s="98" t="s">
        <v>26</v>
      </c>
      <c r="E1072" s="175">
        <v>10.5</v>
      </c>
      <c r="F1072" s="175">
        <v>11.67</v>
      </c>
      <c r="G1072" s="176">
        <v>122.535</v>
      </c>
      <c r="H1072" s="101">
        <v>181</v>
      </c>
      <c r="K1072"/>
    </row>
    <row r="1073" spans="1:11" x14ac:dyDescent="0.25">
      <c r="A1073" s="174">
        <v>40815</v>
      </c>
      <c r="B1073" s="161" t="s">
        <v>763</v>
      </c>
      <c r="C1073" s="98" t="s">
        <v>764</v>
      </c>
      <c r="D1073" s="98" t="s">
        <v>26</v>
      </c>
      <c r="E1073" s="175">
        <v>3</v>
      </c>
      <c r="F1073" s="175">
        <v>100</v>
      </c>
      <c r="G1073" s="176">
        <v>300</v>
      </c>
      <c r="H1073" s="101">
        <v>181</v>
      </c>
      <c r="K1073"/>
    </row>
    <row r="1074" spans="1:11" x14ac:dyDescent="0.25">
      <c r="A1074" s="174">
        <v>40815</v>
      </c>
      <c r="B1074" s="161" t="s">
        <v>765</v>
      </c>
      <c r="C1074" s="98" t="s">
        <v>766</v>
      </c>
      <c r="D1074" s="98" t="s">
        <v>26</v>
      </c>
      <c r="E1074" s="175">
        <v>10.5</v>
      </c>
      <c r="F1074" s="175">
        <v>110</v>
      </c>
      <c r="G1074" s="176">
        <v>1155</v>
      </c>
      <c r="H1074" s="101">
        <v>181</v>
      </c>
      <c r="K1074"/>
    </row>
    <row r="1075" spans="1:11" x14ac:dyDescent="0.25">
      <c r="A1075" s="174">
        <v>40815</v>
      </c>
      <c r="B1075" s="161" t="s">
        <v>346</v>
      </c>
      <c r="C1075" s="98" t="s">
        <v>751</v>
      </c>
      <c r="D1075" s="98" t="s">
        <v>26</v>
      </c>
      <c r="E1075" s="175">
        <v>3.5</v>
      </c>
      <c r="F1075" s="175">
        <v>26.46</v>
      </c>
      <c r="G1075" s="176">
        <v>92.61</v>
      </c>
      <c r="H1075" s="101">
        <v>181</v>
      </c>
      <c r="K1075"/>
    </row>
    <row r="1076" spans="1:11" x14ac:dyDescent="0.25">
      <c r="A1076" s="174">
        <v>40815</v>
      </c>
      <c r="B1076" s="161" t="s">
        <v>745</v>
      </c>
      <c r="C1076" s="98" t="s">
        <v>8</v>
      </c>
      <c r="D1076" s="98" t="s">
        <v>26</v>
      </c>
      <c r="E1076" s="175">
        <v>10.5</v>
      </c>
      <c r="F1076" s="175">
        <v>35.35</v>
      </c>
      <c r="G1076" s="176">
        <v>371.17500000000001</v>
      </c>
      <c r="H1076" s="101">
        <v>181</v>
      </c>
      <c r="K1076"/>
    </row>
    <row r="1077" spans="1:11" x14ac:dyDescent="0.25">
      <c r="A1077" s="174">
        <v>40815</v>
      </c>
      <c r="B1077" s="161" t="s">
        <v>769</v>
      </c>
      <c r="C1077" s="98" t="s">
        <v>770</v>
      </c>
      <c r="D1077" s="98" t="s">
        <v>39</v>
      </c>
      <c r="E1077" s="175">
        <v>1</v>
      </c>
      <c r="F1077" s="175">
        <v>125</v>
      </c>
      <c r="G1077" s="176">
        <v>125</v>
      </c>
      <c r="H1077" s="101">
        <v>181</v>
      </c>
      <c r="K1077"/>
    </row>
    <row r="1078" spans="1:11" x14ac:dyDescent="0.25">
      <c r="A1078" s="174">
        <v>40816</v>
      </c>
      <c r="B1078" s="161" t="s">
        <v>773</v>
      </c>
      <c r="C1078" s="98" t="s">
        <v>774</v>
      </c>
      <c r="D1078" s="98" t="s">
        <v>26</v>
      </c>
      <c r="E1078" s="175">
        <v>5</v>
      </c>
      <c r="F1078" s="175">
        <v>95</v>
      </c>
      <c r="G1078" s="176">
        <v>475</v>
      </c>
      <c r="H1078" s="101">
        <v>181</v>
      </c>
      <c r="K1078"/>
    </row>
    <row r="1079" spans="1:11" x14ac:dyDescent="0.25">
      <c r="A1079" s="174">
        <v>40816</v>
      </c>
      <c r="B1079" s="161" t="s">
        <v>748</v>
      </c>
      <c r="C1079" s="98" t="s">
        <v>747</v>
      </c>
      <c r="D1079" s="98" t="s">
        <v>26</v>
      </c>
      <c r="E1079" s="175">
        <v>9</v>
      </c>
      <c r="F1079" s="175">
        <v>90</v>
      </c>
      <c r="G1079" s="176">
        <v>810</v>
      </c>
      <c r="H1079" s="101">
        <v>181</v>
      </c>
      <c r="K1079"/>
    </row>
    <row r="1080" spans="1:11" x14ac:dyDescent="0.25">
      <c r="A1080" s="174">
        <v>40816</v>
      </c>
      <c r="B1080" s="161" t="s">
        <v>745</v>
      </c>
      <c r="C1080" s="98" t="s">
        <v>8</v>
      </c>
      <c r="D1080" s="98" t="s">
        <v>26</v>
      </c>
      <c r="E1080" s="175">
        <v>9</v>
      </c>
      <c r="F1080" s="175">
        <v>35.35</v>
      </c>
      <c r="G1080" s="176">
        <v>318.14999999999998</v>
      </c>
      <c r="H1080" s="101">
        <v>181</v>
      </c>
      <c r="K1080"/>
    </row>
    <row r="1081" spans="1:11" x14ac:dyDescent="0.25">
      <c r="A1081" s="174">
        <v>40816</v>
      </c>
      <c r="B1081" s="161" t="s">
        <v>745</v>
      </c>
      <c r="C1081" s="98" t="s">
        <v>8</v>
      </c>
      <c r="D1081" s="98" t="s">
        <v>26</v>
      </c>
      <c r="E1081" s="175">
        <v>9</v>
      </c>
      <c r="F1081" s="175">
        <v>35.35</v>
      </c>
      <c r="G1081" s="176">
        <v>318.14999999999998</v>
      </c>
      <c r="H1081" s="101">
        <v>181</v>
      </c>
      <c r="K1081"/>
    </row>
    <row r="1082" spans="1:11" x14ac:dyDescent="0.25">
      <c r="A1082" s="174">
        <v>40816</v>
      </c>
      <c r="B1082" s="161" t="s">
        <v>769</v>
      </c>
      <c r="C1082" s="98" t="s">
        <v>770</v>
      </c>
      <c r="D1082" s="98" t="s">
        <v>39</v>
      </c>
      <c r="E1082" s="175">
        <v>1</v>
      </c>
      <c r="F1082" s="175">
        <v>125</v>
      </c>
      <c r="G1082" s="176">
        <v>125</v>
      </c>
      <c r="H1082" s="101">
        <v>181</v>
      </c>
      <c r="K1082"/>
    </row>
    <row r="1083" spans="1:11" x14ac:dyDescent="0.25">
      <c r="A1083" s="174">
        <v>40816</v>
      </c>
      <c r="B1083" s="161" t="s">
        <v>346</v>
      </c>
      <c r="C1083" s="98" t="s">
        <v>751</v>
      </c>
      <c r="D1083" s="98" t="s">
        <v>26</v>
      </c>
      <c r="E1083" s="175">
        <v>9</v>
      </c>
      <c r="F1083" s="175">
        <v>26.46</v>
      </c>
      <c r="G1083" s="176">
        <v>238.14</v>
      </c>
      <c r="H1083" s="101">
        <v>181</v>
      </c>
      <c r="K1083"/>
    </row>
    <row r="1084" spans="1:11" x14ac:dyDescent="0.25">
      <c r="A1084" s="174">
        <v>40816</v>
      </c>
      <c r="B1084" s="161" t="s">
        <v>359</v>
      </c>
      <c r="C1084" s="98" t="s">
        <v>752</v>
      </c>
      <c r="D1084" s="98" t="s">
        <v>26</v>
      </c>
      <c r="E1084" s="175">
        <v>9</v>
      </c>
      <c r="F1084" s="175">
        <v>11.67</v>
      </c>
      <c r="G1084" s="176">
        <v>105.03</v>
      </c>
      <c r="H1084" s="101">
        <v>181</v>
      </c>
      <c r="K1084"/>
    </row>
    <row r="1085" spans="1:11" x14ac:dyDescent="0.25">
      <c r="A1085" s="174">
        <v>40816</v>
      </c>
      <c r="B1085" s="161" t="s">
        <v>765</v>
      </c>
      <c r="C1085" s="98" t="s">
        <v>766</v>
      </c>
      <c r="D1085" s="98" t="s">
        <v>26</v>
      </c>
      <c r="E1085" s="175">
        <v>9</v>
      </c>
      <c r="F1085" s="175">
        <v>110</v>
      </c>
      <c r="G1085" s="176">
        <v>990</v>
      </c>
      <c r="H1085" s="101">
        <v>181</v>
      </c>
      <c r="K1085"/>
    </row>
    <row r="1086" spans="1:11" x14ac:dyDescent="0.25">
      <c r="A1086" s="174">
        <v>40816</v>
      </c>
      <c r="B1086" s="161" t="s">
        <v>768</v>
      </c>
      <c r="C1086" s="98" t="s">
        <v>750</v>
      </c>
      <c r="D1086" s="98" t="s">
        <v>26</v>
      </c>
      <c r="E1086" s="175">
        <v>9</v>
      </c>
      <c r="F1086" s="175">
        <v>95</v>
      </c>
      <c r="G1086" s="176">
        <v>855</v>
      </c>
      <c r="H1086" s="101">
        <v>181</v>
      </c>
      <c r="K1086"/>
    </row>
    <row r="1087" spans="1:11" x14ac:dyDescent="0.25">
      <c r="A1087" s="174">
        <v>40817</v>
      </c>
      <c r="B1087" s="161" t="s">
        <v>359</v>
      </c>
      <c r="C1087" s="98" t="s">
        <v>752</v>
      </c>
      <c r="D1087" s="98" t="s">
        <v>26</v>
      </c>
      <c r="E1087" s="175">
        <v>7</v>
      </c>
      <c r="F1087" s="175">
        <v>11.67</v>
      </c>
      <c r="G1087" s="176">
        <v>81.69</v>
      </c>
      <c r="H1087" s="101">
        <v>181</v>
      </c>
      <c r="K1087"/>
    </row>
    <row r="1088" spans="1:11" x14ac:dyDescent="0.25">
      <c r="A1088" s="174">
        <v>40817</v>
      </c>
      <c r="B1088" s="161" t="s">
        <v>953</v>
      </c>
      <c r="C1088" s="98" t="s">
        <v>908</v>
      </c>
      <c r="D1088" s="98" t="s">
        <v>715</v>
      </c>
      <c r="E1088" s="175">
        <v>1</v>
      </c>
      <c r="F1088" s="175">
        <v>3680</v>
      </c>
      <c r="G1088" s="176">
        <v>3680</v>
      </c>
      <c r="H1088" s="101">
        <v>181</v>
      </c>
      <c r="K1088"/>
    </row>
    <row r="1089" spans="1:11" x14ac:dyDescent="0.25">
      <c r="A1089" s="174">
        <v>40817</v>
      </c>
      <c r="B1089" s="161" t="s">
        <v>51</v>
      </c>
      <c r="C1089" s="98" t="s">
        <v>750</v>
      </c>
      <c r="D1089" s="98" t="s">
        <v>26</v>
      </c>
      <c r="E1089" s="175">
        <v>1</v>
      </c>
      <c r="F1089" s="175">
        <v>125</v>
      </c>
      <c r="G1089" s="176">
        <v>125</v>
      </c>
      <c r="H1089" s="101">
        <v>181</v>
      </c>
      <c r="K1089"/>
    </row>
    <row r="1090" spans="1:11" x14ac:dyDescent="0.25">
      <c r="A1090" s="174">
        <v>40817</v>
      </c>
      <c r="B1090" s="161" t="s">
        <v>745</v>
      </c>
      <c r="C1090" s="98" t="s">
        <v>8</v>
      </c>
      <c r="D1090" s="98" t="s">
        <v>26</v>
      </c>
      <c r="E1090" s="175">
        <v>7</v>
      </c>
      <c r="F1090" s="175">
        <v>35.35</v>
      </c>
      <c r="G1090" s="176">
        <v>247.45</v>
      </c>
      <c r="H1090" s="101">
        <v>181</v>
      </c>
      <c r="K1090"/>
    </row>
    <row r="1091" spans="1:11" x14ac:dyDescent="0.25">
      <c r="A1091" s="174">
        <v>40817</v>
      </c>
      <c r="B1091" s="161" t="s">
        <v>346</v>
      </c>
      <c r="C1091" s="98" t="s">
        <v>751</v>
      </c>
      <c r="D1091" s="98" t="s">
        <v>26</v>
      </c>
      <c r="E1091" s="175">
        <v>7</v>
      </c>
      <c r="F1091" s="175">
        <v>26.46</v>
      </c>
      <c r="G1091" s="176">
        <v>185.22</v>
      </c>
      <c r="H1091" s="101">
        <v>181</v>
      </c>
      <c r="K1091"/>
    </row>
    <row r="1092" spans="1:11" x14ac:dyDescent="0.25">
      <c r="A1092" s="174">
        <v>40817</v>
      </c>
      <c r="B1092" s="161" t="s">
        <v>769</v>
      </c>
      <c r="C1092" s="98" t="s">
        <v>770</v>
      </c>
      <c r="D1092" s="98" t="s">
        <v>39</v>
      </c>
      <c r="E1092" s="175">
        <v>1</v>
      </c>
      <c r="F1092" s="175">
        <v>125</v>
      </c>
      <c r="G1092" s="176">
        <v>125</v>
      </c>
      <c r="H1092" s="101">
        <v>181</v>
      </c>
      <c r="K1092"/>
    </row>
    <row r="1093" spans="1:11" x14ac:dyDescent="0.25">
      <c r="A1093" s="174">
        <v>40817</v>
      </c>
      <c r="B1093" s="161" t="s">
        <v>765</v>
      </c>
      <c r="C1093" s="98" t="s">
        <v>766</v>
      </c>
      <c r="D1093" s="98" t="s">
        <v>26</v>
      </c>
      <c r="E1093" s="175">
        <v>6.5</v>
      </c>
      <c r="F1093" s="175">
        <v>110</v>
      </c>
      <c r="G1093" s="176">
        <v>715</v>
      </c>
      <c r="H1093" s="101">
        <v>181</v>
      </c>
      <c r="K1093"/>
    </row>
    <row r="1094" spans="1:11" x14ac:dyDescent="0.25">
      <c r="A1094" s="174">
        <v>40819</v>
      </c>
      <c r="B1094" s="161" t="s">
        <v>954</v>
      </c>
      <c r="C1094" s="98" t="s">
        <v>750</v>
      </c>
      <c r="D1094" s="98" t="s">
        <v>26</v>
      </c>
      <c r="E1094" s="175">
        <v>5</v>
      </c>
      <c r="F1094" s="175">
        <v>45</v>
      </c>
      <c r="G1094" s="176">
        <v>225</v>
      </c>
      <c r="H1094" s="101">
        <v>181</v>
      </c>
      <c r="K1094"/>
    </row>
    <row r="1095" spans="1:11" x14ac:dyDescent="0.25">
      <c r="A1095" s="174">
        <v>40819</v>
      </c>
      <c r="B1095" s="161" t="s">
        <v>804</v>
      </c>
      <c r="C1095" s="98" t="s">
        <v>750</v>
      </c>
      <c r="D1095" s="98" t="s">
        <v>26</v>
      </c>
      <c r="E1095" s="175">
        <v>5</v>
      </c>
      <c r="F1095" s="175">
        <v>95</v>
      </c>
      <c r="G1095" s="176">
        <v>475</v>
      </c>
      <c r="H1095" s="101">
        <v>181</v>
      </c>
      <c r="K1095"/>
    </row>
    <row r="1096" spans="1:11" x14ac:dyDescent="0.25">
      <c r="A1096" s="174">
        <v>40819</v>
      </c>
      <c r="B1096" s="161" t="s">
        <v>745</v>
      </c>
      <c r="C1096" s="98" t="s">
        <v>8</v>
      </c>
      <c r="D1096" s="98" t="s">
        <v>26</v>
      </c>
      <c r="E1096" s="175">
        <v>10</v>
      </c>
      <c r="F1096" s="175">
        <v>35.35</v>
      </c>
      <c r="G1096" s="176">
        <v>353.5</v>
      </c>
      <c r="H1096" s="101">
        <v>181</v>
      </c>
      <c r="K1096"/>
    </row>
    <row r="1097" spans="1:11" x14ac:dyDescent="0.25">
      <c r="A1097" s="174">
        <v>40819</v>
      </c>
      <c r="B1097" s="161" t="s">
        <v>745</v>
      </c>
      <c r="C1097" s="98" t="s">
        <v>8</v>
      </c>
      <c r="D1097" s="98" t="s">
        <v>26</v>
      </c>
      <c r="E1097" s="175">
        <v>4.5</v>
      </c>
      <c r="F1097" s="175">
        <v>35.35</v>
      </c>
      <c r="G1097" s="176">
        <v>159.07499999999999</v>
      </c>
      <c r="H1097" s="101">
        <v>181</v>
      </c>
      <c r="K1097"/>
    </row>
    <row r="1098" spans="1:11" x14ac:dyDescent="0.25">
      <c r="A1098" s="174">
        <v>40819</v>
      </c>
      <c r="B1098" s="161" t="s">
        <v>748</v>
      </c>
      <c r="C1098" s="98" t="s">
        <v>747</v>
      </c>
      <c r="D1098" s="98" t="s">
        <v>26</v>
      </c>
      <c r="E1098" s="175">
        <v>1</v>
      </c>
      <c r="F1098" s="175">
        <v>90</v>
      </c>
      <c r="G1098" s="176">
        <v>90</v>
      </c>
      <c r="H1098" s="101">
        <v>181</v>
      </c>
      <c r="K1098"/>
    </row>
    <row r="1099" spans="1:11" x14ac:dyDescent="0.25">
      <c r="A1099" s="174">
        <v>40819</v>
      </c>
      <c r="B1099" s="161" t="s">
        <v>765</v>
      </c>
      <c r="C1099" s="98" t="s">
        <v>766</v>
      </c>
      <c r="D1099" s="98" t="s">
        <v>26</v>
      </c>
      <c r="E1099" s="175">
        <v>10</v>
      </c>
      <c r="F1099" s="175">
        <v>110</v>
      </c>
      <c r="G1099" s="176">
        <v>1100</v>
      </c>
      <c r="H1099" s="101">
        <v>181</v>
      </c>
      <c r="K1099"/>
    </row>
    <row r="1100" spans="1:11" x14ac:dyDescent="0.25">
      <c r="A1100" s="174">
        <v>40819</v>
      </c>
      <c r="B1100" s="161" t="s">
        <v>359</v>
      </c>
      <c r="C1100" s="98" t="s">
        <v>752</v>
      </c>
      <c r="D1100" s="98" t="s">
        <v>26</v>
      </c>
      <c r="E1100" s="175">
        <v>9.5</v>
      </c>
      <c r="F1100" s="175">
        <v>11.67</v>
      </c>
      <c r="G1100" s="176">
        <v>110.86499999999999</v>
      </c>
      <c r="H1100" s="101">
        <v>181</v>
      </c>
      <c r="K1100"/>
    </row>
    <row r="1101" spans="1:11" x14ac:dyDescent="0.25">
      <c r="A1101" s="174">
        <v>40820</v>
      </c>
      <c r="B1101" s="161" t="s">
        <v>765</v>
      </c>
      <c r="C1101" s="98" t="s">
        <v>766</v>
      </c>
      <c r="D1101" s="98" t="s">
        <v>26</v>
      </c>
      <c r="E1101" s="175">
        <v>10</v>
      </c>
      <c r="F1101" s="175">
        <v>110</v>
      </c>
      <c r="G1101" s="176">
        <v>1100</v>
      </c>
      <c r="H1101" s="101">
        <v>181</v>
      </c>
      <c r="K1101"/>
    </row>
    <row r="1102" spans="1:11" x14ac:dyDescent="0.25">
      <c r="A1102" s="174">
        <v>40820</v>
      </c>
      <c r="B1102" s="161" t="s">
        <v>745</v>
      </c>
      <c r="C1102" s="98" t="s">
        <v>8</v>
      </c>
      <c r="D1102" s="98" t="s">
        <v>26</v>
      </c>
      <c r="E1102" s="175">
        <v>10</v>
      </c>
      <c r="F1102" s="175">
        <v>35.35</v>
      </c>
      <c r="G1102" s="176">
        <v>353.5</v>
      </c>
      <c r="H1102" s="101">
        <v>181</v>
      </c>
      <c r="K1102"/>
    </row>
    <row r="1103" spans="1:11" x14ac:dyDescent="0.25">
      <c r="A1103" s="174">
        <v>40820</v>
      </c>
      <c r="B1103" s="161" t="s">
        <v>745</v>
      </c>
      <c r="C1103" s="98" t="s">
        <v>8</v>
      </c>
      <c r="D1103" s="98" t="s">
        <v>26</v>
      </c>
      <c r="E1103" s="175">
        <v>4.5</v>
      </c>
      <c r="F1103" s="175">
        <v>35.35</v>
      </c>
      <c r="G1103" s="176">
        <v>159.07499999999999</v>
      </c>
      <c r="H1103" s="101">
        <v>181</v>
      </c>
      <c r="K1103"/>
    </row>
    <row r="1104" spans="1:11" x14ac:dyDescent="0.25">
      <c r="A1104" s="174">
        <v>40820</v>
      </c>
      <c r="B1104" s="161" t="s">
        <v>359</v>
      </c>
      <c r="C1104" s="98" t="s">
        <v>752</v>
      </c>
      <c r="D1104" s="98" t="s">
        <v>26</v>
      </c>
      <c r="E1104" s="175">
        <v>10</v>
      </c>
      <c r="F1104" s="175">
        <v>11.67</v>
      </c>
      <c r="G1104" s="176">
        <v>116.7</v>
      </c>
      <c r="H1104" s="101">
        <v>181</v>
      </c>
      <c r="K1104"/>
    </row>
    <row r="1105" spans="1:11" x14ac:dyDescent="0.25">
      <c r="A1105" s="174">
        <v>40821</v>
      </c>
      <c r="B1105" s="161" t="s">
        <v>765</v>
      </c>
      <c r="C1105" s="98" t="s">
        <v>766</v>
      </c>
      <c r="D1105" s="98" t="s">
        <v>26</v>
      </c>
      <c r="E1105" s="175">
        <v>10</v>
      </c>
      <c r="F1105" s="175">
        <v>110</v>
      </c>
      <c r="G1105" s="176">
        <v>1100</v>
      </c>
      <c r="H1105" s="101">
        <v>181</v>
      </c>
      <c r="K1105"/>
    </row>
    <row r="1106" spans="1:11" x14ac:dyDescent="0.25">
      <c r="A1106" s="174">
        <v>40821</v>
      </c>
      <c r="B1106" s="161" t="s">
        <v>745</v>
      </c>
      <c r="C1106" s="98" t="s">
        <v>8</v>
      </c>
      <c r="D1106" s="98" t="s">
        <v>26</v>
      </c>
      <c r="E1106" s="175">
        <v>5</v>
      </c>
      <c r="F1106" s="175">
        <v>35.35</v>
      </c>
      <c r="G1106" s="176">
        <v>176.75</v>
      </c>
      <c r="H1106" s="101">
        <v>181</v>
      </c>
      <c r="K1106"/>
    </row>
    <row r="1107" spans="1:11" x14ac:dyDescent="0.25">
      <c r="A1107" s="174">
        <v>40821</v>
      </c>
      <c r="B1107" s="161" t="s">
        <v>757</v>
      </c>
      <c r="C1107" s="98" t="s">
        <v>758</v>
      </c>
      <c r="D1107" s="98" t="s">
        <v>26</v>
      </c>
      <c r="E1107" s="175">
        <v>3</v>
      </c>
      <c r="F1107" s="175">
        <v>90</v>
      </c>
      <c r="G1107" s="176">
        <v>270</v>
      </c>
      <c r="H1107" s="101">
        <v>181</v>
      </c>
      <c r="K1107"/>
    </row>
    <row r="1108" spans="1:11" x14ac:dyDescent="0.25">
      <c r="A1108" s="174">
        <v>40822</v>
      </c>
      <c r="B1108" s="161" t="s">
        <v>359</v>
      </c>
      <c r="C1108" s="98" t="s">
        <v>752</v>
      </c>
      <c r="D1108" s="98" t="s">
        <v>26</v>
      </c>
      <c r="E1108" s="175">
        <v>10.5</v>
      </c>
      <c r="F1108" s="175">
        <v>11.67</v>
      </c>
      <c r="G1108" s="176">
        <v>122.535</v>
      </c>
      <c r="H1108" s="101">
        <v>181</v>
      </c>
      <c r="K1108"/>
    </row>
    <row r="1109" spans="1:11" x14ac:dyDescent="0.25">
      <c r="A1109" s="174">
        <v>40822</v>
      </c>
      <c r="B1109" s="161" t="s">
        <v>745</v>
      </c>
      <c r="C1109" s="98" t="s">
        <v>8</v>
      </c>
      <c r="D1109" s="98" t="s">
        <v>26</v>
      </c>
      <c r="E1109" s="175">
        <v>7</v>
      </c>
      <c r="F1109" s="175">
        <v>35.35</v>
      </c>
      <c r="G1109" s="176">
        <v>247.45</v>
      </c>
      <c r="H1109" s="101">
        <v>181</v>
      </c>
      <c r="K1109"/>
    </row>
    <row r="1110" spans="1:11" x14ac:dyDescent="0.25">
      <c r="A1110" s="174">
        <v>40822</v>
      </c>
      <c r="B1110" s="161" t="s">
        <v>765</v>
      </c>
      <c r="C1110" s="98" t="s">
        <v>766</v>
      </c>
      <c r="D1110" s="98" t="s">
        <v>26</v>
      </c>
      <c r="E1110" s="175">
        <v>7.5</v>
      </c>
      <c r="F1110" s="175">
        <v>110</v>
      </c>
      <c r="G1110" s="176">
        <v>825</v>
      </c>
      <c r="H1110" s="101">
        <v>181</v>
      </c>
      <c r="K1110"/>
    </row>
    <row r="1111" spans="1:11" x14ac:dyDescent="0.25">
      <c r="A1111" s="174">
        <v>40823</v>
      </c>
      <c r="B1111" s="161" t="s">
        <v>765</v>
      </c>
      <c r="C1111" s="98" t="s">
        <v>766</v>
      </c>
      <c r="D1111" s="98" t="s">
        <v>26</v>
      </c>
      <c r="E1111" s="175">
        <v>8</v>
      </c>
      <c r="F1111" s="175">
        <v>110</v>
      </c>
      <c r="G1111" s="176">
        <v>880</v>
      </c>
      <c r="H1111" s="101">
        <v>181</v>
      </c>
      <c r="K1111"/>
    </row>
    <row r="1112" spans="1:11" x14ac:dyDescent="0.25">
      <c r="A1112" s="174">
        <v>40824</v>
      </c>
      <c r="B1112" s="161" t="s">
        <v>749</v>
      </c>
      <c r="C1112" s="98" t="s">
        <v>750</v>
      </c>
      <c r="D1112" s="98" t="s">
        <v>26</v>
      </c>
      <c r="E1112" s="175">
        <v>6</v>
      </c>
      <c r="F1112" s="175">
        <v>95</v>
      </c>
      <c r="G1112" s="176">
        <v>570</v>
      </c>
      <c r="H1112" s="101">
        <v>181</v>
      </c>
      <c r="K1112"/>
    </row>
    <row r="1113" spans="1:11" x14ac:dyDescent="0.25">
      <c r="A1113" s="174">
        <v>40824</v>
      </c>
      <c r="B1113" s="161" t="s">
        <v>765</v>
      </c>
      <c r="C1113" s="98" t="s">
        <v>766</v>
      </c>
      <c r="D1113" s="98" t="s">
        <v>26</v>
      </c>
      <c r="E1113" s="175">
        <v>6</v>
      </c>
      <c r="F1113" s="175">
        <v>110</v>
      </c>
      <c r="G1113" s="176">
        <v>660</v>
      </c>
      <c r="H1113" s="101">
        <v>181</v>
      </c>
      <c r="K1113"/>
    </row>
    <row r="1114" spans="1:11" ht="30" x14ac:dyDescent="0.25">
      <c r="A1114" s="174">
        <v>40828</v>
      </c>
      <c r="B1114" s="161" t="s">
        <v>955</v>
      </c>
      <c r="C1114" s="98" t="s">
        <v>956</v>
      </c>
      <c r="D1114" s="98" t="s">
        <v>715</v>
      </c>
      <c r="E1114" s="175">
        <v>1</v>
      </c>
      <c r="F1114" s="175">
        <v>1170.6600000000001</v>
      </c>
      <c r="G1114" s="176">
        <v>1170.6600000000001</v>
      </c>
      <c r="H1114" s="101">
        <v>181</v>
      </c>
      <c r="K1114"/>
    </row>
    <row r="1115" spans="1:11" x14ac:dyDescent="0.25">
      <c r="A1115" s="174">
        <v>40829</v>
      </c>
      <c r="B1115" s="161" t="s">
        <v>957</v>
      </c>
      <c r="C1115" s="98" t="s">
        <v>810</v>
      </c>
      <c r="D1115" s="98" t="s">
        <v>715</v>
      </c>
      <c r="E1115" s="175">
        <v>1</v>
      </c>
      <c r="F1115" s="175">
        <v>1469.28</v>
      </c>
      <c r="G1115" s="176">
        <v>1469.28</v>
      </c>
      <c r="H1115" s="101">
        <v>181</v>
      </c>
      <c r="K1115"/>
    </row>
    <row r="1116" spans="1:11" ht="30" x14ac:dyDescent="0.25">
      <c r="A1116" s="174">
        <v>40834</v>
      </c>
      <c r="B1116" s="161" t="s">
        <v>958</v>
      </c>
      <c r="C1116" s="98" t="s">
        <v>842</v>
      </c>
      <c r="D1116" s="98" t="s">
        <v>715</v>
      </c>
      <c r="E1116" s="175">
        <v>1</v>
      </c>
      <c r="F1116" s="175">
        <v>164.63</v>
      </c>
      <c r="G1116" s="176">
        <v>164.63</v>
      </c>
      <c r="H1116" s="101">
        <v>181</v>
      </c>
      <c r="K1116"/>
    </row>
    <row r="1117" spans="1:11" x14ac:dyDescent="0.25">
      <c r="A1117" s="174">
        <v>40841</v>
      </c>
      <c r="B1117" s="161" t="s">
        <v>742</v>
      </c>
      <c r="C1117" s="98" t="s">
        <v>8</v>
      </c>
      <c r="D1117" s="98" t="s">
        <v>26</v>
      </c>
      <c r="E1117" s="175">
        <v>4</v>
      </c>
      <c r="F1117" s="175">
        <v>44.2</v>
      </c>
      <c r="G1117" s="176">
        <v>176.8</v>
      </c>
      <c r="H1117" s="101">
        <v>181</v>
      </c>
      <c r="K1117"/>
    </row>
    <row r="1118" spans="1:11" x14ac:dyDescent="0.25">
      <c r="A1118" s="174">
        <v>40841</v>
      </c>
      <c r="B1118" s="161" t="s">
        <v>825</v>
      </c>
      <c r="C1118" s="98" t="s">
        <v>766</v>
      </c>
      <c r="D1118" s="98" t="s">
        <v>26</v>
      </c>
      <c r="E1118" s="175">
        <v>4</v>
      </c>
      <c r="F1118" s="175">
        <v>110</v>
      </c>
      <c r="G1118" s="176">
        <v>440</v>
      </c>
      <c r="H1118" s="101">
        <v>181</v>
      </c>
      <c r="K1118"/>
    </row>
    <row r="1119" spans="1:11" x14ac:dyDescent="0.25">
      <c r="A1119" s="174">
        <v>40843</v>
      </c>
      <c r="B1119" s="161" t="s">
        <v>742</v>
      </c>
      <c r="C1119" s="98" t="s">
        <v>8</v>
      </c>
      <c r="D1119" s="98" t="s">
        <v>26</v>
      </c>
      <c r="E1119" s="175">
        <v>4</v>
      </c>
      <c r="F1119" s="175">
        <v>44.2</v>
      </c>
      <c r="G1119" s="176">
        <v>176.8</v>
      </c>
      <c r="H1119" s="101">
        <v>181</v>
      </c>
      <c r="K1119"/>
    </row>
    <row r="1120" spans="1:11" x14ac:dyDescent="0.25">
      <c r="A1120" s="174">
        <v>40844</v>
      </c>
      <c r="B1120" s="161" t="s">
        <v>748</v>
      </c>
      <c r="C1120" s="98" t="s">
        <v>747</v>
      </c>
      <c r="D1120" s="98" t="s">
        <v>26</v>
      </c>
      <c r="E1120" s="175">
        <v>9.5</v>
      </c>
      <c r="F1120" s="175">
        <v>90</v>
      </c>
      <c r="G1120" s="176">
        <v>855</v>
      </c>
      <c r="H1120" s="101">
        <v>181</v>
      </c>
      <c r="K1120"/>
    </row>
    <row r="1121" spans="1:11" x14ac:dyDescent="0.25">
      <c r="A1121" s="174">
        <v>40848</v>
      </c>
      <c r="B1121" s="161" t="s">
        <v>907</v>
      </c>
      <c r="C1121" s="98" t="s">
        <v>959</v>
      </c>
      <c r="D1121" s="98" t="s">
        <v>715</v>
      </c>
      <c r="E1121" s="175">
        <v>1</v>
      </c>
      <c r="F1121" s="175">
        <v>4400</v>
      </c>
      <c r="G1121" s="176">
        <v>4400</v>
      </c>
      <c r="H1121" s="101">
        <v>181</v>
      </c>
      <c r="K1121"/>
    </row>
    <row r="1122" spans="1:11" x14ac:dyDescent="0.25">
      <c r="A1122" s="174">
        <v>40878</v>
      </c>
      <c r="B1122" s="161" t="s">
        <v>960</v>
      </c>
      <c r="C1122" s="98" t="s">
        <v>908</v>
      </c>
      <c r="D1122" s="98" t="s">
        <v>715</v>
      </c>
      <c r="E1122" s="175">
        <v>1</v>
      </c>
      <c r="F1122" s="175">
        <v>13860</v>
      </c>
      <c r="G1122" s="176">
        <v>13860</v>
      </c>
      <c r="H1122" s="101">
        <v>181</v>
      </c>
      <c r="K1122"/>
    </row>
    <row r="1123" spans="1:11" x14ac:dyDescent="0.25">
      <c r="A1123" s="174">
        <v>41122</v>
      </c>
      <c r="B1123" s="161" t="s">
        <v>745</v>
      </c>
      <c r="C1123" s="98" t="s">
        <v>8</v>
      </c>
      <c r="D1123" s="98" t="s">
        <v>26</v>
      </c>
      <c r="E1123" s="175">
        <v>8.5</v>
      </c>
      <c r="F1123" s="175">
        <v>35.35</v>
      </c>
      <c r="G1123" s="176">
        <v>300.47500000000002</v>
      </c>
      <c r="H1123" s="101">
        <v>181</v>
      </c>
      <c r="K1123"/>
    </row>
    <row r="1124" spans="1:11" x14ac:dyDescent="0.25">
      <c r="A1124" s="174">
        <v>41122</v>
      </c>
      <c r="B1124" s="161" t="s">
        <v>961</v>
      </c>
      <c r="C1124" s="98" t="s">
        <v>8</v>
      </c>
      <c r="D1124" s="98" t="s">
        <v>26</v>
      </c>
      <c r="E1124" s="175">
        <v>8.5</v>
      </c>
      <c r="F1124" s="175">
        <v>34.81</v>
      </c>
      <c r="G1124" s="176">
        <v>295.88499999999999</v>
      </c>
      <c r="H1124" s="101">
        <v>181</v>
      </c>
      <c r="K1124"/>
    </row>
    <row r="1125" spans="1:11" x14ac:dyDescent="0.25">
      <c r="A1125" s="174">
        <v>41122</v>
      </c>
      <c r="B1125" s="161" t="s">
        <v>962</v>
      </c>
      <c r="C1125" s="98" t="s">
        <v>8</v>
      </c>
      <c r="D1125" s="98" t="s">
        <v>26</v>
      </c>
      <c r="E1125" s="175">
        <v>8.5</v>
      </c>
      <c r="F1125" s="175">
        <v>45</v>
      </c>
      <c r="G1125" s="176">
        <v>382.5</v>
      </c>
      <c r="H1125" s="101">
        <v>181</v>
      </c>
      <c r="K1125"/>
    </row>
    <row r="1126" spans="1:11" x14ac:dyDescent="0.25">
      <c r="A1126" s="174">
        <v>41123</v>
      </c>
      <c r="B1126" s="161" t="s">
        <v>745</v>
      </c>
      <c r="C1126" s="98" t="s">
        <v>8</v>
      </c>
      <c r="D1126" s="98" t="s">
        <v>26</v>
      </c>
      <c r="E1126" s="175">
        <v>9.5</v>
      </c>
      <c r="F1126" s="175">
        <v>35.35</v>
      </c>
      <c r="G1126" s="176">
        <v>335.82499999999999</v>
      </c>
      <c r="H1126" s="101">
        <v>181</v>
      </c>
      <c r="K1126"/>
    </row>
    <row r="1127" spans="1:11" x14ac:dyDescent="0.25">
      <c r="A1127" s="174">
        <v>41123</v>
      </c>
      <c r="B1127" s="161" t="s">
        <v>961</v>
      </c>
      <c r="C1127" s="98" t="s">
        <v>8</v>
      </c>
      <c r="D1127" s="98" t="s">
        <v>26</v>
      </c>
      <c r="E1127" s="175">
        <v>9.5</v>
      </c>
      <c r="F1127" s="175">
        <v>34.81</v>
      </c>
      <c r="G1127" s="176">
        <v>330.69499999999999</v>
      </c>
      <c r="H1127" s="101">
        <v>181</v>
      </c>
      <c r="K1127"/>
    </row>
    <row r="1128" spans="1:11" x14ac:dyDescent="0.25">
      <c r="A1128" s="174">
        <v>41123</v>
      </c>
      <c r="B1128" s="161" t="s">
        <v>962</v>
      </c>
      <c r="C1128" s="98" t="s">
        <v>8</v>
      </c>
      <c r="D1128" s="98" t="s">
        <v>26</v>
      </c>
      <c r="E1128" s="175">
        <v>9.5</v>
      </c>
      <c r="F1128" s="175">
        <v>45</v>
      </c>
      <c r="G1128" s="176">
        <v>427.5</v>
      </c>
      <c r="H1128" s="101">
        <v>181</v>
      </c>
      <c r="K1128"/>
    </row>
    <row r="1129" spans="1:11" x14ac:dyDescent="0.25">
      <c r="A1129" s="174">
        <v>41124</v>
      </c>
      <c r="B1129" s="161" t="s">
        <v>962</v>
      </c>
      <c r="C1129" s="98" t="s">
        <v>8</v>
      </c>
      <c r="D1129" s="98" t="s">
        <v>26</v>
      </c>
      <c r="E1129" s="175">
        <v>4</v>
      </c>
      <c r="F1129" s="175">
        <v>45</v>
      </c>
      <c r="G1129" s="176">
        <v>180</v>
      </c>
      <c r="H1129" s="101">
        <v>181</v>
      </c>
      <c r="K1129"/>
    </row>
    <row r="1130" spans="1:11" x14ac:dyDescent="0.25">
      <c r="A1130" s="174">
        <v>41124</v>
      </c>
      <c r="B1130" s="161" t="s">
        <v>963</v>
      </c>
      <c r="C1130" s="98" t="s">
        <v>8</v>
      </c>
      <c r="D1130" s="98" t="s">
        <v>26</v>
      </c>
      <c r="E1130" s="175">
        <v>1.5860000000000001</v>
      </c>
      <c r="F1130" s="175">
        <v>45.7</v>
      </c>
      <c r="G1130" s="176">
        <v>72.480199999999996</v>
      </c>
      <c r="H1130" s="101">
        <v>181</v>
      </c>
      <c r="K1130"/>
    </row>
    <row r="1131" spans="1:11" x14ac:dyDescent="0.25">
      <c r="A1131" s="174">
        <v>41124</v>
      </c>
      <c r="B1131" s="161" t="s">
        <v>745</v>
      </c>
      <c r="C1131" s="98" t="s">
        <v>8</v>
      </c>
      <c r="D1131" s="98" t="s">
        <v>26</v>
      </c>
      <c r="E1131" s="175">
        <v>4</v>
      </c>
      <c r="F1131" s="175">
        <v>35.35</v>
      </c>
      <c r="G1131" s="176">
        <v>141.4</v>
      </c>
      <c r="H1131" s="101">
        <v>181</v>
      </c>
      <c r="K1131"/>
    </row>
    <row r="1132" spans="1:11" x14ac:dyDescent="0.25">
      <c r="A1132" s="174">
        <v>41124</v>
      </c>
      <c r="B1132" s="161" t="s">
        <v>961</v>
      </c>
      <c r="C1132" s="98" t="s">
        <v>8</v>
      </c>
      <c r="D1132" s="98" t="s">
        <v>26</v>
      </c>
      <c r="E1132" s="175">
        <v>4</v>
      </c>
      <c r="F1132" s="175">
        <v>34.81</v>
      </c>
      <c r="G1132" s="176">
        <v>139.24</v>
      </c>
      <c r="H1132" s="101">
        <v>181</v>
      </c>
      <c r="K1132"/>
    </row>
    <row r="1133" spans="1:11" x14ac:dyDescent="0.25">
      <c r="A1133" s="177" t="s">
        <v>643</v>
      </c>
      <c r="B1133" s="178" t="s">
        <v>964</v>
      </c>
      <c r="C1133" s="179" t="s">
        <v>643</v>
      </c>
      <c r="D1133" s="179" t="s">
        <v>643</v>
      </c>
      <c r="E1133" s="180"/>
      <c r="F1133" s="180"/>
      <c r="G1133" s="181">
        <v>59053.1702</v>
      </c>
      <c r="H1133" s="188" t="s">
        <v>643</v>
      </c>
      <c r="K1133"/>
    </row>
    <row r="1134" spans="1:11" x14ac:dyDescent="0.25">
      <c r="A1134" s="174" t="s">
        <v>643</v>
      </c>
      <c r="B1134" s="161" t="s">
        <v>643</v>
      </c>
      <c r="C1134" s="98" t="s">
        <v>643</v>
      </c>
      <c r="D1134" s="98" t="s">
        <v>643</v>
      </c>
      <c r="E1134" s="175"/>
      <c r="F1134" s="175"/>
      <c r="G1134" s="176"/>
      <c r="H1134" s="101" t="s">
        <v>643</v>
      </c>
      <c r="K1134"/>
    </row>
    <row r="1135" spans="1:11" x14ac:dyDescent="0.25">
      <c r="A1135" s="171" t="s">
        <v>643</v>
      </c>
      <c r="B1135" s="164" t="s">
        <v>1195</v>
      </c>
      <c r="C1135" s="100" t="s">
        <v>643</v>
      </c>
      <c r="D1135" s="100" t="s">
        <v>643</v>
      </c>
      <c r="E1135" s="172"/>
      <c r="F1135" s="172"/>
      <c r="G1135" s="173"/>
      <c r="H1135" s="187" t="s">
        <v>643</v>
      </c>
      <c r="K1135"/>
    </row>
    <row r="1136" spans="1:11" x14ac:dyDescent="0.25">
      <c r="A1136" s="174">
        <v>40848</v>
      </c>
      <c r="B1136" s="161" t="s">
        <v>965</v>
      </c>
      <c r="C1136" s="98" t="s">
        <v>908</v>
      </c>
      <c r="D1136" s="98" t="s">
        <v>715</v>
      </c>
      <c r="E1136" s="175">
        <v>1</v>
      </c>
      <c r="F1136" s="175">
        <v>11490</v>
      </c>
      <c r="G1136" s="176">
        <v>11490</v>
      </c>
      <c r="H1136" s="101">
        <v>182</v>
      </c>
      <c r="K1136"/>
    </row>
    <row r="1137" spans="1:11" x14ac:dyDescent="0.25">
      <c r="A1137" s="177" t="s">
        <v>643</v>
      </c>
      <c r="B1137" s="178" t="s">
        <v>966</v>
      </c>
      <c r="C1137" s="179" t="s">
        <v>643</v>
      </c>
      <c r="D1137" s="179" t="s">
        <v>643</v>
      </c>
      <c r="E1137" s="180"/>
      <c r="F1137" s="180"/>
      <c r="G1137" s="181">
        <v>11490</v>
      </c>
      <c r="H1137" s="188" t="s">
        <v>643</v>
      </c>
      <c r="K1137"/>
    </row>
    <row r="1138" spans="1:11" x14ac:dyDescent="0.25">
      <c r="A1138" s="174" t="s">
        <v>643</v>
      </c>
      <c r="B1138" s="161" t="s">
        <v>643</v>
      </c>
      <c r="C1138" s="98" t="s">
        <v>643</v>
      </c>
      <c r="D1138" s="98" t="s">
        <v>643</v>
      </c>
      <c r="E1138" s="175"/>
      <c r="F1138" s="175"/>
      <c r="G1138" s="176"/>
      <c r="H1138" s="101" t="s">
        <v>643</v>
      </c>
      <c r="K1138"/>
    </row>
    <row r="1139" spans="1:11" x14ac:dyDescent="0.25">
      <c r="A1139" s="171" t="s">
        <v>643</v>
      </c>
      <c r="B1139" s="164" t="s">
        <v>1196</v>
      </c>
      <c r="C1139" s="100" t="s">
        <v>643</v>
      </c>
      <c r="D1139" s="100" t="s">
        <v>643</v>
      </c>
      <c r="E1139" s="172"/>
      <c r="F1139" s="172"/>
      <c r="G1139" s="173"/>
      <c r="H1139" s="187" t="s">
        <v>643</v>
      </c>
      <c r="K1139"/>
    </row>
    <row r="1140" spans="1:11" x14ac:dyDescent="0.25">
      <c r="A1140" s="174">
        <v>40791</v>
      </c>
      <c r="B1140" s="161" t="s">
        <v>30</v>
      </c>
      <c r="C1140" s="98" t="s">
        <v>969</v>
      </c>
      <c r="D1140" s="98" t="s">
        <v>26</v>
      </c>
      <c r="E1140" s="175">
        <v>8.5</v>
      </c>
      <c r="F1140" s="175">
        <v>68.989999999999995</v>
      </c>
      <c r="G1140" s="176">
        <v>586.41499999999996</v>
      </c>
      <c r="H1140" s="101">
        <v>902</v>
      </c>
      <c r="K1140"/>
    </row>
    <row r="1141" spans="1:11" x14ac:dyDescent="0.25">
      <c r="A1141" s="174">
        <v>40792</v>
      </c>
      <c r="B1141" s="161" t="s">
        <v>30</v>
      </c>
      <c r="C1141" s="98" t="s">
        <v>969</v>
      </c>
      <c r="D1141" s="98" t="s">
        <v>26</v>
      </c>
      <c r="E1141" s="175">
        <v>3</v>
      </c>
      <c r="F1141" s="175">
        <v>68.989999999999995</v>
      </c>
      <c r="G1141" s="176">
        <v>206.97</v>
      </c>
      <c r="H1141" s="101">
        <v>902</v>
      </c>
      <c r="K1141"/>
    </row>
    <row r="1142" spans="1:11" x14ac:dyDescent="0.25">
      <c r="A1142" s="174">
        <v>40793</v>
      </c>
      <c r="B1142" s="161" t="s">
        <v>30</v>
      </c>
      <c r="C1142" s="98" t="s">
        <v>969</v>
      </c>
      <c r="D1142" s="98" t="s">
        <v>26</v>
      </c>
      <c r="E1142" s="175">
        <v>10</v>
      </c>
      <c r="F1142" s="175">
        <v>68.989999999999995</v>
      </c>
      <c r="G1142" s="176">
        <v>689.9</v>
      </c>
      <c r="H1142" s="101">
        <v>902</v>
      </c>
      <c r="K1142"/>
    </row>
    <row r="1143" spans="1:11" x14ac:dyDescent="0.25">
      <c r="A1143" s="174">
        <v>40794</v>
      </c>
      <c r="B1143" s="161" t="s">
        <v>30</v>
      </c>
      <c r="C1143" s="98" t="s">
        <v>969</v>
      </c>
      <c r="D1143" s="98" t="s">
        <v>26</v>
      </c>
      <c r="E1143" s="175">
        <v>11</v>
      </c>
      <c r="F1143" s="175">
        <v>68.989999999999995</v>
      </c>
      <c r="G1143" s="176">
        <v>758.89</v>
      </c>
      <c r="H1143" s="101">
        <v>902</v>
      </c>
      <c r="K1143"/>
    </row>
    <row r="1144" spans="1:11" x14ac:dyDescent="0.25">
      <c r="A1144" s="174">
        <v>40795</v>
      </c>
      <c r="B1144" s="161" t="s">
        <v>30</v>
      </c>
      <c r="C1144" s="98" t="s">
        <v>969</v>
      </c>
      <c r="D1144" s="98" t="s">
        <v>26</v>
      </c>
      <c r="E1144" s="175">
        <v>9</v>
      </c>
      <c r="F1144" s="175">
        <v>68.989999999999995</v>
      </c>
      <c r="G1144" s="176">
        <v>620.91</v>
      </c>
      <c r="H1144" s="101">
        <v>902</v>
      </c>
      <c r="K1144"/>
    </row>
    <row r="1145" spans="1:11" x14ac:dyDescent="0.25">
      <c r="A1145" s="174">
        <v>40796</v>
      </c>
      <c r="B1145" s="161" t="s">
        <v>30</v>
      </c>
      <c r="C1145" s="98" t="s">
        <v>969</v>
      </c>
      <c r="D1145" s="98" t="s">
        <v>26</v>
      </c>
      <c r="E1145" s="175">
        <v>8.5</v>
      </c>
      <c r="F1145" s="175">
        <v>68.989999999999995</v>
      </c>
      <c r="G1145" s="176">
        <v>586.41499999999996</v>
      </c>
      <c r="H1145" s="101">
        <v>902</v>
      </c>
      <c r="K1145"/>
    </row>
    <row r="1146" spans="1:11" x14ac:dyDescent="0.25">
      <c r="A1146" s="174">
        <v>40798</v>
      </c>
      <c r="B1146" s="161" t="s">
        <v>30</v>
      </c>
      <c r="C1146" s="98" t="s">
        <v>969</v>
      </c>
      <c r="D1146" s="98" t="s">
        <v>26</v>
      </c>
      <c r="E1146" s="175">
        <v>10</v>
      </c>
      <c r="F1146" s="175">
        <v>68.989999999999995</v>
      </c>
      <c r="G1146" s="176">
        <v>689.9</v>
      </c>
      <c r="H1146" s="101">
        <v>902</v>
      </c>
      <c r="K1146"/>
    </row>
    <row r="1147" spans="1:11" x14ac:dyDescent="0.25">
      <c r="A1147" s="174">
        <v>40799</v>
      </c>
      <c r="B1147" s="161" t="s">
        <v>30</v>
      </c>
      <c r="C1147" s="98" t="s">
        <v>969</v>
      </c>
      <c r="D1147" s="98" t="s">
        <v>26</v>
      </c>
      <c r="E1147" s="175">
        <v>10</v>
      </c>
      <c r="F1147" s="175">
        <v>68.989999999999995</v>
      </c>
      <c r="G1147" s="176">
        <v>689.9</v>
      </c>
      <c r="H1147" s="101">
        <v>902</v>
      </c>
      <c r="K1147"/>
    </row>
    <row r="1148" spans="1:11" x14ac:dyDescent="0.25">
      <c r="A1148" s="174">
        <v>40800</v>
      </c>
      <c r="B1148" s="161" t="s">
        <v>30</v>
      </c>
      <c r="C1148" s="98" t="s">
        <v>969</v>
      </c>
      <c r="D1148" s="98" t="s">
        <v>26</v>
      </c>
      <c r="E1148" s="175">
        <v>10.5</v>
      </c>
      <c r="F1148" s="175">
        <v>68.989999999999995</v>
      </c>
      <c r="G1148" s="176">
        <v>724.39499999999998</v>
      </c>
      <c r="H1148" s="101">
        <v>902</v>
      </c>
      <c r="K1148"/>
    </row>
    <row r="1149" spans="1:11" x14ac:dyDescent="0.25">
      <c r="A1149" s="174">
        <v>40801</v>
      </c>
      <c r="B1149" s="161" t="s">
        <v>30</v>
      </c>
      <c r="C1149" s="98" t="s">
        <v>969</v>
      </c>
      <c r="D1149" s="98" t="s">
        <v>26</v>
      </c>
      <c r="E1149" s="175">
        <v>10</v>
      </c>
      <c r="F1149" s="175">
        <v>68.989999999999995</v>
      </c>
      <c r="G1149" s="176">
        <v>689.9</v>
      </c>
      <c r="H1149" s="101">
        <v>902</v>
      </c>
      <c r="K1149"/>
    </row>
    <row r="1150" spans="1:11" x14ac:dyDescent="0.25">
      <c r="A1150" s="174">
        <v>40802</v>
      </c>
      <c r="B1150" s="161" t="s">
        <v>30</v>
      </c>
      <c r="C1150" s="98" t="s">
        <v>969</v>
      </c>
      <c r="D1150" s="98" t="s">
        <v>26</v>
      </c>
      <c r="E1150" s="175">
        <v>8</v>
      </c>
      <c r="F1150" s="175">
        <v>68.989999999999995</v>
      </c>
      <c r="G1150" s="176">
        <v>551.91999999999996</v>
      </c>
      <c r="H1150" s="101">
        <v>902</v>
      </c>
      <c r="K1150"/>
    </row>
    <row r="1151" spans="1:11" x14ac:dyDescent="0.25">
      <c r="A1151" s="174">
        <v>40806</v>
      </c>
      <c r="B1151" s="161" t="s">
        <v>969</v>
      </c>
      <c r="C1151" s="98" t="s">
        <v>969</v>
      </c>
      <c r="D1151" s="98" t="s">
        <v>26</v>
      </c>
      <c r="E1151" s="175">
        <v>10</v>
      </c>
      <c r="F1151" s="175">
        <v>68.989999999999995</v>
      </c>
      <c r="G1151" s="176">
        <v>689.9</v>
      </c>
      <c r="H1151" s="101">
        <v>902</v>
      </c>
      <c r="K1151"/>
    </row>
    <row r="1152" spans="1:11" x14ac:dyDescent="0.25">
      <c r="A1152" s="174">
        <v>40807</v>
      </c>
      <c r="B1152" s="161" t="s">
        <v>969</v>
      </c>
      <c r="C1152" s="98" t="s">
        <v>969</v>
      </c>
      <c r="D1152" s="98" t="s">
        <v>26</v>
      </c>
      <c r="E1152" s="175">
        <v>10</v>
      </c>
      <c r="F1152" s="175">
        <v>68.989999999999995</v>
      </c>
      <c r="G1152" s="176">
        <v>689.9</v>
      </c>
      <c r="H1152" s="101">
        <v>902</v>
      </c>
      <c r="K1152"/>
    </row>
    <row r="1153" spans="1:11" x14ac:dyDescent="0.25">
      <c r="A1153" s="174">
        <v>40808</v>
      </c>
      <c r="B1153" s="161" t="s">
        <v>969</v>
      </c>
      <c r="C1153" s="98" t="s">
        <v>969</v>
      </c>
      <c r="D1153" s="98" t="s">
        <v>26</v>
      </c>
      <c r="E1153" s="175">
        <v>10</v>
      </c>
      <c r="F1153" s="175">
        <v>68.989999999999995</v>
      </c>
      <c r="G1153" s="176">
        <v>689.9</v>
      </c>
      <c r="H1153" s="101">
        <v>902</v>
      </c>
      <c r="K1153"/>
    </row>
    <row r="1154" spans="1:11" x14ac:dyDescent="0.25">
      <c r="A1154" s="174">
        <v>40809</v>
      </c>
      <c r="B1154" s="161" t="s">
        <v>969</v>
      </c>
      <c r="C1154" s="98" t="s">
        <v>969</v>
      </c>
      <c r="D1154" s="98" t="s">
        <v>26</v>
      </c>
      <c r="E1154" s="175">
        <v>10</v>
      </c>
      <c r="F1154" s="175">
        <v>68.989999999999995</v>
      </c>
      <c r="G1154" s="176">
        <v>689.9</v>
      </c>
      <c r="H1154" s="101">
        <v>902</v>
      </c>
      <c r="K1154"/>
    </row>
    <row r="1155" spans="1:11" x14ac:dyDescent="0.25">
      <c r="A1155" s="174">
        <v>40812</v>
      </c>
      <c r="B1155" s="161" t="s">
        <v>969</v>
      </c>
      <c r="C1155" s="98" t="s">
        <v>969</v>
      </c>
      <c r="D1155" s="98" t="s">
        <v>26</v>
      </c>
      <c r="E1155" s="175">
        <v>10</v>
      </c>
      <c r="F1155" s="175">
        <v>68.989999999999995</v>
      </c>
      <c r="G1155" s="176">
        <v>689.9</v>
      </c>
      <c r="H1155" s="101">
        <v>902</v>
      </c>
      <c r="K1155"/>
    </row>
    <row r="1156" spans="1:11" x14ac:dyDescent="0.25">
      <c r="A1156" s="174">
        <v>40813</v>
      </c>
      <c r="B1156" s="161" t="s">
        <v>969</v>
      </c>
      <c r="C1156" s="98" t="s">
        <v>969</v>
      </c>
      <c r="D1156" s="98" t="s">
        <v>26</v>
      </c>
      <c r="E1156" s="175">
        <v>10</v>
      </c>
      <c r="F1156" s="175">
        <v>68.989999999999995</v>
      </c>
      <c r="G1156" s="176">
        <v>689.9</v>
      </c>
      <c r="H1156" s="101">
        <v>902</v>
      </c>
      <c r="K1156"/>
    </row>
    <row r="1157" spans="1:11" x14ac:dyDescent="0.25">
      <c r="A1157" s="174">
        <v>40814</v>
      </c>
      <c r="B1157" s="161" t="s">
        <v>969</v>
      </c>
      <c r="C1157" s="98" t="s">
        <v>969</v>
      </c>
      <c r="D1157" s="98" t="s">
        <v>26</v>
      </c>
      <c r="E1157" s="175">
        <v>10</v>
      </c>
      <c r="F1157" s="175">
        <v>68.989999999999995</v>
      </c>
      <c r="G1157" s="176">
        <v>689.9</v>
      </c>
      <c r="H1157" s="101">
        <v>902</v>
      </c>
      <c r="K1157"/>
    </row>
    <row r="1158" spans="1:11" x14ac:dyDescent="0.25">
      <c r="A1158" s="174">
        <v>40815</v>
      </c>
      <c r="B1158" s="161" t="s">
        <v>969</v>
      </c>
      <c r="C1158" s="98" t="s">
        <v>969</v>
      </c>
      <c r="D1158" s="98" t="s">
        <v>26</v>
      </c>
      <c r="E1158" s="175">
        <v>10.5</v>
      </c>
      <c r="F1158" s="175">
        <v>68.989999999999995</v>
      </c>
      <c r="G1158" s="176">
        <v>724.39499999999998</v>
      </c>
      <c r="H1158" s="101">
        <v>902</v>
      </c>
      <c r="K1158"/>
    </row>
    <row r="1159" spans="1:11" x14ac:dyDescent="0.25">
      <c r="A1159" s="174">
        <v>40816</v>
      </c>
      <c r="B1159" s="161" t="s">
        <v>969</v>
      </c>
      <c r="C1159" s="98" t="s">
        <v>969</v>
      </c>
      <c r="D1159" s="98" t="s">
        <v>26</v>
      </c>
      <c r="E1159" s="175">
        <v>9</v>
      </c>
      <c r="F1159" s="175">
        <v>68.989999999999995</v>
      </c>
      <c r="G1159" s="176">
        <v>620.91</v>
      </c>
      <c r="H1159" s="101">
        <v>902</v>
      </c>
      <c r="K1159"/>
    </row>
    <row r="1160" spans="1:11" x14ac:dyDescent="0.25">
      <c r="A1160" s="174">
        <v>40817</v>
      </c>
      <c r="B1160" s="161" t="s">
        <v>969</v>
      </c>
      <c r="C1160" s="98" t="s">
        <v>969</v>
      </c>
      <c r="D1160" s="98" t="s">
        <v>26</v>
      </c>
      <c r="E1160" s="175">
        <v>7</v>
      </c>
      <c r="F1160" s="175">
        <v>68.989999999999995</v>
      </c>
      <c r="G1160" s="176">
        <v>482.93</v>
      </c>
      <c r="H1160" s="101">
        <v>902</v>
      </c>
      <c r="K1160"/>
    </row>
    <row r="1161" spans="1:11" x14ac:dyDescent="0.25">
      <c r="A1161" s="174">
        <v>40819</v>
      </c>
      <c r="B1161" s="161" t="s">
        <v>969</v>
      </c>
      <c r="C1161" s="98" t="s">
        <v>969</v>
      </c>
      <c r="D1161" s="98" t="s">
        <v>26</v>
      </c>
      <c r="E1161" s="175">
        <v>10</v>
      </c>
      <c r="F1161" s="175">
        <v>68.989999999999995</v>
      </c>
      <c r="G1161" s="176">
        <v>689.9</v>
      </c>
      <c r="H1161" s="101">
        <v>902</v>
      </c>
      <c r="K1161"/>
    </row>
    <row r="1162" spans="1:11" x14ac:dyDescent="0.25">
      <c r="A1162" s="174">
        <v>40820</v>
      </c>
      <c r="B1162" s="161" t="s">
        <v>969</v>
      </c>
      <c r="C1162" s="98" t="s">
        <v>969</v>
      </c>
      <c r="D1162" s="98" t="s">
        <v>26</v>
      </c>
      <c r="E1162" s="175">
        <v>10</v>
      </c>
      <c r="F1162" s="175">
        <v>68.989999999999995</v>
      </c>
      <c r="G1162" s="176">
        <v>689.9</v>
      </c>
      <c r="H1162" s="101">
        <v>902</v>
      </c>
      <c r="K1162"/>
    </row>
    <row r="1163" spans="1:11" x14ac:dyDescent="0.25">
      <c r="A1163" s="174">
        <v>40821</v>
      </c>
      <c r="B1163" s="161" t="s">
        <v>969</v>
      </c>
      <c r="C1163" s="98" t="s">
        <v>969</v>
      </c>
      <c r="D1163" s="98" t="s">
        <v>26</v>
      </c>
      <c r="E1163" s="175">
        <v>10</v>
      </c>
      <c r="F1163" s="175">
        <v>68.989999999999995</v>
      </c>
      <c r="G1163" s="176">
        <v>689.9</v>
      </c>
      <c r="H1163" s="101">
        <v>902</v>
      </c>
      <c r="K1163"/>
    </row>
    <row r="1164" spans="1:11" x14ac:dyDescent="0.25">
      <c r="A1164" s="174">
        <v>40822</v>
      </c>
      <c r="B1164" s="161" t="s">
        <v>969</v>
      </c>
      <c r="C1164" s="98" t="s">
        <v>969</v>
      </c>
      <c r="D1164" s="98" t="s">
        <v>26</v>
      </c>
      <c r="E1164" s="175">
        <v>10</v>
      </c>
      <c r="F1164" s="175">
        <v>68.989999999999995</v>
      </c>
      <c r="G1164" s="176">
        <v>689.9</v>
      </c>
      <c r="H1164" s="101">
        <v>902</v>
      </c>
      <c r="K1164"/>
    </row>
    <row r="1165" spans="1:11" x14ac:dyDescent="0.25">
      <c r="A1165" s="174">
        <v>40823</v>
      </c>
      <c r="B1165" s="161" t="s">
        <v>969</v>
      </c>
      <c r="C1165" s="98" t="s">
        <v>969</v>
      </c>
      <c r="D1165" s="98" t="s">
        <v>26</v>
      </c>
      <c r="E1165" s="175">
        <v>8</v>
      </c>
      <c r="F1165" s="175">
        <v>68.989999999999995</v>
      </c>
      <c r="G1165" s="176">
        <v>551.91999999999996</v>
      </c>
      <c r="H1165" s="101">
        <v>902</v>
      </c>
      <c r="K1165"/>
    </row>
    <row r="1166" spans="1:11" x14ac:dyDescent="0.25">
      <c r="A1166" s="174">
        <v>40826</v>
      </c>
      <c r="B1166" s="161" t="s">
        <v>969</v>
      </c>
      <c r="C1166" s="98" t="s">
        <v>969</v>
      </c>
      <c r="D1166" s="98" t="s">
        <v>26</v>
      </c>
      <c r="E1166" s="175">
        <v>10</v>
      </c>
      <c r="F1166" s="175">
        <v>68.989999999999995</v>
      </c>
      <c r="G1166" s="176">
        <v>689.9</v>
      </c>
      <c r="H1166" s="101">
        <v>902</v>
      </c>
      <c r="K1166"/>
    </row>
    <row r="1167" spans="1:11" x14ac:dyDescent="0.25">
      <c r="A1167" s="174">
        <v>40827</v>
      </c>
      <c r="B1167" s="161" t="s">
        <v>30</v>
      </c>
      <c r="C1167" s="98" t="s">
        <v>969</v>
      </c>
      <c r="D1167" s="98" t="s">
        <v>26</v>
      </c>
      <c r="E1167" s="175">
        <v>9.5</v>
      </c>
      <c r="F1167" s="175">
        <v>68.989999999999995</v>
      </c>
      <c r="G1167" s="176">
        <v>655.40499999999997</v>
      </c>
      <c r="H1167" s="101">
        <v>902</v>
      </c>
      <c r="K1167"/>
    </row>
    <row r="1168" spans="1:11" x14ac:dyDescent="0.25">
      <c r="A1168" s="174">
        <v>40827</v>
      </c>
      <c r="B1168" s="161" t="s">
        <v>969</v>
      </c>
      <c r="C1168" s="98" t="s">
        <v>969</v>
      </c>
      <c r="D1168" s="98" t="s">
        <v>26</v>
      </c>
      <c r="E1168" s="175">
        <v>10</v>
      </c>
      <c r="F1168" s="175">
        <v>68.989999999999995</v>
      </c>
      <c r="G1168" s="176">
        <v>689.9</v>
      </c>
      <c r="H1168" s="101">
        <v>902</v>
      </c>
      <c r="K1168"/>
    </row>
    <row r="1169" spans="1:11" x14ac:dyDescent="0.25">
      <c r="A1169" s="174">
        <v>40828</v>
      </c>
      <c r="B1169" s="161" t="s">
        <v>969</v>
      </c>
      <c r="C1169" s="98" t="s">
        <v>969</v>
      </c>
      <c r="D1169" s="98" t="s">
        <v>26</v>
      </c>
      <c r="E1169" s="175">
        <v>10</v>
      </c>
      <c r="F1169" s="175">
        <v>68.989999999999995</v>
      </c>
      <c r="G1169" s="176">
        <v>689.9</v>
      </c>
      <c r="H1169" s="101">
        <v>902</v>
      </c>
      <c r="K1169"/>
    </row>
    <row r="1170" spans="1:11" x14ac:dyDescent="0.25">
      <c r="A1170" s="174">
        <v>40828</v>
      </c>
      <c r="B1170" s="161" t="s">
        <v>30</v>
      </c>
      <c r="C1170" s="98" t="s">
        <v>969</v>
      </c>
      <c r="D1170" s="98" t="s">
        <v>26</v>
      </c>
      <c r="E1170" s="175">
        <v>9.5</v>
      </c>
      <c r="F1170" s="175">
        <v>68.989999999999995</v>
      </c>
      <c r="G1170" s="176">
        <v>655.40499999999997</v>
      </c>
      <c r="H1170" s="101">
        <v>902</v>
      </c>
      <c r="K1170"/>
    </row>
    <row r="1171" spans="1:11" x14ac:dyDescent="0.25">
      <c r="A1171" s="174">
        <v>40829</v>
      </c>
      <c r="B1171" s="161" t="s">
        <v>969</v>
      </c>
      <c r="C1171" s="98" t="s">
        <v>969</v>
      </c>
      <c r="D1171" s="98" t="s">
        <v>26</v>
      </c>
      <c r="E1171" s="175">
        <v>10</v>
      </c>
      <c r="F1171" s="175">
        <v>68.989999999999995</v>
      </c>
      <c r="G1171" s="176">
        <v>689.9</v>
      </c>
      <c r="H1171" s="101">
        <v>902</v>
      </c>
      <c r="K1171"/>
    </row>
    <row r="1172" spans="1:11" x14ac:dyDescent="0.25">
      <c r="A1172" s="174">
        <v>40829</v>
      </c>
      <c r="B1172" s="161" t="s">
        <v>969</v>
      </c>
      <c r="C1172" s="98" t="s">
        <v>969</v>
      </c>
      <c r="D1172" s="98" t="s">
        <v>26</v>
      </c>
      <c r="E1172" s="175">
        <v>10</v>
      </c>
      <c r="F1172" s="175">
        <v>68.989999999999995</v>
      </c>
      <c r="G1172" s="176">
        <v>689.9</v>
      </c>
      <c r="H1172" s="101">
        <v>902</v>
      </c>
      <c r="K1172"/>
    </row>
    <row r="1173" spans="1:11" x14ac:dyDescent="0.25">
      <c r="A1173" s="174">
        <v>40829</v>
      </c>
      <c r="B1173" s="161" t="s">
        <v>30</v>
      </c>
      <c r="C1173" s="98" t="s">
        <v>969</v>
      </c>
      <c r="D1173" s="98" t="s">
        <v>26</v>
      </c>
      <c r="E1173" s="175">
        <v>8</v>
      </c>
      <c r="F1173" s="175">
        <v>68.989999999999995</v>
      </c>
      <c r="G1173" s="176">
        <v>551.91999999999996</v>
      </c>
      <c r="H1173" s="101">
        <v>902</v>
      </c>
      <c r="K1173"/>
    </row>
    <row r="1174" spans="1:11" x14ac:dyDescent="0.25">
      <c r="A1174" s="174">
        <v>40829</v>
      </c>
      <c r="B1174" s="161" t="s">
        <v>30</v>
      </c>
      <c r="C1174" s="98" t="s">
        <v>969</v>
      </c>
      <c r="D1174" s="98" t="s">
        <v>26</v>
      </c>
      <c r="E1174" s="175">
        <v>8</v>
      </c>
      <c r="F1174" s="175">
        <v>68.989999999999995</v>
      </c>
      <c r="G1174" s="176">
        <v>551.91999999999996</v>
      </c>
      <c r="H1174" s="101">
        <v>902</v>
      </c>
      <c r="K1174"/>
    </row>
    <row r="1175" spans="1:11" x14ac:dyDescent="0.25">
      <c r="A1175" s="174">
        <v>40830</v>
      </c>
      <c r="B1175" s="161" t="s">
        <v>969</v>
      </c>
      <c r="C1175" s="98" t="s">
        <v>969</v>
      </c>
      <c r="D1175" s="98" t="s">
        <v>26</v>
      </c>
      <c r="E1175" s="175">
        <v>8</v>
      </c>
      <c r="F1175" s="175">
        <v>68.989999999999995</v>
      </c>
      <c r="G1175" s="176">
        <v>551.91999999999996</v>
      </c>
      <c r="H1175" s="101">
        <v>902</v>
      </c>
      <c r="K1175"/>
    </row>
    <row r="1176" spans="1:11" x14ac:dyDescent="0.25">
      <c r="A1176" s="174">
        <v>40830</v>
      </c>
      <c r="B1176" s="161" t="s">
        <v>30</v>
      </c>
      <c r="C1176" s="98" t="s">
        <v>969</v>
      </c>
      <c r="D1176" s="98" t="s">
        <v>26</v>
      </c>
      <c r="E1176" s="175">
        <v>10</v>
      </c>
      <c r="F1176" s="175">
        <v>68.989999999999995</v>
      </c>
      <c r="G1176" s="176">
        <v>689.9</v>
      </c>
      <c r="H1176" s="101">
        <v>902</v>
      </c>
      <c r="K1176"/>
    </row>
    <row r="1177" spans="1:11" x14ac:dyDescent="0.25">
      <c r="A1177" s="174">
        <v>40831</v>
      </c>
      <c r="B1177" s="161" t="s">
        <v>969</v>
      </c>
      <c r="C1177" s="98" t="s">
        <v>969</v>
      </c>
      <c r="D1177" s="98" t="s">
        <v>26</v>
      </c>
      <c r="E1177" s="175">
        <v>1</v>
      </c>
      <c r="F1177" s="175">
        <v>68.989999999999995</v>
      </c>
      <c r="G1177" s="176">
        <v>68.989999999999995</v>
      </c>
      <c r="H1177" s="101">
        <v>902</v>
      </c>
      <c r="K1177"/>
    </row>
    <row r="1178" spans="1:11" x14ac:dyDescent="0.25">
      <c r="A1178" s="174">
        <v>40831</v>
      </c>
      <c r="B1178" s="161" t="s">
        <v>30</v>
      </c>
      <c r="C1178" s="98" t="s">
        <v>969</v>
      </c>
      <c r="D1178" s="98" t="s">
        <v>26</v>
      </c>
      <c r="E1178" s="175">
        <v>6</v>
      </c>
      <c r="F1178" s="175">
        <v>68.989999999999995</v>
      </c>
      <c r="G1178" s="176">
        <v>413.94</v>
      </c>
      <c r="H1178" s="101">
        <v>902</v>
      </c>
      <c r="K1178"/>
    </row>
    <row r="1179" spans="1:11" x14ac:dyDescent="0.25">
      <c r="A1179" s="174">
        <v>40833</v>
      </c>
      <c r="B1179" s="161" t="s">
        <v>969</v>
      </c>
      <c r="C1179" s="98" t="s">
        <v>969</v>
      </c>
      <c r="D1179" s="98" t="s">
        <v>26</v>
      </c>
      <c r="E1179" s="175">
        <v>10</v>
      </c>
      <c r="F1179" s="175">
        <v>68.989999999999995</v>
      </c>
      <c r="G1179" s="176">
        <v>689.9</v>
      </c>
      <c r="H1179" s="101">
        <v>902</v>
      </c>
      <c r="K1179"/>
    </row>
    <row r="1180" spans="1:11" x14ac:dyDescent="0.25">
      <c r="A1180" s="174">
        <v>40833</v>
      </c>
      <c r="B1180" s="161" t="s">
        <v>30</v>
      </c>
      <c r="C1180" s="98" t="s">
        <v>969</v>
      </c>
      <c r="D1180" s="98" t="s">
        <v>26</v>
      </c>
      <c r="E1180" s="175">
        <v>9.5</v>
      </c>
      <c r="F1180" s="175">
        <v>68.989999999999995</v>
      </c>
      <c r="G1180" s="176">
        <v>655.40499999999997</v>
      </c>
      <c r="H1180" s="101">
        <v>902</v>
      </c>
      <c r="K1180"/>
    </row>
    <row r="1181" spans="1:11" x14ac:dyDescent="0.25">
      <c r="A1181" s="174">
        <v>40834</v>
      </c>
      <c r="B1181" s="161" t="s">
        <v>969</v>
      </c>
      <c r="C1181" s="98" t="s">
        <v>969</v>
      </c>
      <c r="D1181" s="98" t="s">
        <v>26</v>
      </c>
      <c r="E1181" s="175">
        <v>8.5</v>
      </c>
      <c r="F1181" s="175">
        <v>68.989999999999995</v>
      </c>
      <c r="G1181" s="176">
        <v>586.41499999999996</v>
      </c>
      <c r="H1181" s="101">
        <v>902</v>
      </c>
      <c r="K1181"/>
    </row>
    <row r="1182" spans="1:11" x14ac:dyDescent="0.25">
      <c r="A1182" s="174">
        <v>40835</v>
      </c>
      <c r="B1182" s="161" t="s">
        <v>969</v>
      </c>
      <c r="C1182" s="98" t="s">
        <v>969</v>
      </c>
      <c r="D1182" s="98" t="s">
        <v>26</v>
      </c>
      <c r="E1182" s="175">
        <v>10</v>
      </c>
      <c r="F1182" s="175">
        <v>68.989999999999995</v>
      </c>
      <c r="G1182" s="176">
        <v>689.9</v>
      </c>
      <c r="H1182" s="101">
        <v>902</v>
      </c>
      <c r="K1182"/>
    </row>
    <row r="1183" spans="1:11" x14ac:dyDescent="0.25">
      <c r="A1183" s="174">
        <v>40836</v>
      </c>
      <c r="B1183" s="161" t="s">
        <v>309</v>
      </c>
      <c r="C1183" s="98" t="s">
        <v>970</v>
      </c>
      <c r="D1183" s="98" t="s">
        <v>19</v>
      </c>
      <c r="E1183" s="175">
        <v>6</v>
      </c>
      <c r="F1183" s="175">
        <v>45</v>
      </c>
      <c r="G1183" s="176">
        <v>270</v>
      </c>
      <c r="H1183" s="101">
        <v>902</v>
      </c>
      <c r="K1183"/>
    </row>
    <row r="1184" spans="1:11" x14ac:dyDescent="0.25">
      <c r="A1184" s="174">
        <v>40836</v>
      </c>
      <c r="B1184" s="161" t="s">
        <v>969</v>
      </c>
      <c r="C1184" s="98" t="s">
        <v>969</v>
      </c>
      <c r="D1184" s="98" t="s">
        <v>26</v>
      </c>
      <c r="E1184" s="175">
        <v>10</v>
      </c>
      <c r="F1184" s="175">
        <v>68.989999999999995</v>
      </c>
      <c r="G1184" s="176">
        <v>689.9</v>
      </c>
      <c r="H1184" s="101">
        <v>902</v>
      </c>
      <c r="K1184"/>
    </row>
    <row r="1185" spans="1:11" x14ac:dyDescent="0.25">
      <c r="A1185" s="174">
        <v>40837</v>
      </c>
      <c r="B1185" s="161" t="s">
        <v>969</v>
      </c>
      <c r="C1185" s="98" t="s">
        <v>969</v>
      </c>
      <c r="D1185" s="98" t="s">
        <v>26</v>
      </c>
      <c r="E1185" s="175">
        <v>4.5</v>
      </c>
      <c r="F1185" s="175">
        <v>68.989999999999995</v>
      </c>
      <c r="G1185" s="176">
        <v>310.45499999999998</v>
      </c>
      <c r="H1185" s="101">
        <v>902</v>
      </c>
      <c r="K1185"/>
    </row>
    <row r="1186" spans="1:11" x14ac:dyDescent="0.25">
      <c r="A1186" s="174">
        <v>40840</v>
      </c>
      <c r="B1186" s="161" t="s">
        <v>643</v>
      </c>
      <c r="C1186" s="98" t="s">
        <v>969</v>
      </c>
      <c r="D1186" s="98" t="s">
        <v>26</v>
      </c>
      <c r="E1186" s="175">
        <v>10</v>
      </c>
      <c r="F1186" s="175">
        <v>68.989999999999995</v>
      </c>
      <c r="G1186" s="176">
        <v>689.9</v>
      </c>
      <c r="H1186" s="101">
        <v>902</v>
      </c>
      <c r="K1186"/>
    </row>
    <row r="1187" spans="1:11" x14ac:dyDescent="0.25">
      <c r="A1187" s="174">
        <v>40841</v>
      </c>
      <c r="B1187" s="161" t="s">
        <v>971</v>
      </c>
      <c r="C1187" s="98" t="s">
        <v>969</v>
      </c>
      <c r="D1187" s="98" t="s">
        <v>26</v>
      </c>
      <c r="E1187" s="175">
        <v>10</v>
      </c>
      <c r="F1187" s="175">
        <v>68.989999999999995</v>
      </c>
      <c r="G1187" s="176">
        <v>689.9</v>
      </c>
      <c r="H1187" s="101">
        <v>902</v>
      </c>
      <c r="K1187"/>
    </row>
    <row r="1188" spans="1:11" x14ac:dyDescent="0.25">
      <c r="A1188" s="174">
        <v>40841</v>
      </c>
      <c r="B1188" s="161" t="s">
        <v>30</v>
      </c>
      <c r="C1188" s="98" t="s">
        <v>969</v>
      </c>
      <c r="D1188" s="98" t="s">
        <v>26</v>
      </c>
      <c r="E1188" s="175">
        <v>10.5</v>
      </c>
      <c r="F1188" s="175">
        <v>68.989999999999995</v>
      </c>
      <c r="G1188" s="176">
        <v>724.39499999999998</v>
      </c>
      <c r="H1188" s="101">
        <v>902</v>
      </c>
      <c r="K1188"/>
    </row>
    <row r="1189" spans="1:11" x14ac:dyDescent="0.25">
      <c r="A1189" s="174">
        <v>40842</v>
      </c>
      <c r="B1189" s="161" t="s">
        <v>971</v>
      </c>
      <c r="C1189" s="98" t="s">
        <v>969</v>
      </c>
      <c r="D1189" s="98" t="s">
        <v>26</v>
      </c>
      <c r="E1189" s="175">
        <v>10</v>
      </c>
      <c r="F1189" s="175">
        <v>68.989999999999995</v>
      </c>
      <c r="G1189" s="176">
        <v>689.9</v>
      </c>
      <c r="H1189" s="101">
        <v>902</v>
      </c>
      <c r="K1189"/>
    </row>
    <row r="1190" spans="1:11" x14ac:dyDescent="0.25">
      <c r="A1190" s="174">
        <v>40842</v>
      </c>
      <c r="B1190" s="161" t="s">
        <v>30</v>
      </c>
      <c r="C1190" s="98" t="s">
        <v>969</v>
      </c>
      <c r="D1190" s="98" t="s">
        <v>26</v>
      </c>
      <c r="E1190" s="175">
        <v>10.5</v>
      </c>
      <c r="F1190" s="175">
        <v>68.989999999999995</v>
      </c>
      <c r="G1190" s="176">
        <v>724.39499999999998</v>
      </c>
      <c r="H1190" s="101">
        <v>902</v>
      </c>
      <c r="K1190"/>
    </row>
    <row r="1191" spans="1:11" x14ac:dyDescent="0.25">
      <c r="A1191" s="174">
        <v>40843</v>
      </c>
      <c r="B1191" s="161" t="s">
        <v>972</v>
      </c>
      <c r="C1191" s="98" t="s">
        <v>969</v>
      </c>
      <c r="D1191" s="98" t="s">
        <v>26</v>
      </c>
      <c r="E1191" s="175">
        <v>10</v>
      </c>
      <c r="F1191" s="175">
        <v>68.989999999999995</v>
      </c>
      <c r="G1191" s="176">
        <v>689.9</v>
      </c>
      <c r="H1191" s="101">
        <v>902</v>
      </c>
      <c r="K1191"/>
    </row>
    <row r="1192" spans="1:11" x14ac:dyDescent="0.25">
      <c r="A1192" s="174">
        <v>40843</v>
      </c>
      <c r="B1192" s="161" t="s">
        <v>30</v>
      </c>
      <c r="C1192" s="98" t="s">
        <v>969</v>
      </c>
      <c r="D1192" s="98" t="s">
        <v>26</v>
      </c>
      <c r="E1192" s="175">
        <v>10.5</v>
      </c>
      <c r="F1192" s="175">
        <v>68.989999999999995</v>
      </c>
      <c r="G1192" s="176">
        <v>724.39499999999998</v>
      </c>
      <c r="H1192" s="101">
        <v>902</v>
      </c>
      <c r="K1192"/>
    </row>
    <row r="1193" spans="1:11" x14ac:dyDescent="0.25">
      <c r="A1193" s="174">
        <v>40844</v>
      </c>
      <c r="B1193" s="161" t="s">
        <v>971</v>
      </c>
      <c r="C1193" s="98" t="s">
        <v>969</v>
      </c>
      <c r="D1193" s="98" t="s">
        <v>26</v>
      </c>
      <c r="E1193" s="175">
        <v>10</v>
      </c>
      <c r="F1193" s="175">
        <v>68.989999999999995</v>
      </c>
      <c r="G1193" s="176">
        <v>689.9</v>
      </c>
      <c r="H1193" s="101">
        <v>902</v>
      </c>
      <c r="K1193"/>
    </row>
    <row r="1194" spans="1:11" x14ac:dyDescent="0.25">
      <c r="A1194" s="174">
        <v>40844</v>
      </c>
      <c r="B1194" s="161" t="s">
        <v>742</v>
      </c>
      <c r="C1194" s="98" t="s">
        <v>8</v>
      </c>
      <c r="D1194" s="98" t="s">
        <v>26</v>
      </c>
      <c r="E1194" s="175">
        <v>4</v>
      </c>
      <c r="F1194" s="175">
        <v>44.2</v>
      </c>
      <c r="G1194" s="176">
        <v>176.8</v>
      </c>
      <c r="H1194" s="101">
        <v>902</v>
      </c>
      <c r="K1194"/>
    </row>
    <row r="1195" spans="1:11" x14ac:dyDescent="0.25">
      <c r="A1195" s="174">
        <v>40844</v>
      </c>
      <c r="B1195" s="161" t="s">
        <v>30</v>
      </c>
      <c r="C1195" s="98" t="s">
        <v>969</v>
      </c>
      <c r="D1195" s="98" t="s">
        <v>26</v>
      </c>
      <c r="E1195" s="175">
        <v>9.5</v>
      </c>
      <c r="F1195" s="175">
        <v>68.989999999999995</v>
      </c>
      <c r="G1195" s="176">
        <v>655.40499999999997</v>
      </c>
      <c r="H1195" s="101">
        <v>902</v>
      </c>
      <c r="K1195"/>
    </row>
    <row r="1196" spans="1:11" x14ac:dyDescent="0.25">
      <c r="A1196" s="174">
        <v>40845</v>
      </c>
      <c r="B1196" s="161" t="s">
        <v>30</v>
      </c>
      <c r="C1196" s="98" t="s">
        <v>969</v>
      </c>
      <c r="D1196" s="98" t="s">
        <v>26</v>
      </c>
      <c r="E1196" s="175">
        <v>5.5</v>
      </c>
      <c r="F1196" s="175">
        <v>68.989999999999995</v>
      </c>
      <c r="G1196" s="176">
        <v>379.44499999999999</v>
      </c>
      <c r="H1196" s="101">
        <v>902</v>
      </c>
      <c r="K1196"/>
    </row>
    <row r="1197" spans="1:11" x14ac:dyDescent="0.25">
      <c r="A1197" s="174">
        <v>40847</v>
      </c>
      <c r="B1197" s="161" t="s">
        <v>30</v>
      </c>
      <c r="C1197" s="98" t="s">
        <v>969</v>
      </c>
      <c r="D1197" s="98" t="s">
        <v>26</v>
      </c>
      <c r="E1197" s="175">
        <v>9.5</v>
      </c>
      <c r="F1197" s="175">
        <v>68.989999999999995</v>
      </c>
      <c r="G1197" s="176">
        <v>655.40499999999997</v>
      </c>
      <c r="H1197" s="101">
        <v>902</v>
      </c>
      <c r="K1197"/>
    </row>
    <row r="1198" spans="1:11" x14ac:dyDescent="0.25">
      <c r="A1198" s="174">
        <v>40849</v>
      </c>
      <c r="B1198" s="161" t="s">
        <v>973</v>
      </c>
      <c r="C1198" s="98" t="s">
        <v>969</v>
      </c>
      <c r="D1198" s="98" t="s">
        <v>39</v>
      </c>
      <c r="E1198" s="175">
        <v>0.4</v>
      </c>
      <c r="F1198" s="175">
        <v>580</v>
      </c>
      <c r="G1198" s="176">
        <v>232</v>
      </c>
      <c r="H1198" s="101">
        <v>902</v>
      </c>
      <c r="K1198"/>
    </row>
    <row r="1199" spans="1:11" x14ac:dyDescent="0.25">
      <c r="A1199" s="174">
        <v>40855</v>
      </c>
      <c r="B1199" s="161" t="s">
        <v>30</v>
      </c>
      <c r="C1199" s="98" t="s">
        <v>969</v>
      </c>
      <c r="D1199" s="98" t="s">
        <v>26</v>
      </c>
      <c r="E1199" s="175">
        <v>9.5</v>
      </c>
      <c r="F1199" s="175">
        <v>68.989999999999995</v>
      </c>
      <c r="G1199" s="176">
        <v>655.40499999999997</v>
      </c>
      <c r="H1199" s="101">
        <v>902</v>
      </c>
      <c r="K1199"/>
    </row>
    <row r="1200" spans="1:11" x14ac:dyDescent="0.25">
      <c r="A1200" s="174">
        <v>40856</v>
      </c>
      <c r="B1200" s="161" t="s">
        <v>30</v>
      </c>
      <c r="C1200" s="98" t="s">
        <v>969</v>
      </c>
      <c r="D1200" s="98" t="s">
        <v>26</v>
      </c>
      <c r="E1200" s="175">
        <v>4.5</v>
      </c>
      <c r="F1200" s="175">
        <v>68.989999999999995</v>
      </c>
      <c r="G1200" s="176">
        <v>310.45499999999998</v>
      </c>
      <c r="H1200" s="101">
        <v>902</v>
      </c>
      <c r="K1200"/>
    </row>
    <row r="1201" spans="1:11" x14ac:dyDescent="0.25">
      <c r="A1201" s="174">
        <v>40857</v>
      </c>
      <c r="B1201" s="161" t="s">
        <v>30</v>
      </c>
      <c r="C1201" s="98" t="s">
        <v>969</v>
      </c>
      <c r="D1201" s="98" t="s">
        <v>26</v>
      </c>
      <c r="E1201" s="175">
        <v>7.5</v>
      </c>
      <c r="F1201" s="175">
        <v>68.989999999999995</v>
      </c>
      <c r="G1201" s="176">
        <v>517.42499999999995</v>
      </c>
      <c r="H1201" s="101">
        <v>902</v>
      </c>
      <c r="K1201"/>
    </row>
    <row r="1202" spans="1:11" x14ac:dyDescent="0.25">
      <c r="A1202" s="174">
        <v>40858</v>
      </c>
      <c r="B1202" s="161" t="s">
        <v>30</v>
      </c>
      <c r="C1202" s="98" t="s">
        <v>969</v>
      </c>
      <c r="D1202" s="98" t="s">
        <v>26</v>
      </c>
      <c r="E1202" s="175">
        <v>9.5</v>
      </c>
      <c r="F1202" s="175">
        <v>68.989999999999995</v>
      </c>
      <c r="G1202" s="176">
        <v>655.40499999999997</v>
      </c>
      <c r="H1202" s="101">
        <v>902</v>
      </c>
      <c r="K1202"/>
    </row>
    <row r="1203" spans="1:11" x14ac:dyDescent="0.25">
      <c r="A1203" s="174">
        <v>40859</v>
      </c>
      <c r="B1203" s="161" t="s">
        <v>30</v>
      </c>
      <c r="C1203" s="98" t="s">
        <v>969</v>
      </c>
      <c r="D1203" s="98" t="s">
        <v>26</v>
      </c>
      <c r="E1203" s="175">
        <v>6.5</v>
      </c>
      <c r="F1203" s="175">
        <v>68.989999999999995</v>
      </c>
      <c r="G1203" s="176">
        <v>448.435</v>
      </c>
      <c r="H1203" s="101">
        <v>902</v>
      </c>
      <c r="K1203"/>
    </row>
    <row r="1204" spans="1:11" x14ac:dyDescent="0.25">
      <c r="A1204" s="174">
        <v>40863</v>
      </c>
      <c r="B1204" s="161" t="s">
        <v>30</v>
      </c>
      <c r="C1204" s="98" t="s">
        <v>969</v>
      </c>
      <c r="D1204" s="98" t="s">
        <v>26</v>
      </c>
      <c r="E1204" s="175">
        <v>4</v>
      </c>
      <c r="F1204" s="175">
        <v>68.989999999999995</v>
      </c>
      <c r="G1204" s="176">
        <v>275.95999999999998</v>
      </c>
      <c r="H1204" s="101">
        <v>902</v>
      </c>
      <c r="K1204"/>
    </row>
    <row r="1205" spans="1:11" x14ac:dyDescent="0.25">
      <c r="A1205" s="174">
        <v>40872</v>
      </c>
      <c r="B1205" s="161" t="s">
        <v>30</v>
      </c>
      <c r="C1205" s="98" t="s">
        <v>969</v>
      </c>
      <c r="D1205" s="98" t="s">
        <v>26</v>
      </c>
      <c r="E1205" s="175">
        <v>4</v>
      </c>
      <c r="F1205" s="175">
        <v>68.989999999999995</v>
      </c>
      <c r="G1205" s="176">
        <v>275.95999999999998</v>
      </c>
      <c r="H1205" s="101">
        <v>902</v>
      </c>
      <c r="K1205"/>
    </row>
    <row r="1206" spans="1:11" x14ac:dyDescent="0.25">
      <c r="A1206" s="174">
        <v>40875</v>
      </c>
      <c r="B1206" s="161" t="s">
        <v>30</v>
      </c>
      <c r="C1206" s="98" t="s">
        <v>969</v>
      </c>
      <c r="D1206" s="98" t="s">
        <v>26</v>
      </c>
      <c r="E1206" s="175">
        <v>6.5</v>
      </c>
      <c r="F1206" s="175">
        <v>68.989999999999995</v>
      </c>
      <c r="G1206" s="176">
        <v>448.435</v>
      </c>
      <c r="H1206" s="101">
        <v>902</v>
      </c>
      <c r="K1206"/>
    </row>
    <row r="1207" spans="1:11" x14ac:dyDescent="0.25">
      <c r="A1207" s="174">
        <v>40883</v>
      </c>
      <c r="B1207" s="161" t="s">
        <v>30</v>
      </c>
      <c r="C1207" s="98" t="s">
        <v>969</v>
      </c>
      <c r="D1207" s="98" t="s">
        <v>26</v>
      </c>
      <c r="E1207" s="175">
        <v>5</v>
      </c>
      <c r="F1207" s="175">
        <v>68.989999999999995</v>
      </c>
      <c r="G1207" s="176">
        <v>344.95</v>
      </c>
      <c r="H1207" s="101">
        <v>902</v>
      </c>
      <c r="K1207"/>
    </row>
    <row r="1208" spans="1:11" x14ac:dyDescent="0.25">
      <c r="A1208" s="174">
        <v>40917</v>
      </c>
      <c r="B1208" s="161" t="s">
        <v>30</v>
      </c>
      <c r="C1208" s="98" t="s">
        <v>969</v>
      </c>
      <c r="D1208" s="98" t="s">
        <v>26</v>
      </c>
      <c r="E1208" s="175">
        <v>9.5500000000000007</v>
      </c>
      <c r="F1208" s="175">
        <v>68.989999999999995</v>
      </c>
      <c r="G1208" s="176">
        <v>658.85450000000003</v>
      </c>
      <c r="H1208" s="101">
        <v>902</v>
      </c>
      <c r="K1208"/>
    </row>
    <row r="1209" spans="1:11" x14ac:dyDescent="0.25">
      <c r="A1209" s="174">
        <v>40918</v>
      </c>
      <c r="B1209" s="161" t="s">
        <v>30</v>
      </c>
      <c r="C1209" s="98" t="s">
        <v>969</v>
      </c>
      <c r="D1209" s="98" t="s">
        <v>26</v>
      </c>
      <c r="E1209" s="175">
        <v>4.5</v>
      </c>
      <c r="F1209" s="175">
        <v>68.989999999999995</v>
      </c>
      <c r="G1209" s="176">
        <v>310.45499999999998</v>
      </c>
      <c r="H1209" s="101">
        <v>902</v>
      </c>
      <c r="K1209"/>
    </row>
    <row r="1210" spans="1:11" x14ac:dyDescent="0.25">
      <c r="A1210" s="174">
        <v>40919</v>
      </c>
      <c r="B1210" s="161" t="s">
        <v>30</v>
      </c>
      <c r="C1210" s="98" t="s">
        <v>969</v>
      </c>
      <c r="D1210" s="98" t="s">
        <v>26</v>
      </c>
      <c r="E1210" s="175">
        <v>5</v>
      </c>
      <c r="F1210" s="175">
        <v>68.989999999999995</v>
      </c>
      <c r="G1210" s="176">
        <v>344.95</v>
      </c>
      <c r="H1210" s="101">
        <v>902</v>
      </c>
      <c r="K1210"/>
    </row>
    <row r="1211" spans="1:11" x14ac:dyDescent="0.25">
      <c r="A1211" s="174">
        <v>40920</v>
      </c>
      <c r="B1211" s="161" t="s">
        <v>30</v>
      </c>
      <c r="C1211" s="98" t="s">
        <v>969</v>
      </c>
      <c r="D1211" s="98" t="s">
        <v>26</v>
      </c>
      <c r="E1211" s="175">
        <v>5</v>
      </c>
      <c r="F1211" s="175">
        <v>68.989999999999995</v>
      </c>
      <c r="G1211" s="176">
        <v>344.95</v>
      </c>
      <c r="H1211" s="101">
        <v>902</v>
      </c>
      <c r="K1211"/>
    </row>
    <row r="1212" spans="1:11" x14ac:dyDescent="0.25">
      <c r="A1212" s="174">
        <v>40921</v>
      </c>
      <c r="B1212" s="161" t="s">
        <v>30</v>
      </c>
      <c r="C1212" s="98" t="s">
        <v>969</v>
      </c>
      <c r="D1212" s="98" t="s">
        <v>26</v>
      </c>
      <c r="E1212" s="175">
        <v>1</v>
      </c>
      <c r="F1212" s="175">
        <v>68.989999999999995</v>
      </c>
      <c r="G1212" s="176">
        <v>68.989999999999995</v>
      </c>
      <c r="H1212" s="101">
        <v>902</v>
      </c>
      <c r="K1212"/>
    </row>
    <row r="1213" spans="1:11" x14ac:dyDescent="0.25">
      <c r="A1213" s="174">
        <v>40929</v>
      </c>
      <c r="B1213" s="161" t="s">
        <v>30</v>
      </c>
      <c r="C1213" s="98" t="s">
        <v>969</v>
      </c>
      <c r="D1213" s="98" t="s">
        <v>26</v>
      </c>
      <c r="E1213" s="175">
        <v>6.5</v>
      </c>
      <c r="F1213" s="175">
        <v>68.989999999999995</v>
      </c>
      <c r="G1213" s="176">
        <v>448.435</v>
      </c>
      <c r="H1213" s="101">
        <v>902</v>
      </c>
      <c r="K1213"/>
    </row>
    <row r="1214" spans="1:11" x14ac:dyDescent="0.25">
      <c r="A1214" s="174">
        <v>40931</v>
      </c>
      <c r="B1214" s="161" t="s">
        <v>30</v>
      </c>
      <c r="C1214" s="98" t="s">
        <v>969</v>
      </c>
      <c r="D1214" s="98" t="s">
        <v>26</v>
      </c>
      <c r="E1214" s="175">
        <v>2</v>
      </c>
      <c r="F1214" s="175">
        <v>68.989999999999995</v>
      </c>
      <c r="G1214" s="176">
        <v>137.97999999999999</v>
      </c>
      <c r="H1214" s="101">
        <v>902</v>
      </c>
      <c r="K1214"/>
    </row>
    <row r="1215" spans="1:11" x14ac:dyDescent="0.25">
      <c r="A1215" s="174">
        <v>40932</v>
      </c>
      <c r="B1215" s="161" t="s">
        <v>30</v>
      </c>
      <c r="C1215" s="98" t="s">
        <v>969</v>
      </c>
      <c r="D1215" s="98" t="s">
        <v>26</v>
      </c>
      <c r="E1215" s="175">
        <v>5</v>
      </c>
      <c r="F1215" s="175">
        <v>68.989999999999995</v>
      </c>
      <c r="G1215" s="176">
        <v>344.95</v>
      </c>
      <c r="H1215" s="101">
        <v>902</v>
      </c>
      <c r="K1215"/>
    </row>
    <row r="1216" spans="1:11" x14ac:dyDescent="0.25">
      <c r="A1216" s="174">
        <v>40933</v>
      </c>
      <c r="B1216" s="161" t="s">
        <v>30</v>
      </c>
      <c r="C1216" s="98" t="s">
        <v>969</v>
      </c>
      <c r="D1216" s="98" t="s">
        <v>26</v>
      </c>
      <c r="E1216" s="175">
        <v>4</v>
      </c>
      <c r="F1216" s="175">
        <v>68.989999999999995</v>
      </c>
      <c r="G1216" s="176">
        <v>275.95999999999998</v>
      </c>
      <c r="H1216" s="101">
        <v>902</v>
      </c>
      <c r="K1216"/>
    </row>
    <row r="1217" spans="1:11" x14ac:dyDescent="0.25">
      <c r="A1217" s="174">
        <v>40938</v>
      </c>
      <c r="B1217" s="161" t="s">
        <v>30</v>
      </c>
      <c r="C1217" s="98" t="s">
        <v>969</v>
      </c>
      <c r="D1217" s="98" t="s">
        <v>26</v>
      </c>
      <c r="E1217" s="175">
        <v>2</v>
      </c>
      <c r="F1217" s="175">
        <v>68.989999999999995</v>
      </c>
      <c r="G1217" s="176">
        <v>137.97999999999999</v>
      </c>
      <c r="H1217" s="101">
        <v>902</v>
      </c>
      <c r="K1217"/>
    </row>
    <row r="1218" spans="1:11" x14ac:dyDescent="0.25">
      <c r="A1218" s="174">
        <v>40939</v>
      </c>
      <c r="B1218" s="161" t="s">
        <v>30</v>
      </c>
      <c r="C1218" s="98" t="s">
        <v>969</v>
      </c>
      <c r="D1218" s="98" t="s">
        <v>26</v>
      </c>
      <c r="E1218" s="175">
        <v>1</v>
      </c>
      <c r="F1218" s="175">
        <v>68.989999999999995</v>
      </c>
      <c r="G1218" s="176">
        <v>68.989999999999995</v>
      </c>
      <c r="H1218" s="101">
        <v>902</v>
      </c>
      <c r="K1218"/>
    </row>
    <row r="1219" spans="1:11" x14ac:dyDescent="0.25">
      <c r="A1219" s="174">
        <v>40954</v>
      </c>
      <c r="B1219" s="161" t="s">
        <v>30</v>
      </c>
      <c r="C1219" s="98" t="s">
        <v>969</v>
      </c>
      <c r="D1219" s="98" t="s">
        <v>26</v>
      </c>
      <c r="E1219" s="175">
        <v>8.5</v>
      </c>
      <c r="F1219" s="175">
        <v>68.989999999999995</v>
      </c>
      <c r="G1219" s="176">
        <v>586.41499999999996</v>
      </c>
      <c r="H1219" s="101">
        <v>902</v>
      </c>
      <c r="K1219"/>
    </row>
    <row r="1220" spans="1:11" x14ac:dyDescent="0.25">
      <c r="A1220" s="174">
        <v>40960</v>
      </c>
      <c r="B1220" s="161" t="s">
        <v>30</v>
      </c>
      <c r="C1220" s="98" t="s">
        <v>969</v>
      </c>
      <c r="D1220" s="98" t="s">
        <v>26</v>
      </c>
      <c r="E1220" s="175">
        <v>8</v>
      </c>
      <c r="F1220" s="175">
        <v>68.989999999999995</v>
      </c>
      <c r="G1220" s="176">
        <v>551.91999999999996</v>
      </c>
      <c r="H1220" s="101">
        <v>902</v>
      </c>
      <c r="K1220"/>
    </row>
    <row r="1221" spans="1:11" x14ac:dyDescent="0.25">
      <c r="A1221" s="174">
        <v>40961</v>
      </c>
      <c r="B1221" s="161" t="s">
        <v>30</v>
      </c>
      <c r="C1221" s="98" t="s">
        <v>969</v>
      </c>
      <c r="D1221" s="98" t="s">
        <v>26</v>
      </c>
      <c r="E1221" s="175">
        <v>10</v>
      </c>
      <c r="F1221" s="175">
        <v>68.989999999999995</v>
      </c>
      <c r="G1221" s="176">
        <v>689.9</v>
      </c>
      <c r="H1221" s="101">
        <v>902</v>
      </c>
      <c r="K1221"/>
    </row>
    <row r="1222" spans="1:11" x14ac:dyDescent="0.25">
      <c r="A1222" s="174">
        <v>40962</v>
      </c>
      <c r="B1222" s="161" t="s">
        <v>30</v>
      </c>
      <c r="C1222" s="98" t="s">
        <v>969</v>
      </c>
      <c r="D1222" s="98" t="s">
        <v>26</v>
      </c>
      <c r="E1222" s="175">
        <v>6.5</v>
      </c>
      <c r="F1222" s="175">
        <v>68.989999999999995</v>
      </c>
      <c r="G1222" s="176">
        <v>448.435</v>
      </c>
      <c r="H1222" s="101">
        <v>902</v>
      </c>
      <c r="K1222"/>
    </row>
    <row r="1223" spans="1:11" x14ac:dyDescent="0.25">
      <c r="A1223" s="174">
        <v>40966</v>
      </c>
      <c r="B1223" s="161" t="s">
        <v>30</v>
      </c>
      <c r="C1223" s="98" t="s">
        <v>969</v>
      </c>
      <c r="D1223" s="98" t="s">
        <v>26</v>
      </c>
      <c r="E1223" s="175">
        <v>8</v>
      </c>
      <c r="F1223" s="175">
        <v>68.989999999999995</v>
      </c>
      <c r="G1223" s="176">
        <v>551.91999999999996</v>
      </c>
      <c r="H1223" s="101">
        <v>902</v>
      </c>
      <c r="K1223"/>
    </row>
    <row r="1224" spans="1:11" x14ac:dyDescent="0.25">
      <c r="A1224" s="174">
        <v>40967</v>
      </c>
      <c r="B1224" s="161" t="s">
        <v>30</v>
      </c>
      <c r="C1224" s="98" t="s">
        <v>969</v>
      </c>
      <c r="D1224" s="98" t="s">
        <v>26</v>
      </c>
      <c r="E1224" s="175">
        <v>4</v>
      </c>
      <c r="F1224" s="175">
        <v>68.989999999999995</v>
      </c>
      <c r="G1224" s="176">
        <v>275.95999999999998</v>
      </c>
      <c r="H1224" s="101">
        <v>902</v>
      </c>
      <c r="K1224"/>
    </row>
    <row r="1225" spans="1:11" x14ac:dyDescent="0.25">
      <c r="A1225" s="174">
        <v>40971</v>
      </c>
      <c r="B1225" s="161" t="s">
        <v>30</v>
      </c>
      <c r="C1225" s="98" t="s">
        <v>969</v>
      </c>
      <c r="D1225" s="98" t="s">
        <v>26</v>
      </c>
      <c r="E1225" s="175">
        <v>3.5</v>
      </c>
      <c r="F1225" s="175">
        <v>68.989999999999995</v>
      </c>
      <c r="G1225" s="176">
        <v>241.465</v>
      </c>
      <c r="H1225" s="101">
        <v>902</v>
      </c>
      <c r="K1225"/>
    </row>
    <row r="1226" spans="1:11" x14ac:dyDescent="0.25">
      <c r="A1226" s="174">
        <v>40973</v>
      </c>
      <c r="B1226" s="161" t="s">
        <v>30</v>
      </c>
      <c r="C1226" s="98" t="s">
        <v>969</v>
      </c>
      <c r="D1226" s="98" t="s">
        <v>26</v>
      </c>
      <c r="E1226" s="175">
        <v>3.5</v>
      </c>
      <c r="F1226" s="175">
        <v>68.989999999999995</v>
      </c>
      <c r="G1226" s="176">
        <v>241.465</v>
      </c>
      <c r="H1226" s="101">
        <v>902</v>
      </c>
      <c r="K1226"/>
    </row>
    <row r="1227" spans="1:11" x14ac:dyDescent="0.25">
      <c r="A1227" s="174">
        <v>40974</v>
      </c>
      <c r="B1227" s="161" t="s">
        <v>30</v>
      </c>
      <c r="C1227" s="98" t="s">
        <v>969</v>
      </c>
      <c r="D1227" s="98" t="s">
        <v>26</v>
      </c>
      <c r="E1227" s="175">
        <v>3.5</v>
      </c>
      <c r="F1227" s="175">
        <v>68.989999999999995</v>
      </c>
      <c r="G1227" s="176">
        <v>241.465</v>
      </c>
      <c r="H1227" s="101">
        <v>902</v>
      </c>
      <c r="K1227"/>
    </row>
    <row r="1228" spans="1:11" x14ac:dyDescent="0.25">
      <c r="A1228" s="174">
        <v>40999</v>
      </c>
      <c r="B1228" s="161" t="s">
        <v>30</v>
      </c>
      <c r="C1228" s="98" t="s">
        <v>969</v>
      </c>
      <c r="D1228" s="98" t="s">
        <v>26</v>
      </c>
      <c r="E1228" s="175">
        <v>4</v>
      </c>
      <c r="F1228" s="175">
        <v>71.81</v>
      </c>
      <c r="G1228" s="176">
        <v>287.24</v>
      </c>
      <c r="H1228" s="101">
        <v>902</v>
      </c>
      <c r="K1228"/>
    </row>
    <row r="1229" spans="1:11" x14ac:dyDescent="0.25">
      <c r="A1229" s="174">
        <v>41000</v>
      </c>
      <c r="B1229" s="161" t="s">
        <v>30</v>
      </c>
      <c r="C1229" s="98" t="s">
        <v>969</v>
      </c>
      <c r="D1229" s="98" t="s">
        <v>26</v>
      </c>
      <c r="E1229" s="175">
        <v>2.5</v>
      </c>
      <c r="F1229" s="175">
        <v>71.81</v>
      </c>
      <c r="G1229" s="176">
        <v>179.52500000000001</v>
      </c>
      <c r="H1229" s="101">
        <v>902</v>
      </c>
      <c r="K1229"/>
    </row>
    <row r="1230" spans="1:11" x14ac:dyDescent="0.25">
      <c r="A1230" s="174">
        <v>41001</v>
      </c>
      <c r="B1230" s="161" t="s">
        <v>30</v>
      </c>
      <c r="C1230" s="98" t="s">
        <v>969</v>
      </c>
      <c r="D1230" s="98" t="s">
        <v>26</v>
      </c>
      <c r="E1230" s="175">
        <v>1</v>
      </c>
      <c r="F1230" s="175">
        <v>71.81</v>
      </c>
      <c r="G1230" s="176">
        <v>71.81</v>
      </c>
      <c r="H1230" s="101">
        <v>902</v>
      </c>
      <c r="K1230"/>
    </row>
    <row r="1231" spans="1:11" x14ac:dyDescent="0.25">
      <c r="A1231" s="174">
        <v>41039</v>
      </c>
      <c r="B1231" s="161" t="s">
        <v>30</v>
      </c>
      <c r="C1231" s="98" t="s">
        <v>969</v>
      </c>
      <c r="D1231" s="98" t="s">
        <v>26</v>
      </c>
      <c r="E1231" s="175">
        <v>3</v>
      </c>
      <c r="F1231" s="175">
        <v>71.81</v>
      </c>
      <c r="G1231" s="176">
        <v>215.43</v>
      </c>
      <c r="H1231" s="101">
        <v>902</v>
      </c>
      <c r="K1231"/>
    </row>
    <row r="1232" spans="1:11" x14ac:dyDescent="0.25">
      <c r="A1232" s="174">
        <v>41205</v>
      </c>
      <c r="B1232" s="161" t="s">
        <v>30</v>
      </c>
      <c r="C1232" s="98" t="s">
        <v>969</v>
      </c>
      <c r="D1232" s="98" t="s">
        <v>26</v>
      </c>
      <c r="E1232" s="175">
        <v>8</v>
      </c>
      <c r="F1232" s="175">
        <v>71.81</v>
      </c>
      <c r="G1232" s="176">
        <v>574.48</v>
      </c>
      <c r="H1232" s="101">
        <v>902</v>
      </c>
      <c r="K1232"/>
    </row>
    <row r="1233" spans="1:11" x14ac:dyDescent="0.25">
      <c r="A1233" s="174">
        <v>41207</v>
      </c>
      <c r="B1233" s="161" t="s">
        <v>30</v>
      </c>
      <c r="C1233" s="98" t="s">
        <v>969</v>
      </c>
      <c r="D1233" s="98" t="s">
        <v>26</v>
      </c>
      <c r="E1233" s="175">
        <v>8</v>
      </c>
      <c r="F1233" s="175">
        <v>71.81</v>
      </c>
      <c r="G1233" s="176">
        <v>574.48</v>
      </c>
      <c r="H1233" s="101">
        <v>902</v>
      </c>
      <c r="K1233"/>
    </row>
    <row r="1234" spans="1:11" x14ac:dyDescent="0.25">
      <c r="A1234" s="174">
        <v>41214</v>
      </c>
      <c r="B1234" s="161" t="s">
        <v>30</v>
      </c>
      <c r="C1234" s="98" t="s">
        <v>969</v>
      </c>
      <c r="D1234" s="98" t="s">
        <v>26</v>
      </c>
      <c r="E1234" s="175">
        <v>8</v>
      </c>
      <c r="F1234" s="175">
        <v>71.81</v>
      </c>
      <c r="G1234" s="176">
        <v>574.48</v>
      </c>
      <c r="H1234" s="101">
        <v>902</v>
      </c>
      <c r="K1234"/>
    </row>
    <row r="1235" spans="1:11" x14ac:dyDescent="0.25">
      <c r="A1235" s="177" t="s">
        <v>643</v>
      </c>
      <c r="B1235" s="178" t="s">
        <v>974</v>
      </c>
      <c r="C1235" s="179" t="s">
        <v>643</v>
      </c>
      <c r="D1235" s="179" t="s">
        <v>643</v>
      </c>
      <c r="E1235" s="180"/>
      <c r="F1235" s="180"/>
      <c r="G1235" s="181">
        <v>49348.499499999991</v>
      </c>
      <c r="H1235" s="188" t="s">
        <v>643</v>
      </c>
      <c r="K1235"/>
    </row>
    <row r="1236" spans="1:11" x14ac:dyDescent="0.25">
      <c r="A1236" s="174" t="s">
        <v>643</v>
      </c>
      <c r="B1236" s="161" t="s">
        <v>643</v>
      </c>
      <c r="C1236" s="98" t="s">
        <v>643</v>
      </c>
      <c r="D1236" s="98" t="s">
        <v>643</v>
      </c>
      <c r="E1236" s="175"/>
      <c r="F1236" s="175"/>
      <c r="G1236" s="176"/>
      <c r="H1236" s="101" t="s">
        <v>643</v>
      </c>
      <c r="K1236"/>
    </row>
    <row r="1237" spans="1:11" x14ac:dyDescent="0.25">
      <c r="A1237" s="171" t="s">
        <v>643</v>
      </c>
      <c r="B1237" s="164" t="s">
        <v>1197</v>
      </c>
      <c r="C1237" s="100" t="s">
        <v>643</v>
      </c>
      <c r="D1237" s="100" t="s">
        <v>643</v>
      </c>
      <c r="E1237" s="172"/>
      <c r="F1237" s="172"/>
      <c r="G1237" s="173"/>
      <c r="H1237" s="187" t="s">
        <v>643</v>
      </c>
      <c r="K1237"/>
    </row>
    <row r="1238" spans="1:11" x14ac:dyDescent="0.25">
      <c r="A1238" s="174">
        <v>40800</v>
      </c>
      <c r="B1238" s="161" t="s">
        <v>975</v>
      </c>
      <c r="C1238" s="98" t="s">
        <v>976</v>
      </c>
      <c r="D1238" s="98" t="s">
        <v>715</v>
      </c>
      <c r="E1238" s="175">
        <v>1</v>
      </c>
      <c r="F1238" s="175">
        <v>85.41</v>
      </c>
      <c r="G1238" s="176">
        <v>85.41</v>
      </c>
      <c r="H1238" s="101">
        <v>903</v>
      </c>
      <c r="K1238"/>
    </row>
    <row r="1239" spans="1:11" x14ac:dyDescent="0.25">
      <c r="A1239" s="174">
        <v>40816</v>
      </c>
      <c r="B1239" s="161" t="s">
        <v>977</v>
      </c>
      <c r="C1239" s="98" t="s">
        <v>846</v>
      </c>
      <c r="D1239" s="98" t="s">
        <v>715</v>
      </c>
      <c r="E1239" s="175">
        <v>1</v>
      </c>
      <c r="F1239" s="175">
        <v>369.98</v>
      </c>
      <c r="G1239" s="176">
        <v>369.98</v>
      </c>
      <c r="H1239" s="101">
        <v>903</v>
      </c>
      <c r="K1239"/>
    </row>
    <row r="1240" spans="1:11" ht="30" x14ac:dyDescent="0.25">
      <c r="A1240" s="174">
        <v>40816</v>
      </c>
      <c r="B1240" s="161" t="s">
        <v>978</v>
      </c>
      <c r="C1240" s="98" t="s">
        <v>979</v>
      </c>
      <c r="D1240" s="98" t="s">
        <v>715</v>
      </c>
      <c r="E1240" s="175">
        <v>1</v>
      </c>
      <c r="F1240" s="175">
        <v>274</v>
      </c>
      <c r="G1240" s="176">
        <v>274</v>
      </c>
      <c r="H1240" s="101">
        <v>903</v>
      </c>
      <c r="K1240"/>
    </row>
    <row r="1241" spans="1:11" x14ac:dyDescent="0.25">
      <c r="A1241" s="174">
        <v>40844</v>
      </c>
      <c r="B1241" s="161" t="s">
        <v>980</v>
      </c>
      <c r="C1241" s="98" t="s">
        <v>981</v>
      </c>
      <c r="D1241" s="98" t="s">
        <v>715</v>
      </c>
      <c r="E1241" s="175">
        <v>1</v>
      </c>
      <c r="F1241" s="175">
        <v>275.5</v>
      </c>
      <c r="G1241" s="176">
        <v>275.5</v>
      </c>
      <c r="H1241" s="101">
        <v>903</v>
      </c>
      <c r="K1241"/>
    </row>
    <row r="1242" spans="1:11" ht="30" x14ac:dyDescent="0.25">
      <c r="A1242" s="174">
        <v>40847</v>
      </c>
      <c r="B1242" s="161" t="s">
        <v>982</v>
      </c>
      <c r="C1242" s="98" t="s">
        <v>979</v>
      </c>
      <c r="D1242" s="98" t="s">
        <v>715</v>
      </c>
      <c r="E1242" s="175">
        <v>1</v>
      </c>
      <c r="F1242" s="175">
        <v>277.76</v>
      </c>
      <c r="G1242" s="176">
        <v>277.76</v>
      </c>
      <c r="H1242" s="101">
        <v>903</v>
      </c>
      <c r="K1242"/>
    </row>
    <row r="1243" spans="1:11" x14ac:dyDescent="0.25">
      <c r="A1243" s="174">
        <v>40847</v>
      </c>
      <c r="B1243" s="161" t="s">
        <v>983</v>
      </c>
      <c r="C1243" s="98" t="s">
        <v>979</v>
      </c>
      <c r="D1243" s="98" t="s">
        <v>715</v>
      </c>
      <c r="E1243" s="175">
        <v>1</v>
      </c>
      <c r="F1243" s="175">
        <v>837</v>
      </c>
      <c r="G1243" s="176">
        <v>837</v>
      </c>
      <c r="H1243" s="101">
        <v>903</v>
      </c>
      <c r="K1243"/>
    </row>
    <row r="1244" spans="1:11" ht="45" x14ac:dyDescent="0.25">
      <c r="A1244" s="174">
        <v>40847</v>
      </c>
      <c r="B1244" s="161" t="s">
        <v>984</v>
      </c>
      <c r="C1244" s="98" t="s">
        <v>846</v>
      </c>
      <c r="D1244" s="98" t="s">
        <v>715</v>
      </c>
      <c r="E1244" s="175">
        <v>1</v>
      </c>
      <c r="F1244" s="175">
        <v>2197.3000000000002</v>
      </c>
      <c r="G1244" s="176">
        <v>2197.3000000000002</v>
      </c>
      <c r="H1244" s="101">
        <v>903</v>
      </c>
      <c r="K1244"/>
    </row>
    <row r="1245" spans="1:11" x14ac:dyDescent="0.25">
      <c r="A1245" s="174">
        <v>40848</v>
      </c>
      <c r="B1245" s="161" t="s">
        <v>907</v>
      </c>
      <c r="C1245" s="98" t="s">
        <v>908</v>
      </c>
      <c r="D1245" s="98" t="s">
        <v>715</v>
      </c>
      <c r="E1245" s="175">
        <v>1</v>
      </c>
      <c r="F1245" s="175">
        <v>1080</v>
      </c>
      <c r="G1245" s="176">
        <v>1080</v>
      </c>
      <c r="H1245" s="101">
        <v>903</v>
      </c>
      <c r="K1245"/>
    </row>
    <row r="1246" spans="1:11" x14ac:dyDescent="0.25">
      <c r="A1246" s="174">
        <v>40850</v>
      </c>
      <c r="B1246" s="161" t="s">
        <v>773</v>
      </c>
      <c r="C1246" s="98" t="s">
        <v>774</v>
      </c>
      <c r="D1246" s="98" t="s">
        <v>26</v>
      </c>
      <c r="E1246" s="175">
        <v>10</v>
      </c>
      <c r="F1246" s="175">
        <v>95</v>
      </c>
      <c r="G1246" s="176">
        <v>950</v>
      </c>
      <c r="H1246" s="101">
        <v>903</v>
      </c>
      <c r="K1246"/>
    </row>
    <row r="1247" spans="1:11" x14ac:dyDescent="0.25">
      <c r="A1247" s="174">
        <v>40850</v>
      </c>
      <c r="B1247" s="161" t="s">
        <v>973</v>
      </c>
      <c r="C1247" s="98" t="s">
        <v>969</v>
      </c>
      <c r="D1247" s="98" t="s">
        <v>39</v>
      </c>
      <c r="E1247" s="175">
        <v>1</v>
      </c>
      <c r="F1247" s="175">
        <v>580</v>
      </c>
      <c r="G1247" s="176">
        <v>580</v>
      </c>
      <c r="H1247" s="101">
        <v>903</v>
      </c>
      <c r="K1247"/>
    </row>
    <row r="1248" spans="1:11" x14ac:dyDescent="0.25">
      <c r="A1248" s="174">
        <v>40851</v>
      </c>
      <c r="B1248" s="161" t="s">
        <v>973</v>
      </c>
      <c r="C1248" s="98" t="s">
        <v>969</v>
      </c>
      <c r="D1248" s="98" t="s">
        <v>39</v>
      </c>
      <c r="E1248" s="175">
        <v>0.6</v>
      </c>
      <c r="F1248" s="175">
        <v>580</v>
      </c>
      <c r="G1248" s="176">
        <v>348</v>
      </c>
      <c r="H1248" s="101">
        <v>903</v>
      </c>
      <c r="K1248"/>
    </row>
    <row r="1249" spans="1:11" x14ac:dyDescent="0.25">
      <c r="A1249" s="174">
        <v>40852</v>
      </c>
      <c r="B1249" s="161" t="s">
        <v>973</v>
      </c>
      <c r="C1249" s="98" t="s">
        <v>969</v>
      </c>
      <c r="D1249" s="98" t="s">
        <v>39</v>
      </c>
      <c r="E1249" s="175">
        <v>0.3</v>
      </c>
      <c r="F1249" s="175">
        <v>580</v>
      </c>
      <c r="G1249" s="176">
        <v>174</v>
      </c>
      <c r="H1249" s="101">
        <v>903</v>
      </c>
      <c r="K1249"/>
    </row>
    <row r="1250" spans="1:11" x14ac:dyDescent="0.25">
      <c r="A1250" s="174">
        <v>40854</v>
      </c>
      <c r="B1250" s="161" t="s">
        <v>985</v>
      </c>
      <c r="C1250" s="98" t="s">
        <v>846</v>
      </c>
      <c r="D1250" s="98" t="s">
        <v>715</v>
      </c>
      <c r="E1250" s="175">
        <v>1</v>
      </c>
      <c r="F1250" s="175">
        <v>53.71</v>
      </c>
      <c r="G1250" s="176">
        <v>53.71</v>
      </c>
      <c r="H1250" s="101">
        <v>903</v>
      </c>
      <c r="K1250"/>
    </row>
    <row r="1251" spans="1:11" x14ac:dyDescent="0.25">
      <c r="A1251" s="174">
        <v>40870</v>
      </c>
      <c r="B1251" s="161" t="s">
        <v>967</v>
      </c>
      <c r="C1251" s="98" t="s">
        <v>968</v>
      </c>
      <c r="D1251" s="98" t="s">
        <v>715</v>
      </c>
      <c r="E1251" s="175">
        <v>1</v>
      </c>
      <c r="F1251" s="175">
        <v>821.12</v>
      </c>
      <c r="G1251" s="176">
        <v>821.12</v>
      </c>
      <c r="H1251" s="101">
        <v>903</v>
      </c>
      <c r="K1251"/>
    </row>
    <row r="1252" spans="1:11" ht="30" x14ac:dyDescent="0.25">
      <c r="A1252" s="174">
        <v>40877</v>
      </c>
      <c r="B1252" s="161" t="s">
        <v>986</v>
      </c>
      <c r="C1252" s="98" t="s">
        <v>979</v>
      </c>
      <c r="D1252" s="98" t="s">
        <v>715</v>
      </c>
      <c r="E1252" s="175">
        <v>1</v>
      </c>
      <c r="F1252" s="175">
        <v>1228.01</v>
      </c>
      <c r="G1252" s="176">
        <v>1228.01</v>
      </c>
      <c r="H1252" s="101">
        <v>903</v>
      </c>
      <c r="K1252"/>
    </row>
    <row r="1253" spans="1:11" x14ac:dyDescent="0.25">
      <c r="A1253" s="174">
        <v>40897</v>
      </c>
      <c r="B1253" s="161" t="s">
        <v>987</v>
      </c>
      <c r="C1253" s="98" t="s">
        <v>988</v>
      </c>
      <c r="D1253" s="98" t="s">
        <v>715</v>
      </c>
      <c r="E1253" s="175">
        <v>1</v>
      </c>
      <c r="F1253" s="175">
        <v>170.45</v>
      </c>
      <c r="G1253" s="176">
        <v>170.45</v>
      </c>
      <c r="H1253" s="101">
        <v>903</v>
      </c>
      <c r="K1253"/>
    </row>
    <row r="1254" spans="1:11" ht="30" x14ac:dyDescent="0.25">
      <c r="A1254" s="174">
        <v>40898</v>
      </c>
      <c r="B1254" s="161" t="s">
        <v>989</v>
      </c>
      <c r="C1254" s="98" t="s">
        <v>988</v>
      </c>
      <c r="D1254" s="98" t="s">
        <v>715</v>
      </c>
      <c r="E1254" s="175">
        <v>1</v>
      </c>
      <c r="F1254" s="175">
        <v>170.45</v>
      </c>
      <c r="G1254" s="176">
        <v>170.45</v>
      </c>
      <c r="H1254" s="101">
        <v>903</v>
      </c>
      <c r="K1254"/>
    </row>
    <row r="1255" spans="1:11" x14ac:dyDescent="0.25">
      <c r="A1255" s="174">
        <v>40925</v>
      </c>
      <c r="B1255" s="161" t="s">
        <v>745</v>
      </c>
      <c r="C1255" s="98" t="s">
        <v>8</v>
      </c>
      <c r="D1255" s="98" t="s">
        <v>26</v>
      </c>
      <c r="E1255" s="175">
        <v>2</v>
      </c>
      <c r="F1255" s="175">
        <v>35.35</v>
      </c>
      <c r="G1255" s="176">
        <v>70.7</v>
      </c>
      <c r="H1255" s="101">
        <v>903</v>
      </c>
      <c r="K1255"/>
    </row>
    <row r="1256" spans="1:11" x14ac:dyDescent="0.25">
      <c r="A1256" s="174">
        <v>40925</v>
      </c>
      <c r="B1256" s="161" t="s">
        <v>745</v>
      </c>
      <c r="C1256" s="98" t="s">
        <v>8</v>
      </c>
      <c r="D1256" s="98" t="s">
        <v>26</v>
      </c>
      <c r="E1256" s="175">
        <v>2</v>
      </c>
      <c r="F1256" s="175">
        <v>35.35</v>
      </c>
      <c r="G1256" s="176">
        <v>70.7</v>
      </c>
      <c r="H1256" s="101">
        <v>903</v>
      </c>
      <c r="K1256"/>
    </row>
    <row r="1257" spans="1:11" x14ac:dyDescent="0.25">
      <c r="A1257" s="174">
        <v>40925</v>
      </c>
      <c r="B1257" s="161" t="s">
        <v>742</v>
      </c>
      <c r="C1257" s="98" t="s">
        <v>8</v>
      </c>
      <c r="D1257" s="98" t="s">
        <v>26</v>
      </c>
      <c r="E1257" s="175">
        <v>2</v>
      </c>
      <c r="F1257" s="175">
        <v>44.2</v>
      </c>
      <c r="G1257" s="176">
        <v>88.4</v>
      </c>
      <c r="H1257" s="101">
        <v>903</v>
      </c>
      <c r="K1257"/>
    </row>
    <row r="1258" spans="1:11" x14ac:dyDescent="0.25">
      <c r="A1258" s="174">
        <v>40925</v>
      </c>
      <c r="B1258" s="161" t="s">
        <v>745</v>
      </c>
      <c r="C1258" s="98" t="s">
        <v>8</v>
      </c>
      <c r="D1258" s="98" t="s">
        <v>26</v>
      </c>
      <c r="E1258" s="175">
        <v>2</v>
      </c>
      <c r="F1258" s="175">
        <v>35.35</v>
      </c>
      <c r="G1258" s="176">
        <v>70.7</v>
      </c>
      <c r="H1258" s="101">
        <v>903</v>
      </c>
      <c r="K1258"/>
    </row>
    <row r="1259" spans="1:11" x14ac:dyDescent="0.25">
      <c r="A1259" s="174">
        <v>40925</v>
      </c>
      <c r="B1259" s="161" t="s">
        <v>30</v>
      </c>
      <c r="C1259" s="98" t="s">
        <v>969</v>
      </c>
      <c r="D1259" s="98" t="s">
        <v>26</v>
      </c>
      <c r="E1259" s="175">
        <v>8</v>
      </c>
      <c r="F1259" s="175">
        <v>68.989999999999995</v>
      </c>
      <c r="G1259" s="176">
        <v>551.91999999999996</v>
      </c>
      <c r="H1259" s="101">
        <v>903</v>
      </c>
      <c r="K1259"/>
    </row>
    <row r="1260" spans="1:11" x14ac:dyDescent="0.25">
      <c r="A1260" s="174">
        <v>40966</v>
      </c>
      <c r="B1260" s="161" t="s">
        <v>745</v>
      </c>
      <c r="C1260" s="98" t="s">
        <v>8</v>
      </c>
      <c r="D1260" s="98" t="s">
        <v>26</v>
      </c>
      <c r="E1260" s="175">
        <v>8</v>
      </c>
      <c r="F1260" s="175">
        <v>35.35</v>
      </c>
      <c r="G1260" s="176">
        <v>282.8</v>
      </c>
      <c r="H1260" s="101">
        <v>903</v>
      </c>
      <c r="K1260"/>
    </row>
    <row r="1261" spans="1:11" x14ac:dyDescent="0.25">
      <c r="A1261" s="174">
        <v>40989</v>
      </c>
      <c r="B1261" s="161" t="s">
        <v>745</v>
      </c>
      <c r="C1261" s="98" t="s">
        <v>8</v>
      </c>
      <c r="D1261" s="98" t="s">
        <v>26</v>
      </c>
      <c r="E1261" s="175">
        <v>1.5</v>
      </c>
      <c r="F1261" s="175">
        <v>35.35</v>
      </c>
      <c r="G1261" s="176">
        <v>53.024999999999999</v>
      </c>
      <c r="H1261" s="101">
        <v>903</v>
      </c>
      <c r="K1261"/>
    </row>
    <row r="1262" spans="1:11" x14ac:dyDescent="0.25">
      <c r="A1262" s="174">
        <v>40989</v>
      </c>
      <c r="B1262" s="161" t="s">
        <v>745</v>
      </c>
      <c r="C1262" s="98" t="s">
        <v>8</v>
      </c>
      <c r="D1262" s="98" t="s">
        <v>26</v>
      </c>
      <c r="E1262" s="175">
        <v>1.5</v>
      </c>
      <c r="F1262" s="175">
        <v>35.35</v>
      </c>
      <c r="G1262" s="176">
        <v>53.024999999999999</v>
      </c>
      <c r="H1262" s="101">
        <v>903</v>
      </c>
      <c r="K1262"/>
    </row>
    <row r="1263" spans="1:11" x14ac:dyDescent="0.25">
      <c r="A1263" s="174">
        <v>41207</v>
      </c>
      <c r="B1263" s="161" t="s">
        <v>795</v>
      </c>
      <c r="C1263" s="98" t="s">
        <v>935</v>
      </c>
      <c r="D1263" s="98" t="s">
        <v>26</v>
      </c>
      <c r="E1263" s="175">
        <v>1.25</v>
      </c>
      <c r="F1263" s="175">
        <v>95</v>
      </c>
      <c r="G1263" s="176">
        <v>118.75</v>
      </c>
      <c r="H1263" s="101">
        <v>903</v>
      </c>
      <c r="K1263"/>
    </row>
    <row r="1264" spans="1:11" x14ac:dyDescent="0.25">
      <c r="A1264" s="177" t="s">
        <v>643</v>
      </c>
      <c r="B1264" s="178" t="s">
        <v>990</v>
      </c>
      <c r="C1264" s="179" t="s">
        <v>643</v>
      </c>
      <c r="D1264" s="179" t="s">
        <v>643</v>
      </c>
      <c r="E1264" s="180"/>
      <c r="F1264" s="180"/>
      <c r="G1264" s="181">
        <f>SUM(G1238:G1263)</f>
        <v>11252.710000000003</v>
      </c>
      <c r="H1264" s="188" t="s">
        <v>643</v>
      </c>
      <c r="K1264"/>
    </row>
    <row r="1265" spans="1:11" x14ac:dyDescent="0.25">
      <c r="A1265" s="174" t="s">
        <v>643</v>
      </c>
      <c r="B1265" s="161" t="s">
        <v>643</v>
      </c>
      <c r="C1265" s="98" t="s">
        <v>643</v>
      </c>
      <c r="D1265" s="98" t="s">
        <v>643</v>
      </c>
      <c r="E1265" s="175"/>
      <c r="F1265" s="175"/>
      <c r="G1265" s="176"/>
      <c r="H1265" s="101" t="s">
        <v>643</v>
      </c>
      <c r="K1265"/>
    </row>
    <row r="1266" spans="1:11" x14ac:dyDescent="0.25">
      <c r="A1266" s="171" t="s">
        <v>643</v>
      </c>
      <c r="B1266" s="164" t="s">
        <v>1198</v>
      </c>
      <c r="C1266" s="100" t="s">
        <v>643</v>
      </c>
      <c r="D1266" s="100" t="s">
        <v>643</v>
      </c>
      <c r="E1266" s="172"/>
      <c r="F1266" s="172"/>
      <c r="G1266" s="173"/>
      <c r="H1266" s="187" t="s">
        <v>643</v>
      </c>
      <c r="K1266"/>
    </row>
    <row r="1267" spans="1:11" x14ac:dyDescent="0.25">
      <c r="A1267" s="174">
        <v>40806</v>
      </c>
      <c r="B1267" s="161" t="s">
        <v>991</v>
      </c>
      <c r="C1267" s="98" t="s">
        <v>992</v>
      </c>
      <c r="D1267" s="98" t="s">
        <v>715</v>
      </c>
      <c r="E1267" s="175">
        <v>1</v>
      </c>
      <c r="F1267" s="175">
        <v>3922</v>
      </c>
      <c r="G1267" s="176">
        <v>3922</v>
      </c>
      <c r="H1267" s="101">
        <v>904</v>
      </c>
      <c r="K1267"/>
    </row>
    <row r="1268" spans="1:11" ht="30" x14ac:dyDescent="0.25">
      <c r="A1268" s="174">
        <v>40841</v>
      </c>
      <c r="B1268" s="161" t="s">
        <v>823</v>
      </c>
      <c r="C1268" s="98" t="s">
        <v>992</v>
      </c>
      <c r="D1268" s="98" t="s">
        <v>715</v>
      </c>
      <c r="E1268" s="175">
        <v>1</v>
      </c>
      <c r="F1268" s="175">
        <v>213.12</v>
      </c>
      <c r="G1268" s="176">
        <v>213.12</v>
      </c>
      <c r="H1268" s="101">
        <v>904</v>
      </c>
      <c r="K1268"/>
    </row>
    <row r="1269" spans="1:11" ht="30" x14ac:dyDescent="0.25">
      <c r="A1269" s="174">
        <v>40847</v>
      </c>
      <c r="B1269" s="161" t="s">
        <v>993</v>
      </c>
      <c r="C1269" s="98" t="s">
        <v>992</v>
      </c>
      <c r="D1269" s="98" t="s">
        <v>715</v>
      </c>
      <c r="E1269" s="175">
        <v>1</v>
      </c>
      <c r="F1269" s="175">
        <v>435.6</v>
      </c>
      <c r="G1269" s="176">
        <v>435.6</v>
      </c>
      <c r="H1269" s="101">
        <v>904</v>
      </c>
      <c r="K1269"/>
    </row>
    <row r="1270" spans="1:11" ht="30" x14ac:dyDescent="0.25">
      <c r="A1270" s="174">
        <v>40847</v>
      </c>
      <c r="B1270" s="161" t="s">
        <v>994</v>
      </c>
      <c r="C1270" s="98" t="s">
        <v>992</v>
      </c>
      <c r="D1270" s="98" t="s">
        <v>715</v>
      </c>
      <c r="E1270" s="175">
        <v>1</v>
      </c>
      <c r="F1270" s="175">
        <v>540</v>
      </c>
      <c r="G1270" s="176">
        <v>540</v>
      </c>
      <c r="H1270" s="101">
        <v>904</v>
      </c>
      <c r="K1270"/>
    </row>
    <row r="1271" spans="1:11" ht="30" x14ac:dyDescent="0.25">
      <c r="A1271" s="174">
        <v>40847</v>
      </c>
      <c r="B1271" s="161" t="s">
        <v>995</v>
      </c>
      <c r="C1271" s="98" t="s">
        <v>992</v>
      </c>
      <c r="D1271" s="98" t="s">
        <v>715</v>
      </c>
      <c r="E1271" s="175">
        <v>1</v>
      </c>
      <c r="F1271" s="175">
        <v>612</v>
      </c>
      <c r="G1271" s="176">
        <v>612</v>
      </c>
      <c r="H1271" s="101">
        <v>904</v>
      </c>
      <c r="K1271"/>
    </row>
    <row r="1272" spans="1:11" x14ac:dyDescent="0.25">
      <c r="A1272" s="177" t="s">
        <v>643</v>
      </c>
      <c r="B1272" s="178" t="s">
        <v>996</v>
      </c>
      <c r="C1272" s="179" t="s">
        <v>643</v>
      </c>
      <c r="D1272" s="179" t="s">
        <v>643</v>
      </c>
      <c r="E1272" s="180"/>
      <c r="F1272" s="180"/>
      <c r="G1272" s="181">
        <v>5722.72</v>
      </c>
      <c r="H1272" s="188" t="s">
        <v>643</v>
      </c>
      <c r="K1272"/>
    </row>
    <row r="1273" spans="1:11" x14ac:dyDescent="0.25">
      <c r="A1273" s="174" t="s">
        <v>643</v>
      </c>
      <c r="B1273" s="161" t="s">
        <v>643</v>
      </c>
      <c r="C1273" s="98" t="s">
        <v>643</v>
      </c>
      <c r="D1273" s="98" t="s">
        <v>643</v>
      </c>
      <c r="E1273" s="175"/>
      <c r="F1273" s="175"/>
      <c r="G1273" s="176"/>
      <c r="H1273" s="101" t="s">
        <v>643</v>
      </c>
      <c r="K1273"/>
    </row>
    <row r="1274" spans="1:11" x14ac:dyDescent="0.25">
      <c r="A1274" s="171" t="s">
        <v>643</v>
      </c>
      <c r="B1274" s="164" t="s">
        <v>1199</v>
      </c>
      <c r="C1274" s="100" t="s">
        <v>643</v>
      </c>
      <c r="D1274" s="100" t="s">
        <v>643</v>
      </c>
      <c r="E1274" s="172"/>
      <c r="F1274" s="172"/>
      <c r="G1274" s="173"/>
      <c r="H1274" s="187" t="s">
        <v>643</v>
      </c>
      <c r="K1274"/>
    </row>
    <row r="1275" spans="1:11" x14ac:dyDescent="0.25">
      <c r="A1275" s="174">
        <v>40787</v>
      </c>
      <c r="B1275" s="161" t="s">
        <v>997</v>
      </c>
      <c r="C1275" s="98" t="s">
        <v>998</v>
      </c>
      <c r="D1275" s="98" t="s">
        <v>715</v>
      </c>
      <c r="E1275" s="175">
        <v>1</v>
      </c>
      <c r="F1275" s="175">
        <v>90.9</v>
      </c>
      <c r="G1275" s="176">
        <v>90.9</v>
      </c>
      <c r="H1275" s="101">
        <v>905</v>
      </c>
      <c r="K1275"/>
    </row>
    <row r="1276" spans="1:11" ht="30" x14ac:dyDescent="0.25">
      <c r="A1276" s="174">
        <v>40787</v>
      </c>
      <c r="B1276" s="161" t="s">
        <v>999</v>
      </c>
      <c r="C1276" s="98" t="s">
        <v>998</v>
      </c>
      <c r="D1276" s="98" t="s">
        <v>715</v>
      </c>
      <c r="E1276" s="175">
        <v>1</v>
      </c>
      <c r="F1276" s="175">
        <v>91.43</v>
      </c>
      <c r="G1276" s="176">
        <v>91.43</v>
      </c>
      <c r="H1276" s="101">
        <v>905</v>
      </c>
      <c r="K1276"/>
    </row>
    <row r="1277" spans="1:11" x14ac:dyDescent="0.25">
      <c r="A1277" s="174">
        <v>40793</v>
      </c>
      <c r="B1277" s="161" t="s">
        <v>1000</v>
      </c>
      <c r="C1277" s="98" t="s">
        <v>998</v>
      </c>
      <c r="D1277" s="98" t="s">
        <v>715</v>
      </c>
      <c r="E1277" s="175">
        <v>1</v>
      </c>
      <c r="F1277" s="175">
        <v>290</v>
      </c>
      <c r="G1277" s="176">
        <v>290</v>
      </c>
      <c r="H1277" s="101">
        <v>905</v>
      </c>
      <c r="K1277"/>
    </row>
    <row r="1278" spans="1:11" x14ac:dyDescent="0.25">
      <c r="A1278" s="174">
        <v>40797</v>
      </c>
      <c r="B1278" s="161" t="s">
        <v>1001</v>
      </c>
      <c r="C1278" s="98" t="s">
        <v>998</v>
      </c>
      <c r="D1278" s="98" t="s">
        <v>715</v>
      </c>
      <c r="E1278" s="175">
        <v>1</v>
      </c>
      <c r="F1278" s="175">
        <v>340.91</v>
      </c>
      <c r="G1278" s="176">
        <v>340.91</v>
      </c>
      <c r="H1278" s="101">
        <v>905</v>
      </c>
      <c r="K1278"/>
    </row>
    <row r="1279" spans="1:11" x14ac:dyDescent="0.25">
      <c r="A1279" s="174">
        <v>40799</v>
      </c>
      <c r="B1279" s="161" t="s">
        <v>1002</v>
      </c>
      <c r="C1279" s="98" t="s">
        <v>998</v>
      </c>
      <c r="D1279" s="98" t="s">
        <v>715</v>
      </c>
      <c r="E1279" s="175">
        <v>1</v>
      </c>
      <c r="F1279" s="175">
        <v>60.62</v>
      </c>
      <c r="G1279" s="176">
        <v>60.62</v>
      </c>
      <c r="H1279" s="101">
        <v>905</v>
      </c>
      <c r="K1279"/>
    </row>
    <row r="1280" spans="1:11" x14ac:dyDescent="0.25">
      <c r="A1280" s="174">
        <v>40806</v>
      </c>
      <c r="B1280" s="161" t="s">
        <v>1003</v>
      </c>
      <c r="C1280" s="98" t="s">
        <v>998</v>
      </c>
      <c r="D1280" s="98" t="s">
        <v>715</v>
      </c>
      <c r="E1280" s="175">
        <v>1</v>
      </c>
      <c r="F1280" s="175">
        <v>46.11</v>
      </c>
      <c r="G1280" s="176">
        <v>46.11</v>
      </c>
      <c r="H1280" s="101">
        <v>905</v>
      </c>
      <c r="K1280"/>
    </row>
    <row r="1281" spans="1:11" x14ac:dyDescent="0.25">
      <c r="A1281" s="174">
        <v>40806</v>
      </c>
      <c r="B1281" s="161" t="s">
        <v>1004</v>
      </c>
      <c r="C1281" s="98" t="s">
        <v>998</v>
      </c>
      <c r="D1281" s="98" t="s">
        <v>715</v>
      </c>
      <c r="E1281" s="175">
        <v>1</v>
      </c>
      <c r="F1281" s="175">
        <v>32.417999999999999</v>
      </c>
      <c r="G1281" s="176">
        <v>32.417999999999999</v>
      </c>
      <c r="H1281" s="101">
        <v>905</v>
      </c>
      <c r="K1281"/>
    </row>
    <row r="1282" spans="1:11" x14ac:dyDescent="0.25">
      <c r="A1282" s="174">
        <v>40808</v>
      </c>
      <c r="B1282" s="161" t="s">
        <v>1005</v>
      </c>
      <c r="C1282" s="98" t="s">
        <v>998</v>
      </c>
      <c r="D1282" s="98" t="s">
        <v>715</v>
      </c>
      <c r="E1282" s="175">
        <v>1</v>
      </c>
      <c r="F1282" s="175">
        <v>110.88</v>
      </c>
      <c r="G1282" s="176">
        <v>110.88</v>
      </c>
      <c r="H1282" s="101">
        <v>905</v>
      </c>
      <c r="K1282"/>
    </row>
    <row r="1283" spans="1:11" x14ac:dyDescent="0.25">
      <c r="A1283" s="174">
        <v>40814</v>
      </c>
      <c r="B1283" s="161" t="s">
        <v>1006</v>
      </c>
      <c r="C1283" s="98" t="s">
        <v>998</v>
      </c>
      <c r="D1283" s="98" t="s">
        <v>715</v>
      </c>
      <c r="E1283" s="175">
        <v>1</v>
      </c>
      <c r="F1283" s="175">
        <v>25.27</v>
      </c>
      <c r="G1283" s="176">
        <v>25.27</v>
      </c>
      <c r="H1283" s="101">
        <v>905</v>
      </c>
      <c r="K1283"/>
    </row>
    <row r="1284" spans="1:11" ht="30" x14ac:dyDescent="0.25">
      <c r="A1284" s="174">
        <v>40814</v>
      </c>
      <c r="B1284" s="161" t="s">
        <v>1007</v>
      </c>
      <c r="C1284" s="98" t="s">
        <v>998</v>
      </c>
      <c r="D1284" s="98" t="s">
        <v>715</v>
      </c>
      <c r="E1284" s="175">
        <v>1</v>
      </c>
      <c r="F1284" s="175">
        <v>144.52000000000001</v>
      </c>
      <c r="G1284" s="176">
        <v>144.52000000000001</v>
      </c>
      <c r="H1284" s="101">
        <v>905</v>
      </c>
      <c r="K1284"/>
    </row>
    <row r="1285" spans="1:11" ht="30" x14ac:dyDescent="0.25">
      <c r="A1285" s="174">
        <v>40816</v>
      </c>
      <c r="B1285" s="161" t="s">
        <v>1008</v>
      </c>
      <c r="C1285" s="98" t="s">
        <v>998</v>
      </c>
      <c r="D1285" s="98" t="s">
        <v>715</v>
      </c>
      <c r="E1285" s="175">
        <v>1</v>
      </c>
      <c r="F1285" s="175">
        <v>2144</v>
      </c>
      <c r="G1285" s="176">
        <v>2144</v>
      </c>
      <c r="H1285" s="101">
        <v>905</v>
      </c>
      <c r="K1285"/>
    </row>
    <row r="1286" spans="1:11" x14ac:dyDescent="0.25">
      <c r="A1286" s="174">
        <v>40821</v>
      </c>
      <c r="B1286" s="161" t="s">
        <v>1009</v>
      </c>
      <c r="C1286" s="98" t="s">
        <v>998</v>
      </c>
      <c r="D1286" s="98" t="s">
        <v>715</v>
      </c>
      <c r="E1286" s="175">
        <v>1</v>
      </c>
      <c r="F1286" s="175">
        <v>142.31</v>
      </c>
      <c r="G1286" s="176">
        <v>142.31</v>
      </c>
      <c r="H1286" s="101">
        <v>905</v>
      </c>
      <c r="K1286"/>
    </row>
    <row r="1287" spans="1:11" x14ac:dyDescent="0.25">
      <c r="A1287" s="174">
        <v>40821</v>
      </c>
      <c r="B1287" s="161" t="s">
        <v>1010</v>
      </c>
      <c r="C1287" s="98" t="s">
        <v>998</v>
      </c>
      <c r="D1287" s="98" t="s">
        <v>715</v>
      </c>
      <c r="E1287" s="175">
        <v>24</v>
      </c>
      <c r="F1287" s="175">
        <v>6.13</v>
      </c>
      <c r="G1287" s="176">
        <v>147.12</v>
      </c>
      <c r="H1287" s="101">
        <v>905</v>
      </c>
      <c r="K1287"/>
    </row>
    <row r="1288" spans="1:11" x14ac:dyDescent="0.25">
      <c r="A1288" s="174">
        <v>40822</v>
      </c>
      <c r="B1288" s="161" t="s">
        <v>1011</v>
      </c>
      <c r="C1288" s="98" t="s">
        <v>998</v>
      </c>
      <c r="D1288" s="98" t="s">
        <v>715</v>
      </c>
      <c r="E1288" s="175">
        <v>1</v>
      </c>
      <c r="F1288" s="175">
        <v>36.36</v>
      </c>
      <c r="G1288" s="176">
        <v>36.36</v>
      </c>
      <c r="H1288" s="101">
        <v>905</v>
      </c>
      <c r="K1288"/>
    </row>
    <row r="1289" spans="1:11" x14ac:dyDescent="0.25">
      <c r="A1289" s="174">
        <v>40835</v>
      </c>
      <c r="B1289" s="161" t="s">
        <v>1012</v>
      </c>
      <c r="C1289" s="98" t="s">
        <v>998</v>
      </c>
      <c r="D1289" s="98" t="s">
        <v>715</v>
      </c>
      <c r="E1289" s="175">
        <v>1</v>
      </c>
      <c r="F1289" s="175">
        <v>76.84</v>
      </c>
      <c r="G1289" s="176">
        <v>76.84</v>
      </c>
      <c r="H1289" s="101">
        <v>905</v>
      </c>
      <c r="K1289"/>
    </row>
    <row r="1290" spans="1:11" x14ac:dyDescent="0.25">
      <c r="A1290" s="174">
        <v>40846</v>
      </c>
      <c r="B1290" s="161" t="s">
        <v>1013</v>
      </c>
      <c r="C1290" s="98" t="s">
        <v>998</v>
      </c>
      <c r="D1290" s="98" t="s">
        <v>715</v>
      </c>
      <c r="E1290" s="175">
        <v>1</v>
      </c>
      <c r="F1290" s="175">
        <v>30.76</v>
      </c>
      <c r="G1290" s="176">
        <v>30.76</v>
      </c>
      <c r="H1290" s="101">
        <v>905</v>
      </c>
      <c r="K1290"/>
    </row>
    <row r="1291" spans="1:11" x14ac:dyDescent="0.25">
      <c r="A1291" s="174">
        <v>40854</v>
      </c>
      <c r="B1291" s="161" t="s">
        <v>1014</v>
      </c>
      <c r="C1291" s="98" t="s">
        <v>998</v>
      </c>
      <c r="D1291" s="98" t="s">
        <v>715</v>
      </c>
      <c r="E1291" s="175">
        <v>1</v>
      </c>
      <c r="F1291" s="175">
        <v>21.06</v>
      </c>
      <c r="G1291" s="176">
        <v>21.06</v>
      </c>
      <c r="H1291" s="101">
        <v>905</v>
      </c>
      <c r="K1291"/>
    </row>
    <row r="1292" spans="1:11" x14ac:dyDescent="0.25">
      <c r="A1292" s="174">
        <v>40854</v>
      </c>
      <c r="B1292" s="161" t="s">
        <v>1015</v>
      </c>
      <c r="C1292" s="98" t="s">
        <v>998</v>
      </c>
      <c r="D1292" s="98" t="s">
        <v>715</v>
      </c>
      <c r="E1292" s="175">
        <v>1</v>
      </c>
      <c r="F1292" s="175">
        <v>140.22</v>
      </c>
      <c r="G1292" s="176">
        <v>140.22</v>
      </c>
      <c r="H1292" s="101">
        <v>905</v>
      </c>
      <c r="K1292"/>
    </row>
    <row r="1293" spans="1:11" x14ac:dyDescent="0.25">
      <c r="A1293" s="174">
        <v>40855</v>
      </c>
      <c r="B1293" s="161" t="s">
        <v>1016</v>
      </c>
      <c r="C1293" s="98" t="s">
        <v>998</v>
      </c>
      <c r="D1293" s="98" t="s">
        <v>715</v>
      </c>
      <c r="E1293" s="175">
        <v>1</v>
      </c>
      <c r="F1293" s="175">
        <v>263.64</v>
      </c>
      <c r="G1293" s="176">
        <v>263.64</v>
      </c>
      <c r="H1293" s="101">
        <v>905</v>
      </c>
      <c r="K1293"/>
    </row>
    <row r="1294" spans="1:11" x14ac:dyDescent="0.25">
      <c r="A1294" s="174">
        <v>40856</v>
      </c>
      <c r="B1294" s="161" t="s">
        <v>1017</v>
      </c>
      <c r="C1294" s="98" t="s">
        <v>998</v>
      </c>
      <c r="D1294" s="98" t="s">
        <v>715</v>
      </c>
      <c r="E1294" s="175">
        <v>1</v>
      </c>
      <c r="F1294" s="175">
        <v>35.04</v>
      </c>
      <c r="G1294" s="176">
        <v>35.04</v>
      </c>
      <c r="H1294" s="101">
        <v>905</v>
      </c>
      <c r="K1294"/>
    </row>
    <row r="1295" spans="1:11" x14ac:dyDescent="0.25">
      <c r="A1295" s="174">
        <v>40858</v>
      </c>
      <c r="B1295" s="161" t="s">
        <v>1018</v>
      </c>
      <c r="C1295" s="98" t="s">
        <v>998</v>
      </c>
      <c r="D1295" s="98" t="s">
        <v>715</v>
      </c>
      <c r="E1295" s="175">
        <v>1</v>
      </c>
      <c r="F1295" s="175">
        <v>69.5</v>
      </c>
      <c r="G1295" s="176">
        <v>69.5</v>
      </c>
      <c r="H1295" s="101">
        <v>905</v>
      </c>
      <c r="K1295"/>
    </row>
    <row r="1296" spans="1:11" x14ac:dyDescent="0.25">
      <c r="A1296" s="174">
        <v>40871</v>
      </c>
      <c r="B1296" s="161" t="s">
        <v>1019</v>
      </c>
      <c r="C1296" s="98" t="s">
        <v>998</v>
      </c>
      <c r="D1296" s="98" t="s">
        <v>715</v>
      </c>
      <c r="E1296" s="175">
        <v>1</v>
      </c>
      <c r="F1296" s="175">
        <v>59.89</v>
      </c>
      <c r="G1296" s="176">
        <v>59.89</v>
      </c>
      <c r="H1296" s="101">
        <v>905</v>
      </c>
      <c r="K1296"/>
    </row>
    <row r="1297" spans="1:11" x14ac:dyDescent="0.25">
      <c r="A1297" s="174">
        <v>40885</v>
      </c>
      <c r="B1297" s="161" t="s">
        <v>1020</v>
      </c>
      <c r="C1297" s="98" t="s">
        <v>998</v>
      </c>
      <c r="D1297" s="98" t="s">
        <v>715</v>
      </c>
      <c r="E1297" s="175">
        <v>1</v>
      </c>
      <c r="F1297" s="175">
        <v>69.5</v>
      </c>
      <c r="G1297" s="176">
        <v>69.5</v>
      </c>
      <c r="H1297" s="101">
        <v>905</v>
      </c>
      <c r="K1297"/>
    </row>
    <row r="1298" spans="1:11" ht="30" x14ac:dyDescent="0.25">
      <c r="A1298" s="174">
        <v>40919</v>
      </c>
      <c r="B1298" s="161" t="s">
        <v>1021</v>
      </c>
      <c r="C1298" s="98" t="s">
        <v>998</v>
      </c>
      <c r="D1298" s="98" t="s">
        <v>715</v>
      </c>
      <c r="E1298" s="175">
        <v>1</v>
      </c>
      <c r="F1298" s="175">
        <v>27.7</v>
      </c>
      <c r="G1298" s="176">
        <v>27.7</v>
      </c>
      <c r="H1298" s="101">
        <v>905</v>
      </c>
      <c r="K1298"/>
    </row>
    <row r="1299" spans="1:11" x14ac:dyDescent="0.25">
      <c r="A1299" s="174">
        <v>40919</v>
      </c>
      <c r="B1299" s="161" t="s">
        <v>1022</v>
      </c>
      <c r="C1299" s="98" t="s">
        <v>998</v>
      </c>
      <c r="D1299" s="98" t="s">
        <v>715</v>
      </c>
      <c r="E1299" s="175">
        <v>1</v>
      </c>
      <c r="F1299" s="175">
        <v>27.91</v>
      </c>
      <c r="G1299" s="176">
        <v>27.91</v>
      </c>
      <c r="H1299" s="101">
        <v>905</v>
      </c>
      <c r="K1299"/>
    </row>
    <row r="1300" spans="1:11" x14ac:dyDescent="0.25">
      <c r="A1300" s="174">
        <v>40920</v>
      </c>
      <c r="B1300" s="161" t="s">
        <v>1023</v>
      </c>
      <c r="C1300" s="98" t="s">
        <v>998</v>
      </c>
      <c r="D1300" s="98" t="s">
        <v>715</v>
      </c>
      <c r="E1300" s="175">
        <v>1</v>
      </c>
      <c r="F1300" s="175">
        <v>178.91</v>
      </c>
      <c r="G1300" s="176">
        <v>178.91</v>
      </c>
      <c r="H1300" s="101">
        <v>905</v>
      </c>
      <c r="K1300"/>
    </row>
    <row r="1301" spans="1:11" x14ac:dyDescent="0.25">
      <c r="A1301" s="174">
        <v>40929</v>
      </c>
      <c r="B1301" s="161" t="s">
        <v>1024</v>
      </c>
      <c r="C1301" s="98" t="s">
        <v>998</v>
      </c>
      <c r="D1301" s="98" t="s">
        <v>715</v>
      </c>
      <c r="E1301" s="175">
        <v>40</v>
      </c>
      <c r="F1301" s="175">
        <v>9.4499999999999993</v>
      </c>
      <c r="G1301" s="176">
        <v>378</v>
      </c>
      <c r="H1301" s="101">
        <v>905</v>
      </c>
      <c r="K1301"/>
    </row>
    <row r="1302" spans="1:11" ht="30" x14ac:dyDescent="0.25">
      <c r="A1302" s="174">
        <v>40933</v>
      </c>
      <c r="B1302" s="161" t="s">
        <v>1025</v>
      </c>
      <c r="C1302" s="98" t="s">
        <v>998</v>
      </c>
      <c r="D1302" s="98" t="s">
        <v>715</v>
      </c>
      <c r="E1302" s="175">
        <v>1</v>
      </c>
      <c r="F1302" s="175">
        <v>397.4</v>
      </c>
      <c r="G1302" s="176">
        <v>397.4</v>
      </c>
      <c r="H1302" s="101">
        <v>905</v>
      </c>
      <c r="K1302"/>
    </row>
    <row r="1303" spans="1:11" ht="30" x14ac:dyDescent="0.25">
      <c r="A1303" s="174">
        <v>40945</v>
      </c>
      <c r="B1303" s="161" t="s">
        <v>1026</v>
      </c>
      <c r="C1303" s="98" t="s">
        <v>998</v>
      </c>
      <c r="D1303" s="98" t="s">
        <v>715</v>
      </c>
      <c r="E1303" s="175">
        <v>1</v>
      </c>
      <c r="F1303" s="175">
        <v>158.52000000000001</v>
      </c>
      <c r="G1303" s="176">
        <v>158.52000000000001</v>
      </c>
      <c r="H1303" s="101">
        <v>905</v>
      </c>
      <c r="K1303"/>
    </row>
    <row r="1304" spans="1:11" ht="30" x14ac:dyDescent="0.25">
      <c r="A1304" s="174">
        <v>40960</v>
      </c>
      <c r="B1304" s="161" t="s">
        <v>1027</v>
      </c>
      <c r="C1304" s="98" t="s">
        <v>998</v>
      </c>
      <c r="D1304" s="98" t="s">
        <v>715</v>
      </c>
      <c r="E1304" s="175">
        <v>1</v>
      </c>
      <c r="F1304" s="175">
        <v>81.86</v>
      </c>
      <c r="G1304" s="176">
        <v>81.86</v>
      </c>
      <c r="H1304" s="101">
        <v>905</v>
      </c>
      <c r="K1304"/>
    </row>
    <row r="1305" spans="1:11" x14ac:dyDescent="0.25">
      <c r="A1305" s="174">
        <v>40961</v>
      </c>
      <c r="B1305" s="161" t="s">
        <v>1028</v>
      </c>
      <c r="C1305" s="98" t="s">
        <v>998</v>
      </c>
      <c r="D1305" s="98" t="s">
        <v>715</v>
      </c>
      <c r="E1305" s="175">
        <v>1</v>
      </c>
      <c r="F1305" s="175">
        <v>24.59</v>
      </c>
      <c r="G1305" s="176">
        <v>24.59</v>
      </c>
      <c r="H1305" s="101">
        <v>905</v>
      </c>
      <c r="K1305"/>
    </row>
    <row r="1306" spans="1:11" x14ac:dyDescent="0.25">
      <c r="A1306" s="174">
        <v>40975</v>
      </c>
      <c r="B1306" s="161" t="s">
        <v>1029</v>
      </c>
      <c r="C1306" s="98" t="s">
        <v>998</v>
      </c>
      <c r="D1306" s="98" t="s">
        <v>715</v>
      </c>
      <c r="E1306" s="175">
        <v>1</v>
      </c>
      <c r="F1306" s="175">
        <v>93.63</v>
      </c>
      <c r="G1306" s="176">
        <v>93.63</v>
      </c>
      <c r="H1306" s="101">
        <v>905</v>
      </c>
      <c r="K1306"/>
    </row>
    <row r="1307" spans="1:11" x14ac:dyDescent="0.25">
      <c r="A1307" s="174">
        <v>41206</v>
      </c>
      <c r="B1307" s="161" t="s">
        <v>1030</v>
      </c>
      <c r="C1307" s="98" t="s">
        <v>998</v>
      </c>
      <c r="D1307" s="98" t="s">
        <v>715</v>
      </c>
      <c r="E1307" s="175">
        <v>1</v>
      </c>
      <c r="F1307" s="175">
        <v>11.36</v>
      </c>
      <c r="G1307" s="176">
        <v>11.36</v>
      </c>
      <c r="H1307" s="101">
        <v>905</v>
      </c>
      <c r="K1307"/>
    </row>
    <row r="1308" spans="1:11" x14ac:dyDescent="0.25">
      <c r="A1308" s="177" t="s">
        <v>643</v>
      </c>
      <c r="B1308" s="178" t="s">
        <v>1031</v>
      </c>
      <c r="C1308" s="179" t="s">
        <v>643</v>
      </c>
      <c r="D1308" s="179" t="s">
        <v>643</v>
      </c>
      <c r="E1308" s="180"/>
      <c r="F1308" s="180"/>
      <c r="G1308" s="181">
        <v>5849.1779999999999</v>
      </c>
      <c r="H1308" s="188" t="s">
        <v>643</v>
      </c>
      <c r="K1308"/>
    </row>
    <row r="1309" spans="1:11" x14ac:dyDescent="0.25">
      <c r="A1309" s="174" t="s">
        <v>643</v>
      </c>
      <c r="B1309" s="161" t="s">
        <v>643</v>
      </c>
      <c r="C1309" s="98" t="s">
        <v>643</v>
      </c>
      <c r="D1309" s="98" t="s">
        <v>643</v>
      </c>
      <c r="E1309" s="175"/>
      <c r="F1309" s="175"/>
      <c r="G1309" s="176"/>
      <c r="H1309" s="101" t="s">
        <v>643</v>
      </c>
      <c r="K1309"/>
    </row>
    <row r="1310" spans="1:11" x14ac:dyDescent="0.25">
      <c r="A1310" s="171" t="s">
        <v>643</v>
      </c>
      <c r="B1310" s="164" t="s">
        <v>1200</v>
      </c>
      <c r="C1310" s="100" t="s">
        <v>643</v>
      </c>
      <c r="D1310" s="100" t="s">
        <v>643</v>
      </c>
      <c r="E1310" s="172"/>
      <c r="F1310" s="172"/>
      <c r="G1310" s="173"/>
      <c r="H1310" s="187" t="s">
        <v>643</v>
      </c>
      <c r="K1310"/>
    </row>
    <row r="1311" spans="1:11" ht="30" x14ac:dyDescent="0.25">
      <c r="A1311" s="174">
        <v>40787</v>
      </c>
      <c r="B1311" s="161" t="s">
        <v>1032</v>
      </c>
      <c r="C1311" s="98" t="s">
        <v>988</v>
      </c>
      <c r="D1311" s="98" t="s">
        <v>715</v>
      </c>
      <c r="E1311" s="175">
        <v>1</v>
      </c>
      <c r="F1311" s="175">
        <v>1800</v>
      </c>
      <c r="G1311" s="176">
        <v>1800</v>
      </c>
      <c r="H1311" s="101">
        <v>907</v>
      </c>
      <c r="K1311"/>
    </row>
    <row r="1312" spans="1:11" x14ac:dyDescent="0.25">
      <c r="A1312" s="174">
        <v>40793</v>
      </c>
      <c r="B1312" s="161" t="s">
        <v>1033</v>
      </c>
      <c r="C1312" s="98" t="s">
        <v>976</v>
      </c>
      <c r="D1312" s="98" t="s">
        <v>715</v>
      </c>
      <c r="E1312" s="175">
        <v>1</v>
      </c>
      <c r="F1312" s="175">
        <v>100</v>
      </c>
      <c r="G1312" s="176">
        <v>100</v>
      </c>
      <c r="H1312" s="101">
        <v>907</v>
      </c>
      <c r="K1312"/>
    </row>
    <row r="1313" spans="1:11" x14ac:dyDescent="0.25">
      <c r="A1313" s="174">
        <v>40805</v>
      </c>
      <c r="B1313" s="161" t="s">
        <v>1034</v>
      </c>
      <c r="C1313" s="98" t="s">
        <v>1035</v>
      </c>
      <c r="D1313" s="98" t="s">
        <v>715</v>
      </c>
      <c r="E1313" s="175">
        <v>1</v>
      </c>
      <c r="F1313" s="175">
        <v>1373.27</v>
      </c>
      <c r="G1313" s="176">
        <v>1373.27</v>
      </c>
      <c r="H1313" s="101">
        <v>907</v>
      </c>
      <c r="K1313"/>
    </row>
    <row r="1314" spans="1:11" x14ac:dyDescent="0.25">
      <c r="A1314" s="174">
        <v>40811</v>
      </c>
      <c r="B1314" s="161" t="s">
        <v>1036</v>
      </c>
      <c r="C1314" s="98" t="s">
        <v>750</v>
      </c>
      <c r="D1314" s="98" t="s">
        <v>26</v>
      </c>
      <c r="E1314" s="175">
        <v>3.5</v>
      </c>
      <c r="F1314" s="175">
        <v>125</v>
      </c>
      <c r="G1314" s="176">
        <v>437.5</v>
      </c>
      <c r="H1314" s="101">
        <v>907</v>
      </c>
      <c r="K1314"/>
    </row>
    <row r="1315" spans="1:11" ht="30" x14ac:dyDescent="0.25">
      <c r="A1315" s="174">
        <v>40816</v>
      </c>
      <c r="B1315" s="161" t="s">
        <v>1037</v>
      </c>
      <c r="C1315" s="98" t="s">
        <v>976</v>
      </c>
      <c r="D1315" s="98" t="s">
        <v>715</v>
      </c>
      <c r="E1315" s="175">
        <v>1</v>
      </c>
      <c r="F1315" s="175">
        <v>65.099999999999994</v>
      </c>
      <c r="G1315" s="176">
        <v>65.099999999999994</v>
      </c>
      <c r="H1315" s="101">
        <v>907</v>
      </c>
      <c r="K1315"/>
    </row>
    <row r="1316" spans="1:11" ht="30" x14ac:dyDescent="0.25">
      <c r="A1316" s="174">
        <v>40816</v>
      </c>
      <c r="B1316" s="161" t="s">
        <v>1038</v>
      </c>
      <c r="C1316" s="98" t="s">
        <v>976</v>
      </c>
      <c r="D1316" s="98" t="s">
        <v>715</v>
      </c>
      <c r="E1316" s="175">
        <v>1</v>
      </c>
      <c r="F1316" s="175">
        <v>1378.01</v>
      </c>
      <c r="G1316" s="176">
        <v>1378.01</v>
      </c>
      <c r="H1316" s="101">
        <v>907</v>
      </c>
      <c r="K1316"/>
    </row>
    <row r="1317" spans="1:11" x14ac:dyDescent="0.25">
      <c r="A1317" s="174">
        <v>40826</v>
      </c>
      <c r="B1317" s="161" t="s">
        <v>763</v>
      </c>
      <c r="C1317" s="98" t="s">
        <v>764</v>
      </c>
      <c r="D1317" s="98" t="s">
        <v>26</v>
      </c>
      <c r="E1317" s="175">
        <v>2</v>
      </c>
      <c r="F1317" s="175">
        <v>100</v>
      </c>
      <c r="G1317" s="176">
        <v>200</v>
      </c>
      <c r="H1317" s="101">
        <v>907</v>
      </c>
      <c r="K1317"/>
    </row>
    <row r="1318" spans="1:11" x14ac:dyDescent="0.25">
      <c r="A1318" s="174">
        <v>40826</v>
      </c>
      <c r="B1318" s="161" t="s">
        <v>1039</v>
      </c>
      <c r="C1318" s="98" t="s">
        <v>998</v>
      </c>
      <c r="D1318" s="98" t="s">
        <v>715</v>
      </c>
      <c r="E1318" s="175">
        <v>1</v>
      </c>
      <c r="F1318" s="175">
        <v>25.77</v>
      </c>
      <c r="G1318" s="176">
        <v>25.77</v>
      </c>
      <c r="H1318" s="101">
        <v>907</v>
      </c>
      <c r="K1318"/>
    </row>
    <row r="1319" spans="1:11" x14ac:dyDescent="0.25">
      <c r="A1319" s="174">
        <v>40826</v>
      </c>
      <c r="B1319" s="161" t="s">
        <v>1040</v>
      </c>
      <c r="C1319" s="98" t="s">
        <v>988</v>
      </c>
      <c r="D1319" s="98" t="s">
        <v>715</v>
      </c>
      <c r="E1319" s="175">
        <v>1</v>
      </c>
      <c r="F1319" s="175">
        <v>272.73</v>
      </c>
      <c r="G1319" s="176">
        <v>272.73</v>
      </c>
      <c r="H1319" s="101">
        <v>907</v>
      </c>
      <c r="K1319"/>
    </row>
    <row r="1320" spans="1:11" ht="30" x14ac:dyDescent="0.25">
      <c r="A1320" s="174">
        <v>40826</v>
      </c>
      <c r="B1320" s="161" t="s">
        <v>1041</v>
      </c>
      <c r="C1320" s="98" t="s">
        <v>998</v>
      </c>
      <c r="D1320" s="98" t="s">
        <v>715</v>
      </c>
      <c r="E1320" s="175">
        <v>1</v>
      </c>
      <c r="F1320" s="175">
        <v>47.27</v>
      </c>
      <c r="G1320" s="176">
        <v>47.27</v>
      </c>
      <c r="H1320" s="101">
        <v>907</v>
      </c>
      <c r="K1320"/>
    </row>
    <row r="1321" spans="1:11" x14ac:dyDescent="0.25">
      <c r="A1321" s="174">
        <v>40826</v>
      </c>
      <c r="B1321" s="161" t="s">
        <v>1042</v>
      </c>
      <c r="C1321" s="98" t="s">
        <v>998</v>
      </c>
      <c r="D1321" s="98" t="s">
        <v>715</v>
      </c>
      <c r="E1321" s="175">
        <v>1</v>
      </c>
      <c r="F1321" s="175">
        <v>29.13</v>
      </c>
      <c r="G1321" s="176">
        <v>29.13</v>
      </c>
      <c r="H1321" s="101">
        <v>907</v>
      </c>
      <c r="K1321"/>
    </row>
    <row r="1322" spans="1:11" x14ac:dyDescent="0.25">
      <c r="A1322" s="174">
        <v>40826</v>
      </c>
      <c r="B1322" s="161" t="s">
        <v>745</v>
      </c>
      <c r="C1322" s="98" t="s">
        <v>8</v>
      </c>
      <c r="D1322" s="98" t="s">
        <v>26</v>
      </c>
      <c r="E1322" s="175">
        <v>8.5</v>
      </c>
      <c r="F1322" s="175">
        <v>35.35</v>
      </c>
      <c r="G1322" s="176">
        <v>300.47500000000002</v>
      </c>
      <c r="H1322" s="101">
        <v>907</v>
      </c>
      <c r="K1322"/>
    </row>
    <row r="1323" spans="1:11" x14ac:dyDescent="0.25">
      <c r="A1323" s="174">
        <v>40826</v>
      </c>
      <c r="B1323" s="161" t="s">
        <v>745</v>
      </c>
      <c r="C1323" s="98" t="s">
        <v>8</v>
      </c>
      <c r="D1323" s="98" t="s">
        <v>26</v>
      </c>
      <c r="E1323" s="175">
        <v>8.5</v>
      </c>
      <c r="F1323" s="175">
        <v>35.35</v>
      </c>
      <c r="G1323" s="176">
        <v>300.47500000000002</v>
      </c>
      <c r="H1323" s="101">
        <v>907</v>
      </c>
      <c r="K1323"/>
    </row>
    <row r="1324" spans="1:11" x14ac:dyDescent="0.25">
      <c r="A1324" s="174">
        <v>40828</v>
      </c>
      <c r="B1324" s="161" t="s">
        <v>1043</v>
      </c>
      <c r="C1324" s="98" t="s">
        <v>998</v>
      </c>
      <c r="D1324" s="98" t="s">
        <v>715</v>
      </c>
      <c r="E1324" s="175">
        <v>1</v>
      </c>
      <c r="F1324" s="175">
        <v>33.5</v>
      </c>
      <c r="G1324" s="176">
        <v>33.5</v>
      </c>
      <c r="H1324" s="101">
        <v>907</v>
      </c>
      <c r="K1324"/>
    </row>
    <row r="1325" spans="1:11" x14ac:dyDescent="0.25">
      <c r="A1325" s="174">
        <v>40829</v>
      </c>
      <c r="B1325" s="161" t="s">
        <v>1044</v>
      </c>
      <c r="C1325" s="98" t="s">
        <v>998</v>
      </c>
      <c r="D1325" s="98" t="s">
        <v>715</v>
      </c>
      <c r="E1325" s="175">
        <v>1</v>
      </c>
      <c r="F1325" s="175">
        <v>12.68</v>
      </c>
      <c r="G1325" s="176">
        <v>12.68</v>
      </c>
      <c r="H1325" s="101">
        <v>907</v>
      </c>
      <c r="K1325"/>
    </row>
    <row r="1326" spans="1:11" x14ac:dyDescent="0.25">
      <c r="A1326" s="174">
        <v>40833</v>
      </c>
      <c r="B1326" s="161" t="s">
        <v>1045</v>
      </c>
      <c r="C1326" s="98" t="s">
        <v>772</v>
      </c>
      <c r="D1326" s="98" t="s">
        <v>715</v>
      </c>
      <c r="E1326" s="175">
        <v>1</v>
      </c>
      <c r="F1326" s="175">
        <v>250</v>
      </c>
      <c r="G1326" s="176">
        <v>250</v>
      </c>
      <c r="H1326" s="101">
        <v>907</v>
      </c>
      <c r="K1326"/>
    </row>
    <row r="1327" spans="1:11" x14ac:dyDescent="0.25">
      <c r="A1327" s="174">
        <v>40833</v>
      </c>
      <c r="B1327" s="161" t="s">
        <v>1046</v>
      </c>
      <c r="C1327" s="98" t="s">
        <v>998</v>
      </c>
      <c r="D1327" s="98" t="s">
        <v>715</v>
      </c>
      <c r="E1327" s="175">
        <v>1</v>
      </c>
      <c r="F1327" s="175">
        <v>20.63</v>
      </c>
      <c r="G1327" s="176">
        <v>20.63</v>
      </c>
      <c r="H1327" s="101">
        <v>907</v>
      </c>
      <c r="K1327"/>
    </row>
    <row r="1328" spans="1:11" x14ac:dyDescent="0.25">
      <c r="A1328" s="174">
        <v>40839</v>
      </c>
      <c r="B1328" s="161" t="s">
        <v>1047</v>
      </c>
      <c r="C1328" s="98" t="s">
        <v>976</v>
      </c>
      <c r="D1328" s="98" t="s">
        <v>715</v>
      </c>
      <c r="E1328" s="175">
        <v>1</v>
      </c>
      <c r="F1328" s="175">
        <v>1130</v>
      </c>
      <c r="G1328" s="176">
        <v>1130</v>
      </c>
      <c r="H1328" s="101">
        <v>907</v>
      </c>
      <c r="K1328"/>
    </row>
    <row r="1329" spans="1:11" x14ac:dyDescent="0.25">
      <c r="A1329" s="174">
        <v>40839</v>
      </c>
      <c r="B1329" s="161" t="s">
        <v>1048</v>
      </c>
      <c r="C1329" s="98" t="s">
        <v>976</v>
      </c>
      <c r="D1329" s="98" t="s">
        <v>715</v>
      </c>
      <c r="E1329" s="175">
        <v>1</v>
      </c>
      <c r="F1329" s="175">
        <v>1300</v>
      </c>
      <c r="G1329" s="176">
        <v>1300</v>
      </c>
      <c r="H1329" s="101">
        <v>907</v>
      </c>
      <c r="K1329"/>
    </row>
    <row r="1330" spans="1:11" x14ac:dyDescent="0.25">
      <c r="A1330" s="174">
        <v>40840</v>
      </c>
      <c r="B1330" s="161" t="s">
        <v>1049</v>
      </c>
      <c r="C1330" s="98" t="s">
        <v>998</v>
      </c>
      <c r="D1330" s="98" t="s">
        <v>715</v>
      </c>
      <c r="E1330" s="175">
        <v>1</v>
      </c>
      <c r="F1330" s="175">
        <v>26.27</v>
      </c>
      <c r="G1330" s="176">
        <v>26.27</v>
      </c>
      <c r="H1330" s="101">
        <v>907</v>
      </c>
      <c r="K1330"/>
    </row>
    <row r="1331" spans="1:11" ht="30" x14ac:dyDescent="0.25">
      <c r="A1331" s="174">
        <v>40843</v>
      </c>
      <c r="B1331" s="161" t="s">
        <v>1050</v>
      </c>
      <c r="C1331" s="98" t="s">
        <v>1035</v>
      </c>
      <c r="D1331" s="98" t="s">
        <v>715</v>
      </c>
      <c r="E1331" s="175">
        <v>1</v>
      </c>
      <c r="F1331" s="175">
        <v>103.18</v>
      </c>
      <c r="G1331" s="176">
        <v>103.18</v>
      </c>
      <c r="H1331" s="101">
        <v>907</v>
      </c>
      <c r="K1331"/>
    </row>
    <row r="1332" spans="1:11" x14ac:dyDescent="0.25">
      <c r="A1332" s="174">
        <v>40855</v>
      </c>
      <c r="B1332" s="161" t="s">
        <v>370</v>
      </c>
      <c r="C1332" s="98" t="s">
        <v>1051</v>
      </c>
      <c r="D1332" s="98" t="s">
        <v>26</v>
      </c>
      <c r="E1332" s="175">
        <v>10.5</v>
      </c>
      <c r="F1332" s="175">
        <v>42.79</v>
      </c>
      <c r="G1332" s="176">
        <v>449.29500000000002</v>
      </c>
      <c r="H1332" s="101">
        <v>907</v>
      </c>
      <c r="K1332"/>
    </row>
    <row r="1333" spans="1:11" x14ac:dyDescent="0.25">
      <c r="A1333" s="174">
        <v>40855</v>
      </c>
      <c r="B1333" s="161" t="s">
        <v>745</v>
      </c>
      <c r="C1333" s="98" t="s">
        <v>8</v>
      </c>
      <c r="D1333" s="98" t="s">
        <v>26</v>
      </c>
      <c r="E1333" s="175">
        <v>10.5</v>
      </c>
      <c r="F1333" s="175">
        <v>35.35</v>
      </c>
      <c r="G1333" s="176">
        <v>371.17500000000001</v>
      </c>
      <c r="H1333" s="101">
        <v>907</v>
      </c>
      <c r="K1333"/>
    </row>
    <row r="1334" spans="1:11" ht="30" x14ac:dyDescent="0.25">
      <c r="A1334" s="174">
        <v>40917</v>
      </c>
      <c r="B1334" s="161" t="s">
        <v>1052</v>
      </c>
      <c r="C1334" s="98" t="s">
        <v>988</v>
      </c>
      <c r="D1334" s="98" t="s">
        <v>715</v>
      </c>
      <c r="E1334" s="175">
        <v>1</v>
      </c>
      <c r="F1334" s="175">
        <v>125</v>
      </c>
      <c r="G1334" s="176">
        <v>125</v>
      </c>
      <c r="H1334" s="101">
        <v>907</v>
      </c>
      <c r="K1334"/>
    </row>
    <row r="1335" spans="1:11" ht="30" x14ac:dyDescent="0.25">
      <c r="A1335" s="174">
        <v>40917</v>
      </c>
      <c r="B1335" s="161" t="s">
        <v>1053</v>
      </c>
      <c r="C1335" s="98" t="s">
        <v>988</v>
      </c>
      <c r="D1335" s="98" t="s">
        <v>715</v>
      </c>
      <c r="E1335" s="175">
        <v>2</v>
      </c>
      <c r="F1335" s="175">
        <v>125</v>
      </c>
      <c r="G1335" s="176">
        <v>250</v>
      </c>
      <c r="H1335" s="101">
        <v>907</v>
      </c>
      <c r="K1335"/>
    </row>
    <row r="1336" spans="1:11" x14ac:dyDescent="0.25">
      <c r="A1336" s="174">
        <v>40951</v>
      </c>
      <c r="B1336" s="161" t="s">
        <v>1054</v>
      </c>
      <c r="C1336" s="98" t="s">
        <v>988</v>
      </c>
      <c r="D1336" s="98" t="s">
        <v>715</v>
      </c>
      <c r="E1336" s="175">
        <v>2.75</v>
      </c>
      <c r="F1336" s="175">
        <v>110</v>
      </c>
      <c r="G1336" s="176">
        <v>302.5</v>
      </c>
      <c r="H1336" s="101">
        <v>907</v>
      </c>
      <c r="K1336"/>
    </row>
    <row r="1337" spans="1:11" x14ac:dyDescent="0.25">
      <c r="A1337" s="177" t="s">
        <v>643</v>
      </c>
      <c r="B1337" s="178" t="s">
        <v>1055</v>
      </c>
      <c r="C1337" s="179" t="s">
        <v>643</v>
      </c>
      <c r="D1337" s="179" t="s">
        <v>643</v>
      </c>
      <c r="E1337" s="180"/>
      <c r="F1337" s="180"/>
      <c r="G1337" s="181">
        <v>10703.96</v>
      </c>
      <c r="H1337" s="188" t="s">
        <v>643</v>
      </c>
      <c r="K1337"/>
    </row>
    <row r="1338" spans="1:11" x14ac:dyDescent="0.25">
      <c r="A1338" s="174" t="s">
        <v>643</v>
      </c>
      <c r="B1338" s="161" t="s">
        <v>643</v>
      </c>
      <c r="C1338" s="98" t="s">
        <v>643</v>
      </c>
      <c r="D1338" s="98" t="s">
        <v>643</v>
      </c>
      <c r="E1338" s="175"/>
      <c r="F1338" s="175"/>
      <c r="G1338" s="176"/>
      <c r="H1338" s="101" t="s">
        <v>643</v>
      </c>
      <c r="K1338"/>
    </row>
    <row r="1339" spans="1:11" x14ac:dyDescent="0.25">
      <c r="A1339" s="171" t="s">
        <v>643</v>
      </c>
      <c r="B1339" s="164" t="s">
        <v>1201</v>
      </c>
      <c r="C1339" s="100" t="s">
        <v>643</v>
      </c>
      <c r="D1339" s="100" t="s">
        <v>643</v>
      </c>
      <c r="E1339" s="172"/>
      <c r="F1339" s="172"/>
      <c r="G1339" s="173"/>
      <c r="H1339" s="187" t="s">
        <v>643</v>
      </c>
      <c r="K1339"/>
    </row>
    <row r="1340" spans="1:11" x14ac:dyDescent="0.25">
      <c r="A1340" s="174">
        <v>40817</v>
      </c>
      <c r="B1340" s="161" t="s">
        <v>1056</v>
      </c>
      <c r="C1340" s="98" t="s">
        <v>1057</v>
      </c>
      <c r="D1340" s="98" t="s">
        <v>715</v>
      </c>
      <c r="E1340" s="175">
        <v>6.4</v>
      </c>
      <c r="F1340" s="175">
        <v>133.19999999999999</v>
      </c>
      <c r="G1340" s="176">
        <v>852.48</v>
      </c>
      <c r="H1340" s="101" t="s">
        <v>694</v>
      </c>
      <c r="K1340"/>
    </row>
    <row r="1341" spans="1:11" x14ac:dyDescent="0.25">
      <c r="A1341" s="174">
        <v>40822</v>
      </c>
      <c r="B1341" s="161" t="s">
        <v>1058</v>
      </c>
      <c r="C1341" s="98" t="s">
        <v>1057</v>
      </c>
      <c r="D1341" s="98" t="s">
        <v>715</v>
      </c>
      <c r="E1341" s="175">
        <v>1</v>
      </c>
      <c r="F1341" s="175">
        <v>362</v>
      </c>
      <c r="G1341" s="176">
        <v>362</v>
      </c>
      <c r="H1341" s="101" t="s">
        <v>694</v>
      </c>
      <c r="K1341"/>
    </row>
    <row r="1342" spans="1:11" x14ac:dyDescent="0.25">
      <c r="A1342" s="174">
        <v>40852</v>
      </c>
      <c r="B1342" s="161" t="s">
        <v>1059</v>
      </c>
      <c r="C1342" s="98" t="s">
        <v>1060</v>
      </c>
      <c r="D1342" s="98" t="s">
        <v>715</v>
      </c>
      <c r="E1342" s="175">
        <v>1</v>
      </c>
      <c r="F1342" s="175">
        <v>435</v>
      </c>
      <c r="G1342" s="176">
        <v>435</v>
      </c>
      <c r="H1342" s="101" t="s">
        <v>694</v>
      </c>
      <c r="K1342"/>
    </row>
    <row r="1343" spans="1:11" x14ac:dyDescent="0.25">
      <c r="A1343" s="174">
        <v>40953</v>
      </c>
      <c r="B1343" s="161" t="s">
        <v>1061</v>
      </c>
      <c r="C1343" s="98" t="s">
        <v>1062</v>
      </c>
      <c r="D1343" s="98" t="s">
        <v>715</v>
      </c>
      <c r="E1343" s="175">
        <v>1</v>
      </c>
      <c r="F1343" s="175">
        <v>974.4</v>
      </c>
      <c r="G1343" s="176">
        <v>974.4</v>
      </c>
      <c r="H1343" s="101" t="s">
        <v>694</v>
      </c>
      <c r="K1343"/>
    </row>
    <row r="1344" spans="1:11" x14ac:dyDescent="0.25">
      <c r="A1344" s="174">
        <v>41034</v>
      </c>
      <c r="B1344" s="161" t="s">
        <v>1063</v>
      </c>
      <c r="C1344" s="98" t="s">
        <v>1062</v>
      </c>
      <c r="D1344" s="98" t="s">
        <v>715</v>
      </c>
      <c r="E1344" s="175">
        <v>1</v>
      </c>
      <c r="F1344" s="175">
        <v>1281</v>
      </c>
      <c r="G1344" s="176">
        <v>1281</v>
      </c>
      <c r="H1344" s="101" t="s">
        <v>694</v>
      </c>
      <c r="K1344"/>
    </row>
    <row r="1345" spans="1:11" x14ac:dyDescent="0.25">
      <c r="A1345" s="177" t="s">
        <v>643</v>
      </c>
      <c r="B1345" s="178" t="s">
        <v>1064</v>
      </c>
      <c r="C1345" s="179" t="s">
        <v>643</v>
      </c>
      <c r="D1345" s="179" t="s">
        <v>643</v>
      </c>
      <c r="E1345" s="180"/>
      <c r="F1345" s="180"/>
      <c r="G1345" s="181">
        <v>3904.88</v>
      </c>
      <c r="H1345" s="188" t="s">
        <v>643</v>
      </c>
      <c r="K1345"/>
    </row>
    <row r="1346" spans="1:11" x14ac:dyDescent="0.25">
      <c r="A1346" s="174" t="s">
        <v>643</v>
      </c>
      <c r="B1346" s="161" t="s">
        <v>643</v>
      </c>
      <c r="C1346" s="98" t="s">
        <v>643</v>
      </c>
      <c r="D1346" s="98" t="s">
        <v>643</v>
      </c>
      <c r="E1346" s="175"/>
      <c r="F1346" s="175"/>
      <c r="G1346" s="176"/>
      <c r="H1346" s="101" t="s">
        <v>643</v>
      </c>
      <c r="K1346"/>
    </row>
    <row r="1347" spans="1:11" x14ac:dyDescent="0.25">
      <c r="A1347" s="171" t="s">
        <v>643</v>
      </c>
      <c r="B1347" s="164" t="s">
        <v>1202</v>
      </c>
      <c r="C1347" s="100" t="s">
        <v>643</v>
      </c>
      <c r="D1347" s="100" t="s">
        <v>643</v>
      </c>
      <c r="E1347" s="172"/>
      <c r="F1347" s="172"/>
      <c r="G1347" s="173"/>
      <c r="H1347" s="187" t="s">
        <v>643</v>
      </c>
      <c r="K1347"/>
    </row>
    <row r="1348" spans="1:11" x14ac:dyDescent="0.25">
      <c r="A1348" s="174">
        <v>40813</v>
      </c>
      <c r="B1348" s="161" t="s">
        <v>1065</v>
      </c>
      <c r="C1348" s="98" t="s">
        <v>1057</v>
      </c>
      <c r="D1348" s="98" t="s">
        <v>715</v>
      </c>
      <c r="E1348" s="175">
        <v>8</v>
      </c>
      <c r="F1348" s="175">
        <v>178.2</v>
      </c>
      <c r="G1348" s="176">
        <v>1425.6</v>
      </c>
      <c r="H1348" s="101" t="s">
        <v>697</v>
      </c>
      <c r="K1348"/>
    </row>
    <row r="1349" spans="1:11" x14ac:dyDescent="0.25">
      <c r="A1349" s="174">
        <v>40816</v>
      </c>
      <c r="B1349" s="161" t="s">
        <v>1066</v>
      </c>
      <c r="C1349" s="98" t="s">
        <v>1067</v>
      </c>
      <c r="D1349" s="98" t="s">
        <v>715</v>
      </c>
      <c r="E1349" s="175">
        <v>1</v>
      </c>
      <c r="F1349" s="175">
        <v>878.4</v>
      </c>
      <c r="G1349" s="176">
        <v>878.4</v>
      </c>
      <c r="H1349" s="101" t="s">
        <v>697</v>
      </c>
      <c r="K1349"/>
    </row>
    <row r="1350" spans="1:11" x14ac:dyDescent="0.25">
      <c r="A1350" s="174">
        <v>40816</v>
      </c>
      <c r="B1350" s="161" t="s">
        <v>1068</v>
      </c>
      <c r="C1350" s="98" t="s">
        <v>1067</v>
      </c>
      <c r="D1350" s="98" t="s">
        <v>715</v>
      </c>
      <c r="E1350" s="175">
        <v>1</v>
      </c>
      <c r="F1350" s="175">
        <v>1903.2</v>
      </c>
      <c r="G1350" s="176">
        <v>1903.2</v>
      </c>
      <c r="H1350" s="101" t="s">
        <v>697</v>
      </c>
      <c r="K1350"/>
    </row>
    <row r="1351" spans="1:11" x14ac:dyDescent="0.25">
      <c r="A1351" s="174">
        <v>40820</v>
      </c>
      <c r="B1351" s="161" t="s">
        <v>1069</v>
      </c>
      <c r="C1351" s="98" t="s">
        <v>1067</v>
      </c>
      <c r="D1351" s="98" t="s">
        <v>715</v>
      </c>
      <c r="E1351" s="175">
        <v>1</v>
      </c>
      <c r="F1351" s="175">
        <v>1812</v>
      </c>
      <c r="G1351" s="176">
        <v>1812</v>
      </c>
      <c r="H1351" s="101" t="s">
        <v>697</v>
      </c>
      <c r="K1351"/>
    </row>
    <row r="1352" spans="1:11" x14ac:dyDescent="0.25">
      <c r="A1352" s="174">
        <v>40824</v>
      </c>
      <c r="B1352" s="161" t="s">
        <v>1070</v>
      </c>
      <c r="C1352" s="98" t="s">
        <v>1067</v>
      </c>
      <c r="D1352" s="98" t="s">
        <v>715</v>
      </c>
      <c r="E1352" s="175">
        <v>1</v>
      </c>
      <c r="F1352" s="175">
        <v>308.39999999999998</v>
      </c>
      <c r="G1352" s="176">
        <v>308.39999999999998</v>
      </c>
      <c r="H1352" s="101" t="s">
        <v>697</v>
      </c>
      <c r="K1352"/>
    </row>
    <row r="1353" spans="1:11" x14ac:dyDescent="0.25">
      <c r="A1353" s="174">
        <v>40824</v>
      </c>
      <c r="B1353" s="161" t="s">
        <v>1071</v>
      </c>
      <c r="C1353" s="98" t="s">
        <v>1067</v>
      </c>
      <c r="D1353" s="98" t="s">
        <v>715</v>
      </c>
      <c r="E1353" s="175">
        <v>1</v>
      </c>
      <c r="F1353" s="175">
        <v>846.4</v>
      </c>
      <c r="G1353" s="176">
        <v>846.4</v>
      </c>
      <c r="H1353" s="101" t="s">
        <v>697</v>
      </c>
      <c r="K1353"/>
    </row>
    <row r="1354" spans="1:11" x14ac:dyDescent="0.25">
      <c r="A1354" s="174">
        <v>40824</v>
      </c>
      <c r="B1354" s="161" t="s">
        <v>1072</v>
      </c>
      <c r="C1354" s="98" t="s">
        <v>1067</v>
      </c>
      <c r="D1354" s="98" t="s">
        <v>715</v>
      </c>
      <c r="E1354" s="175">
        <v>1</v>
      </c>
      <c r="F1354" s="175">
        <v>1688.4</v>
      </c>
      <c r="G1354" s="176">
        <v>1688.4</v>
      </c>
      <c r="H1354" s="101" t="s">
        <v>697</v>
      </c>
      <c r="K1354"/>
    </row>
    <row r="1355" spans="1:11" x14ac:dyDescent="0.25">
      <c r="A1355" s="174">
        <v>40824</v>
      </c>
      <c r="B1355" s="161" t="s">
        <v>1073</v>
      </c>
      <c r="C1355" s="98" t="s">
        <v>1067</v>
      </c>
      <c r="D1355" s="98" t="s">
        <v>715</v>
      </c>
      <c r="E1355" s="175">
        <v>1</v>
      </c>
      <c r="F1355" s="175">
        <v>1261</v>
      </c>
      <c r="G1355" s="176">
        <v>1261</v>
      </c>
      <c r="H1355" s="101" t="s">
        <v>697</v>
      </c>
      <c r="K1355"/>
    </row>
    <row r="1356" spans="1:11" x14ac:dyDescent="0.25">
      <c r="A1356" s="174">
        <v>40827</v>
      </c>
      <c r="B1356" s="161" t="s">
        <v>1074</v>
      </c>
      <c r="C1356" s="98" t="s">
        <v>1067</v>
      </c>
      <c r="D1356" s="98" t="s">
        <v>715</v>
      </c>
      <c r="E1356" s="175">
        <v>1</v>
      </c>
      <c r="F1356" s="175">
        <v>1030.4000000000001</v>
      </c>
      <c r="G1356" s="176">
        <v>1030.4000000000001</v>
      </c>
      <c r="H1356" s="101" t="s">
        <v>697</v>
      </c>
      <c r="K1356"/>
    </row>
    <row r="1357" spans="1:11" x14ac:dyDescent="0.25">
      <c r="A1357" s="174">
        <v>40831</v>
      </c>
      <c r="B1357" s="161" t="s">
        <v>1075</v>
      </c>
      <c r="C1357" s="98" t="s">
        <v>1067</v>
      </c>
      <c r="D1357" s="98" t="s">
        <v>715</v>
      </c>
      <c r="E1357" s="175">
        <v>1</v>
      </c>
      <c r="F1357" s="175">
        <v>2994.8</v>
      </c>
      <c r="G1357" s="176">
        <v>2994.8</v>
      </c>
      <c r="H1357" s="101" t="s">
        <v>697</v>
      </c>
      <c r="K1357"/>
    </row>
    <row r="1358" spans="1:11" x14ac:dyDescent="0.25">
      <c r="A1358" s="174">
        <v>40831</v>
      </c>
      <c r="B1358" s="161" t="s">
        <v>1076</v>
      </c>
      <c r="C1358" s="98" t="s">
        <v>1067</v>
      </c>
      <c r="D1358" s="98" t="s">
        <v>715</v>
      </c>
      <c r="E1358" s="175">
        <v>5</v>
      </c>
      <c r="F1358" s="175">
        <v>119</v>
      </c>
      <c r="G1358" s="176">
        <v>595</v>
      </c>
      <c r="H1358" s="101" t="s">
        <v>697</v>
      </c>
      <c r="K1358"/>
    </row>
    <row r="1359" spans="1:11" x14ac:dyDescent="0.25">
      <c r="A1359" s="174">
        <v>40834</v>
      </c>
      <c r="B1359" s="161" t="s">
        <v>1077</v>
      </c>
      <c r="C1359" s="98" t="s">
        <v>1067</v>
      </c>
      <c r="D1359" s="98" t="s">
        <v>715</v>
      </c>
      <c r="E1359" s="175">
        <v>1</v>
      </c>
      <c r="F1359" s="175">
        <v>1669</v>
      </c>
      <c r="G1359" s="176">
        <v>1669</v>
      </c>
      <c r="H1359" s="101" t="s">
        <v>697</v>
      </c>
      <c r="K1359"/>
    </row>
    <row r="1360" spans="1:11" ht="30" x14ac:dyDescent="0.25">
      <c r="A1360" s="174">
        <v>40841</v>
      </c>
      <c r="B1360" s="161" t="s">
        <v>1078</v>
      </c>
      <c r="C1360" s="98" t="s">
        <v>1057</v>
      </c>
      <c r="D1360" s="98" t="s">
        <v>715</v>
      </c>
      <c r="E1360" s="175">
        <v>1</v>
      </c>
      <c r="F1360" s="175">
        <v>55.76</v>
      </c>
      <c r="G1360" s="176">
        <v>55.76</v>
      </c>
      <c r="H1360" s="101" t="s">
        <v>697</v>
      </c>
      <c r="K1360"/>
    </row>
    <row r="1361" spans="1:11" ht="30" x14ac:dyDescent="0.25">
      <c r="A1361" s="174">
        <v>40841</v>
      </c>
      <c r="B1361" s="161" t="s">
        <v>1079</v>
      </c>
      <c r="C1361" s="98" t="s">
        <v>1057</v>
      </c>
      <c r="D1361" s="98" t="s">
        <v>715</v>
      </c>
      <c r="E1361" s="175">
        <v>1</v>
      </c>
      <c r="F1361" s="175">
        <v>4.8</v>
      </c>
      <c r="G1361" s="176">
        <v>4.8</v>
      </c>
      <c r="H1361" s="101" t="s">
        <v>697</v>
      </c>
      <c r="K1361"/>
    </row>
    <row r="1362" spans="1:11" ht="30" x14ac:dyDescent="0.25">
      <c r="A1362" s="174">
        <v>40841</v>
      </c>
      <c r="B1362" s="161" t="s">
        <v>1080</v>
      </c>
      <c r="C1362" s="98" t="s">
        <v>1057</v>
      </c>
      <c r="D1362" s="98" t="s">
        <v>715</v>
      </c>
      <c r="E1362" s="175">
        <v>5</v>
      </c>
      <c r="F1362" s="175">
        <v>197.6</v>
      </c>
      <c r="G1362" s="176">
        <v>988</v>
      </c>
      <c r="H1362" s="101" t="s">
        <v>697</v>
      </c>
      <c r="K1362"/>
    </row>
    <row r="1363" spans="1:11" x14ac:dyDescent="0.25">
      <c r="A1363" s="174">
        <v>40842</v>
      </c>
      <c r="B1363" s="161" t="s">
        <v>1081</v>
      </c>
      <c r="C1363" s="98" t="s">
        <v>1057</v>
      </c>
      <c r="D1363" s="98" t="s">
        <v>715</v>
      </c>
      <c r="E1363" s="175">
        <v>1</v>
      </c>
      <c r="F1363" s="175">
        <v>483.96</v>
      </c>
      <c r="G1363" s="176">
        <v>483.96</v>
      </c>
      <c r="H1363" s="101" t="s">
        <v>697</v>
      </c>
      <c r="K1363"/>
    </row>
    <row r="1364" spans="1:11" x14ac:dyDescent="0.25">
      <c r="A1364" s="174">
        <v>40842</v>
      </c>
      <c r="B1364" s="161" t="s">
        <v>1082</v>
      </c>
      <c r="C1364" s="98" t="s">
        <v>1067</v>
      </c>
      <c r="D1364" s="98" t="s">
        <v>715</v>
      </c>
      <c r="E1364" s="175">
        <v>1</v>
      </c>
      <c r="F1364" s="175">
        <v>680.4</v>
      </c>
      <c r="G1364" s="176">
        <v>680.4</v>
      </c>
      <c r="H1364" s="101" t="s">
        <v>697</v>
      </c>
      <c r="K1364"/>
    </row>
    <row r="1365" spans="1:11" x14ac:dyDescent="0.25">
      <c r="A1365" s="174">
        <v>40844</v>
      </c>
      <c r="B1365" s="161" t="s">
        <v>1083</v>
      </c>
      <c r="C1365" s="98" t="s">
        <v>1067</v>
      </c>
      <c r="D1365" s="98" t="s">
        <v>715</v>
      </c>
      <c r="E1365" s="175">
        <v>1</v>
      </c>
      <c r="F1365" s="175">
        <v>2112.8000000000002</v>
      </c>
      <c r="G1365" s="176">
        <v>2112.8000000000002</v>
      </c>
      <c r="H1365" s="101" t="s">
        <v>697</v>
      </c>
      <c r="K1365"/>
    </row>
    <row r="1366" spans="1:11" x14ac:dyDescent="0.25">
      <c r="A1366" s="174">
        <v>40847</v>
      </c>
      <c r="B1366" s="161" t="s">
        <v>643</v>
      </c>
      <c r="C1366" s="98" t="s">
        <v>1067</v>
      </c>
      <c r="D1366" s="98" t="s">
        <v>715</v>
      </c>
      <c r="E1366" s="175">
        <v>1</v>
      </c>
      <c r="F1366" s="175">
        <v>216</v>
      </c>
      <c r="G1366" s="176">
        <v>216</v>
      </c>
      <c r="H1366" s="101" t="s">
        <v>697</v>
      </c>
      <c r="K1366"/>
    </row>
    <row r="1367" spans="1:11" x14ac:dyDescent="0.25">
      <c r="A1367" s="174">
        <v>40852</v>
      </c>
      <c r="B1367" s="161" t="s">
        <v>1084</v>
      </c>
      <c r="C1367" s="98" t="s">
        <v>1067</v>
      </c>
      <c r="D1367" s="98" t="s">
        <v>715</v>
      </c>
      <c r="E1367" s="175">
        <v>1</v>
      </c>
      <c r="F1367" s="175">
        <v>294.60000000000002</v>
      </c>
      <c r="G1367" s="176">
        <v>294.60000000000002</v>
      </c>
      <c r="H1367" s="101" t="s">
        <v>697</v>
      </c>
      <c r="K1367"/>
    </row>
    <row r="1368" spans="1:11" x14ac:dyDescent="0.25">
      <c r="A1368" s="174">
        <v>40856</v>
      </c>
      <c r="B1368" s="161" t="s">
        <v>1085</v>
      </c>
      <c r="C1368" s="98" t="s">
        <v>916</v>
      </c>
      <c r="D1368" s="98" t="s">
        <v>715</v>
      </c>
      <c r="E1368" s="175">
        <v>1</v>
      </c>
      <c r="F1368" s="175">
        <v>452.4</v>
      </c>
      <c r="G1368" s="176">
        <v>452.4</v>
      </c>
      <c r="H1368" s="101" t="s">
        <v>697</v>
      </c>
      <c r="K1368"/>
    </row>
    <row r="1369" spans="1:11" x14ac:dyDescent="0.25">
      <c r="A1369" s="174">
        <v>40858</v>
      </c>
      <c r="B1369" s="161" t="s">
        <v>1086</v>
      </c>
      <c r="C1369" s="98" t="s">
        <v>1057</v>
      </c>
      <c r="D1369" s="98" t="s">
        <v>715</v>
      </c>
      <c r="E1369" s="175">
        <v>1</v>
      </c>
      <c r="F1369" s="175">
        <v>264.72000000000003</v>
      </c>
      <c r="G1369" s="176">
        <v>264.72000000000003</v>
      </c>
      <c r="H1369" s="101" t="s">
        <v>697</v>
      </c>
      <c r="K1369"/>
    </row>
    <row r="1370" spans="1:11" x14ac:dyDescent="0.25">
      <c r="A1370" s="174">
        <v>40859</v>
      </c>
      <c r="B1370" s="161" t="s">
        <v>1087</v>
      </c>
      <c r="C1370" s="98" t="s">
        <v>1067</v>
      </c>
      <c r="D1370" s="98" t="s">
        <v>715</v>
      </c>
      <c r="E1370" s="175">
        <v>1</v>
      </c>
      <c r="F1370" s="175">
        <v>279.60000000000002</v>
      </c>
      <c r="G1370" s="176">
        <v>279.60000000000002</v>
      </c>
      <c r="H1370" s="101" t="s">
        <v>697</v>
      </c>
      <c r="K1370"/>
    </row>
    <row r="1371" spans="1:11" ht="30" x14ac:dyDescent="0.25">
      <c r="A1371" s="174">
        <v>40862</v>
      </c>
      <c r="B1371" s="161" t="s">
        <v>1088</v>
      </c>
      <c r="C1371" s="98" t="s">
        <v>1067</v>
      </c>
      <c r="D1371" s="98" t="s">
        <v>715</v>
      </c>
      <c r="E1371" s="175">
        <v>3.4</v>
      </c>
      <c r="F1371" s="175">
        <v>185</v>
      </c>
      <c r="G1371" s="176">
        <v>629</v>
      </c>
      <c r="H1371" s="101" t="s">
        <v>697</v>
      </c>
      <c r="K1371"/>
    </row>
    <row r="1372" spans="1:11" x14ac:dyDescent="0.25">
      <c r="A1372" s="174">
        <v>40865</v>
      </c>
      <c r="B1372" s="161" t="s">
        <v>1089</v>
      </c>
      <c r="C1372" s="98" t="s">
        <v>1057</v>
      </c>
      <c r="D1372" s="98" t="s">
        <v>715</v>
      </c>
      <c r="E1372" s="175">
        <v>1</v>
      </c>
      <c r="F1372" s="175">
        <v>327.36</v>
      </c>
      <c r="G1372" s="176">
        <v>327.36</v>
      </c>
      <c r="H1372" s="101" t="s">
        <v>697</v>
      </c>
      <c r="K1372"/>
    </row>
    <row r="1373" spans="1:11" x14ac:dyDescent="0.25">
      <c r="A1373" s="174">
        <v>40873</v>
      </c>
      <c r="B1373" s="161" t="s">
        <v>1090</v>
      </c>
      <c r="C1373" s="98" t="s">
        <v>1067</v>
      </c>
      <c r="D1373" s="98" t="s">
        <v>715</v>
      </c>
      <c r="E1373" s="175">
        <v>1</v>
      </c>
      <c r="F1373" s="175">
        <v>307.2</v>
      </c>
      <c r="G1373" s="176">
        <v>307.2</v>
      </c>
      <c r="H1373" s="101" t="s">
        <v>697</v>
      </c>
      <c r="K1373"/>
    </row>
    <row r="1374" spans="1:11" x14ac:dyDescent="0.25">
      <c r="A1374" s="174">
        <v>40873</v>
      </c>
      <c r="B1374" s="161" t="s">
        <v>1091</v>
      </c>
      <c r="C1374" s="98" t="s">
        <v>1067</v>
      </c>
      <c r="D1374" s="98" t="s">
        <v>715</v>
      </c>
      <c r="E1374" s="175">
        <v>1</v>
      </c>
      <c r="F1374" s="175">
        <v>803.2</v>
      </c>
      <c r="G1374" s="176">
        <v>803.2</v>
      </c>
      <c r="H1374" s="101" t="s">
        <v>697</v>
      </c>
      <c r="K1374"/>
    </row>
    <row r="1375" spans="1:11" x14ac:dyDescent="0.25">
      <c r="A1375" s="174">
        <v>40887</v>
      </c>
      <c r="B1375" s="161" t="s">
        <v>1092</v>
      </c>
      <c r="C1375" s="98" t="s">
        <v>916</v>
      </c>
      <c r="D1375" s="98" t="s">
        <v>715</v>
      </c>
      <c r="E1375" s="175">
        <v>1</v>
      </c>
      <c r="F1375" s="175">
        <v>556.79999999999995</v>
      </c>
      <c r="G1375" s="176">
        <v>556.79999999999995</v>
      </c>
      <c r="H1375" s="101" t="s">
        <v>697</v>
      </c>
      <c r="K1375"/>
    </row>
    <row r="1376" spans="1:11" x14ac:dyDescent="0.25">
      <c r="A1376" s="174">
        <v>40925</v>
      </c>
      <c r="B1376" s="161" t="s">
        <v>1113</v>
      </c>
      <c r="C1376" s="98" t="s">
        <v>1114</v>
      </c>
      <c r="D1376" s="98" t="s">
        <v>715</v>
      </c>
      <c r="E1376" s="175">
        <v>1</v>
      </c>
      <c r="F1376" s="175">
        <v>214.4</v>
      </c>
      <c r="G1376" s="176">
        <v>214.4</v>
      </c>
      <c r="H1376" s="101" t="s">
        <v>697</v>
      </c>
      <c r="K1376"/>
    </row>
    <row r="1377" spans="1:11" x14ac:dyDescent="0.25">
      <c r="A1377" s="174">
        <v>40937</v>
      </c>
      <c r="B1377" s="161" t="s">
        <v>1093</v>
      </c>
      <c r="C1377" s="98" t="s">
        <v>916</v>
      </c>
      <c r="D1377" s="98" t="s">
        <v>715</v>
      </c>
      <c r="E1377" s="175">
        <v>1</v>
      </c>
      <c r="F1377" s="175">
        <v>1770</v>
      </c>
      <c r="G1377" s="176">
        <v>1770</v>
      </c>
      <c r="H1377" s="101" t="s">
        <v>697</v>
      </c>
      <c r="K1377"/>
    </row>
    <row r="1378" spans="1:11" x14ac:dyDescent="0.25">
      <c r="A1378" s="174">
        <v>40939</v>
      </c>
      <c r="B1378" s="161" t="s">
        <v>1094</v>
      </c>
      <c r="C1378" s="98" t="s">
        <v>916</v>
      </c>
      <c r="D1378" s="98" t="s">
        <v>715</v>
      </c>
      <c r="E1378" s="175">
        <v>1</v>
      </c>
      <c r="F1378" s="175">
        <v>2902.8</v>
      </c>
      <c r="G1378" s="176">
        <v>2902.8</v>
      </c>
      <c r="H1378" s="101" t="s">
        <v>697</v>
      </c>
      <c r="K1378"/>
    </row>
    <row r="1379" spans="1:11" ht="60" x14ac:dyDescent="0.25">
      <c r="A1379" s="174">
        <v>40950</v>
      </c>
      <c r="B1379" s="161" t="s">
        <v>1095</v>
      </c>
      <c r="C1379" s="98" t="s">
        <v>916</v>
      </c>
      <c r="D1379" s="98" t="s">
        <v>715</v>
      </c>
      <c r="E1379" s="175">
        <v>1</v>
      </c>
      <c r="F1379" s="175">
        <v>7633.4</v>
      </c>
      <c r="G1379" s="176">
        <v>7633.4</v>
      </c>
      <c r="H1379" s="101" t="s">
        <v>697</v>
      </c>
      <c r="K1379"/>
    </row>
    <row r="1380" spans="1:11" x14ac:dyDescent="0.25">
      <c r="A1380" s="174">
        <v>40955</v>
      </c>
      <c r="B1380" s="161" t="s">
        <v>1096</v>
      </c>
      <c r="C1380" s="98" t="s">
        <v>916</v>
      </c>
      <c r="D1380" s="98" t="s">
        <v>715</v>
      </c>
      <c r="E1380" s="175">
        <v>1</v>
      </c>
      <c r="F1380" s="175">
        <v>778</v>
      </c>
      <c r="G1380" s="176">
        <v>778</v>
      </c>
      <c r="H1380" s="101" t="s">
        <v>697</v>
      </c>
      <c r="K1380"/>
    </row>
    <row r="1381" spans="1:11" x14ac:dyDescent="0.25">
      <c r="A1381" s="174">
        <v>40957</v>
      </c>
      <c r="B1381" s="161" t="s">
        <v>1097</v>
      </c>
      <c r="C1381" s="98" t="s">
        <v>1067</v>
      </c>
      <c r="D1381" s="98" t="s">
        <v>715</v>
      </c>
      <c r="E1381" s="175">
        <v>1</v>
      </c>
      <c r="F1381" s="175">
        <v>1256.5</v>
      </c>
      <c r="G1381" s="176">
        <v>1256.5</v>
      </c>
      <c r="H1381" s="101" t="s">
        <v>697</v>
      </c>
      <c r="K1381"/>
    </row>
    <row r="1382" spans="1:11" x14ac:dyDescent="0.25">
      <c r="A1382" s="174">
        <v>40957</v>
      </c>
      <c r="B1382" s="161" t="s">
        <v>1098</v>
      </c>
      <c r="C1382" s="98" t="s">
        <v>1067</v>
      </c>
      <c r="D1382" s="98" t="s">
        <v>715</v>
      </c>
      <c r="E1382" s="175">
        <v>1</v>
      </c>
      <c r="F1382" s="175">
        <v>2572.5</v>
      </c>
      <c r="G1382" s="176">
        <v>2572.5</v>
      </c>
      <c r="H1382" s="101" t="s">
        <v>697</v>
      </c>
      <c r="K1382"/>
    </row>
    <row r="1383" spans="1:11" x14ac:dyDescent="0.25">
      <c r="A1383" s="174">
        <v>40960</v>
      </c>
      <c r="B1383" s="161" t="s">
        <v>1099</v>
      </c>
      <c r="C1383" s="98" t="s">
        <v>916</v>
      </c>
      <c r="D1383" s="98" t="s">
        <v>715</v>
      </c>
      <c r="E1383" s="175">
        <v>1</v>
      </c>
      <c r="F1383" s="175">
        <v>353.2</v>
      </c>
      <c r="G1383" s="176">
        <v>353.2</v>
      </c>
      <c r="H1383" s="101" t="s">
        <v>697</v>
      </c>
      <c r="K1383"/>
    </row>
    <row r="1384" spans="1:11" x14ac:dyDescent="0.25">
      <c r="A1384" s="174">
        <v>40964</v>
      </c>
      <c r="B1384" s="161" t="s">
        <v>1100</v>
      </c>
      <c r="C1384" s="98" t="s">
        <v>916</v>
      </c>
      <c r="D1384" s="98" t="s">
        <v>715</v>
      </c>
      <c r="E1384" s="175">
        <v>1</v>
      </c>
      <c r="F1384" s="175">
        <v>1628.4</v>
      </c>
      <c r="G1384" s="176">
        <v>1628.4</v>
      </c>
      <c r="H1384" s="101" t="s">
        <v>697</v>
      </c>
      <c r="K1384"/>
    </row>
    <row r="1385" spans="1:11" ht="30" x14ac:dyDescent="0.25">
      <c r="A1385" s="174">
        <v>40968</v>
      </c>
      <c r="B1385" s="161" t="s">
        <v>1101</v>
      </c>
      <c r="C1385" s="98" t="s">
        <v>916</v>
      </c>
      <c r="D1385" s="98" t="s">
        <v>715</v>
      </c>
      <c r="E1385" s="175">
        <v>4</v>
      </c>
      <c r="F1385" s="175">
        <v>180</v>
      </c>
      <c r="G1385" s="176">
        <v>720</v>
      </c>
      <c r="H1385" s="101" t="s">
        <v>697</v>
      </c>
      <c r="K1385"/>
    </row>
    <row r="1386" spans="1:11" x14ac:dyDescent="0.25">
      <c r="A1386" s="174">
        <v>40971</v>
      </c>
      <c r="B1386" s="161" t="s">
        <v>1102</v>
      </c>
      <c r="C1386" s="98" t="s">
        <v>916</v>
      </c>
      <c r="D1386" s="98" t="s">
        <v>715</v>
      </c>
      <c r="E1386" s="175">
        <v>1</v>
      </c>
      <c r="F1386" s="175">
        <v>809.6</v>
      </c>
      <c r="G1386" s="176">
        <v>809.6</v>
      </c>
      <c r="H1386" s="101" t="s">
        <v>697</v>
      </c>
      <c r="K1386"/>
    </row>
    <row r="1387" spans="1:11" x14ac:dyDescent="0.25">
      <c r="A1387" s="174">
        <v>41079</v>
      </c>
      <c r="B1387" s="161" t="s">
        <v>1103</v>
      </c>
      <c r="C1387" s="98" t="s">
        <v>916</v>
      </c>
      <c r="D1387" s="98" t="s">
        <v>715</v>
      </c>
      <c r="E1387" s="175">
        <v>1</v>
      </c>
      <c r="F1387" s="175">
        <v>158</v>
      </c>
      <c r="G1387" s="176">
        <v>158</v>
      </c>
      <c r="H1387" s="101" t="s">
        <v>697</v>
      </c>
      <c r="K1387"/>
    </row>
    <row r="1388" spans="1:11" x14ac:dyDescent="0.25">
      <c r="A1388" s="174">
        <v>41122</v>
      </c>
      <c r="B1388" s="161" t="s">
        <v>1104</v>
      </c>
      <c r="C1388" s="98" t="s">
        <v>916</v>
      </c>
      <c r="D1388" s="98" t="s">
        <v>715</v>
      </c>
      <c r="E1388" s="175">
        <v>3.6</v>
      </c>
      <c r="F1388" s="175">
        <v>185.95</v>
      </c>
      <c r="G1388" s="176">
        <v>669.42</v>
      </c>
      <c r="H1388" s="101" t="s">
        <v>697</v>
      </c>
      <c r="K1388"/>
    </row>
    <row r="1389" spans="1:11" x14ac:dyDescent="0.25">
      <c r="A1389" s="177" t="s">
        <v>643</v>
      </c>
      <c r="B1389" s="178" t="s">
        <v>1105</v>
      </c>
      <c r="C1389" s="179" t="s">
        <v>643</v>
      </c>
      <c r="D1389" s="179" t="s">
        <v>643</v>
      </c>
      <c r="E1389" s="180"/>
      <c r="F1389" s="180"/>
      <c r="G1389" s="181">
        <v>46335.419999999991</v>
      </c>
      <c r="H1389" s="188" t="s">
        <v>643</v>
      </c>
      <c r="K1389"/>
    </row>
    <row r="1390" spans="1:11" x14ac:dyDescent="0.25">
      <c r="A1390" s="174" t="s">
        <v>643</v>
      </c>
      <c r="B1390" s="161" t="s">
        <v>643</v>
      </c>
      <c r="C1390" s="98" t="s">
        <v>643</v>
      </c>
      <c r="D1390" s="98" t="s">
        <v>643</v>
      </c>
      <c r="E1390" s="175"/>
      <c r="F1390" s="175"/>
      <c r="G1390" s="176"/>
      <c r="H1390" s="101" t="s">
        <v>643</v>
      </c>
      <c r="K1390"/>
    </row>
    <row r="1391" spans="1:11" x14ac:dyDescent="0.25">
      <c r="A1391" s="171" t="s">
        <v>643</v>
      </c>
      <c r="B1391" s="164" t="s">
        <v>1203</v>
      </c>
      <c r="C1391" s="100" t="s">
        <v>643</v>
      </c>
      <c r="D1391" s="100" t="s">
        <v>643</v>
      </c>
      <c r="E1391" s="172"/>
      <c r="F1391" s="172"/>
      <c r="G1391" s="173"/>
      <c r="H1391" s="187" t="s">
        <v>643</v>
      </c>
      <c r="K1391"/>
    </row>
    <row r="1392" spans="1:11" x14ac:dyDescent="0.25">
      <c r="A1392" s="174">
        <v>40814</v>
      </c>
      <c r="B1392" s="161" t="s">
        <v>1106</v>
      </c>
      <c r="C1392" s="98" t="s">
        <v>1057</v>
      </c>
      <c r="D1392" s="98" t="s">
        <v>715</v>
      </c>
      <c r="E1392" s="175">
        <v>4</v>
      </c>
      <c r="F1392" s="175">
        <v>7.82</v>
      </c>
      <c r="G1392" s="176">
        <v>31.28</v>
      </c>
      <c r="H1392" s="101" t="s">
        <v>691</v>
      </c>
      <c r="K1392"/>
    </row>
    <row r="1393" spans="1:11" x14ac:dyDescent="0.25">
      <c r="A1393" s="174">
        <v>40933</v>
      </c>
      <c r="B1393" s="161" t="s">
        <v>1107</v>
      </c>
      <c r="C1393" s="98" t="s">
        <v>1108</v>
      </c>
      <c r="D1393" s="98" t="s">
        <v>715</v>
      </c>
      <c r="E1393" s="175">
        <v>1</v>
      </c>
      <c r="F1393" s="175">
        <v>5359.5</v>
      </c>
      <c r="G1393" s="176">
        <v>5359.5</v>
      </c>
      <c r="H1393" s="101" t="s">
        <v>691</v>
      </c>
      <c r="K1393"/>
    </row>
    <row r="1394" spans="1:11" x14ac:dyDescent="0.25">
      <c r="A1394" s="177" t="s">
        <v>643</v>
      </c>
      <c r="B1394" s="178" t="s">
        <v>1109</v>
      </c>
      <c r="C1394" s="179" t="s">
        <v>643</v>
      </c>
      <c r="D1394" s="179" t="s">
        <v>643</v>
      </c>
      <c r="E1394" s="180"/>
      <c r="F1394" s="180"/>
      <c r="G1394" s="181">
        <v>5390.78</v>
      </c>
      <c r="H1394" s="188" t="s">
        <v>643</v>
      </c>
      <c r="K1394"/>
    </row>
    <row r="1395" spans="1:11" x14ac:dyDescent="0.25">
      <c r="A1395" s="174" t="s">
        <v>643</v>
      </c>
      <c r="B1395" s="161" t="s">
        <v>643</v>
      </c>
      <c r="C1395" s="98" t="s">
        <v>643</v>
      </c>
      <c r="D1395" s="98" t="s">
        <v>643</v>
      </c>
      <c r="E1395" s="175"/>
      <c r="F1395" s="175"/>
      <c r="G1395" s="176"/>
      <c r="H1395" s="101" t="s">
        <v>643</v>
      </c>
      <c r="K1395"/>
    </row>
    <row r="1396" spans="1:11" x14ac:dyDescent="0.25">
      <c r="A1396" s="171" t="s">
        <v>643</v>
      </c>
      <c r="B1396" s="164" t="s">
        <v>1204</v>
      </c>
      <c r="C1396" s="100" t="s">
        <v>643</v>
      </c>
      <c r="D1396" s="100" t="s">
        <v>643</v>
      </c>
      <c r="E1396" s="172"/>
      <c r="F1396" s="172"/>
      <c r="G1396" s="173"/>
      <c r="H1396" s="187" t="s">
        <v>643</v>
      </c>
      <c r="K1396"/>
    </row>
    <row r="1397" spans="1:11" x14ac:dyDescent="0.25">
      <c r="A1397" s="174">
        <v>40830</v>
      </c>
      <c r="B1397" s="161" t="s">
        <v>1110</v>
      </c>
      <c r="C1397" s="98" t="s">
        <v>1111</v>
      </c>
      <c r="D1397" s="98" t="s">
        <v>715</v>
      </c>
      <c r="E1397" s="175">
        <v>34</v>
      </c>
      <c r="F1397" s="175">
        <v>365</v>
      </c>
      <c r="G1397" s="176">
        <v>12410</v>
      </c>
      <c r="H1397" s="101" t="s">
        <v>693</v>
      </c>
      <c r="K1397"/>
    </row>
    <row r="1398" spans="1:11" x14ac:dyDescent="0.25">
      <c r="A1398" s="177" t="s">
        <v>643</v>
      </c>
      <c r="B1398" s="178" t="s">
        <v>1112</v>
      </c>
      <c r="C1398" s="179" t="s">
        <v>643</v>
      </c>
      <c r="D1398" s="179" t="s">
        <v>643</v>
      </c>
      <c r="E1398" s="180"/>
      <c r="F1398" s="180"/>
      <c r="G1398" s="181">
        <v>12410</v>
      </c>
      <c r="H1398" s="188" t="s">
        <v>643</v>
      </c>
      <c r="K1398"/>
    </row>
    <row r="1399" spans="1:11" x14ac:dyDescent="0.25">
      <c r="A1399" s="174" t="s">
        <v>643</v>
      </c>
      <c r="B1399" s="161" t="s">
        <v>643</v>
      </c>
      <c r="C1399" s="98" t="s">
        <v>643</v>
      </c>
      <c r="D1399" s="98" t="s">
        <v>643</v>
      </c>
      <c r="E1399" s="175"/>
      <c r="F1399" s="175"/>
      <c r="G1399" s="176"/>
      <c r="H1399" s="101" t="s">
        <v>643</v>
      </c>
      <c r="K1399"/>
    </row>
    <row r="1400" spans="1:11" x14ac:dyDescent="0.25">
      <c r="A1400" s="171" t="s">
        <v>643</v>
      </c>
      <c r="B1400" s="164" t="s">
        <v>1205</v>
      </c>
      <c r="C1400" s="100" t="s">
        <v>643</v>
      </c>
      <c r="D1400" s="100" t="s">
        <v>643</v>
      </c>
      <c r="E1400" s="172"/>
      <c r="F1400" s="172"/>
      <c r="G1400" s="173"/>
      <c r="H1400" s="187" t="s">
        <v>643</v>
      </c>
      <c r="K1400"/>
    </row>
    <row r="1401" spans="1:11" x14ac:dyDescent="0.25">
      <c r="A1401" s="174">
        <v>40956</v>
      </c>
      <c r="B1401" s="161" t="s">
        <v>1115</v>
      </c>
      <c r="C1401" s="98" t="s">
        <v>1116</v>
      </c>
      <c r="D1401" s="98" t="s">
        <v>715</v>
      </c>
      <c r="E1401" s="175">
        <v>1</v>
      </c>
      <c r="F1401" s="175">
        <v>3182.03</v>
      </c>
      <c r="G1401" s="176">
        <v>3182.03</v>
      </c>
      <c r="H1401" s="101" t="s">
        <v>1169</v>
      </c>
      <c r="K1401"/>
    </row>
    <row r="1402" spans="1:11" x14ac:dyDescent="0.25">
      <c r="A1402" s="177" t="s">
        <v>643</v>
      </c>
      <c r="B1402" s="178" t="s">
        <v>1117</v>
      </c>
      <c r="C1402" s="179" t="s">
        <v>643</v>
      </c>
      <c r="D1402" s="179" t="s">
        <v>643</v>
      </c>
      <c r="E1402" s="180"/>
      <c r="F1402" s="180"/>
      <c r="G1402" s="181">
        <v>3182.03</v>
      </c>
      <c r="H1402" s="188" t="s">
        <v>643</v>
      </c>
      <c r="K1402"/>
    </row>
    <row r="1403" spans="1:11" x14ac:dyDescent="0.25">
      <c r="A1403" s="174" t="s">
        <v>643</v>
      </c>
      <c r="B1403" s="161" t="s">
        <v>643</v>
      </c>
      <c r="C1403" s="98" t="s">
        <v>643</v>
      </c>
      <c r="D1403" s="98" t="s">
        <v>643</v>
      </c>
      <c r="E1403" s="175"/>
      <c r="F1403" s="175"/>
      <c r="G1403" s="176"/>
      <c r="H1403" s="101" t="s">
        <v>643</v>
      </c>
      <c r="K1403"/>
    </row>
    <row r="1404" spans="1:11" x14ac:dyDescent="0.25">
      <c r="A1404" s="171" t="s">
        <v>643</v>
      </c>
      <c r="B1404" s="164" t="s">
        <v>1206</v>
      </c>
      <c r="C1404" s="100" t="s">
        <v>643</v>
      </c>
      <c r="D1404" s="100" t="s">
        <v>643</v>
      </c>
      <c r="E1404" s="172"/>
      <c r="F1404" s="172"/>
      <c r="G1404" s="173"/>
      <c r="H1404" s="187" t="s">
        <v>643</v>
      </c>
      <c r="K1404"/>
    </row>
    <row r="1405" spans="1:11" x14ac:dyDescent="0.25">
      <c r="A1405" s="174">
        <v>40819</v>
      </c>
      <c r="B1405" s="161" t="s">
        <v>1118</v>
      </c>
      <c r="C1405" s="98" t="s">
        <v>855</v>
      </c>
      <c r="D1405" s="98" t="s">
        <v>715</v>
      </c>
      <c r="E1405" s="175">
        <v>11.26</v>
      </c>
      <c r="F1405" s="175">
        <v>13.64</v>
      </c>
      <c r="G1405" s="176">
        <v>153.5864</v>
      </c>
      <c r="H1405" s="101" t="s">
        <v>692</v>
      </c>
      <c r="K1405"/>
    </row>
    <row r="1406" spans="1:11" x14ac:dyDescent="0.25">
      <c r="A1406" s="174">
        <v>40819</v>
      </c>
      <c r="B1406" s="161" t="s">
        <v>1119</v>
      </c>
      <c r="C1406" s="98" t="s">
        <v>855</v>
      </c>
      <c r="D1406" s="98" t="s">
        <v>715</v>
      </c>
      <c r="E1406" s="175">
        <v>10.48</v>
      </c>
      <c r="F1406" s="175">
        <v>13.64</v>
      </c>
      <c r="G1406" s="176">
        <v>142.94720000000001</v>
      </c>
      <c r="H1406" s="101" t="s">
        <v>692</v>
      </c>
      <c r="K1406"/>
    </row>
    <row r="1407" spans="1:11" x14ac:dyDescent="0.25">
      <c r="A1407" s="174">
        <v>40823</v>
      </c>
      <c r="B1407" s="161" t="s">
        <v>1120</v>
      </c>
      <c r="C1407" s="98" t="s">
        <v>855</v>
      </c>
      <c r="D1407" s="98" t="s">
        <v>715</v>
      </c>
      <c r="E1407" s="175">
        <v>25</v>
      </c>
      <c r="F1407" s="175">
        <v>13.64</v>
      </c>
      <c r="G1407" s="176">
        <v>341</v>
      </c>
      <c r="H1407" s="101" t="s">
        <v>692</v>
      </c>
      <c r="K1407"/>
    </row>
    <row r="1408" spans="1:11" x14ac:dyDescent="0.25">
      <c r="A1408" s="174">
        <v>40831</v>
      </c>
      <c r="B1408" s="161" t="s">
        <v>1121</v>
      </c>
      <c r="C1408" s="98" t="s">
        <v>855</v>
      </c>
      <c r="D1408" s="98" t="s">
        <v>715</v>
      </c>
      <c r="E1408" s="175">
        <v>1</v>
      </c>
      <c r="F1408" s="175">
        <v>292</v>
      </c>
      <c r="G1408" s="176">
        <v>292</v>
      </c>
      <c r="H1408" s="101" t="s">
        <v>692</v>
      </c>
      <c r="K1408"/>
    </row>
    <row r="1409" spans="1:11" ht="30" x14ac:dyDescent="0.25">
      <c r="A1409" s="174">
        <v>40837</v>
      </c>
      <c r="B1409" s="161" t="s">
        <v>1122</v>
      </c>
      <c r="C1409" s="98" t="s">
        <v>855</v>
      </c>
      <c r="D1409" s="98" t="s">
        <v>715</v>
      </c>
      <c r="E1409" s="175">
        <v>14.46</v>
      </c>
      <c r="F1409" s="175">
        <v>16.402999999999999</v>
      </c>
      <c r="G1409" s="176">
        <v>237.18737999999999</v>
      </c>
      <c r="H1409" s="101" t="s">
        <v>692</v>
      </c>
      <c r="K1409"/>
    </row>
    <row r="1410" spans="1:11" x14ac:dyDescent="0.25">
      <c r="A1410" s="174">
        <v>40840</v>
      </c>
      <c r="B1410" s="161" t="s">
        <v>1123</v>
      </c>
      <c r="C1410" s="98" t="s">
        <v>855</v>
      </c>
      <c r="D1410" s="98" t="s">
        <v>715</v>
      </c>
      <c r="E1410" s="175">
        <v>11.36</v>
      </c>
      <c r="F1410" s="175">
        <v>13.64</v>
      </c>
      <c r="G1410" s="176">
        <v>154.9504</v>
      </c>
      <c r="H1410" s="101" t="s">
        <v>692</v>
      </c>
      <c r="K1410"/>
    </row>
    <row r="1411" spans="1:11" x14ac:dyDescent="0.25">
      <c r="A1411" s="174">
        <v>40840</v>
      </c>
      <c r="B1411" s="161" t="s">
        <v>1124</v>
      </c>
      <c r="C1411" s="98" t="s">
        <v>855</v>
      </c>
      <c r="D1411" s="98" t="s">
        <v>715</v>
      </c>
      <c r="E1411" s="175">
        <v>12.32</v>
      </c>
      <c r="F1411" s="175">
        <v>16.882999999999999</v>
      </c>
      <c r="G1411" s="176">
        <v>207.99856</v>
      </c>
      <c r="H1411" s="101" t="s">
        <v>692</v>
      </c>
      <c r="K1411"/>
    </row>
    <row r="1412" spans="1:11" x14ac:dyDescent="0.25">
      <c r="A1412" s="174">
        <v>40841</v>
      </c>
      <c r="B1412" s="161" t="s">
        <v>1125</v>
      </c>
      <c r="C1412" s="98" t="s">
        <v>855</v>
      </c>
      <c r="D1412" s="98" t="s">
        <v>715</v>
      </c>
      <c r="E1412" s="175">
        <v>1</v>
      </c>
      <c r="F1412" s="175">
        <v>292</v>
      </c>
      <c r="G1412" s="176">
        <v>292</v>
      </c>
      <c r="H1412" s="101" t="s">
        <v>692</v>
      </c>
      <c r="K1412"/>
    </row>
    <row r="1413" spans="1:11" x14ac:dyDescent="0.25">
      <c r="A1413" s="174">
        <v>40843</v>
      </c>
      <c r="B1413" s="161" t="s">
        <v>1126</v>
      </c>
      <c r="C1413" s="98" t="s">
        <v>855</v>
      </c>
      <c r="D1413" s="98" t="s">
        <v>715</v>
      </c>
      <c r="E1413" s="175">
        <v>6.44</v>
      </c>
      <c r="F1413" s="175">
        <v>19.847999999999999</v>
      </c>
      <c r="G1413" s="176">
        <v>127.82111999999999</v>
      </c>
      <c r="H1413" s="101" t="s">
        <v>692</v>
      </c>
      <c r="K1413"/>
    </row>
    <row r="1414" spans="1:11" x14ac:dyDescent="0.25">
      <c r="A1414" s="174">
        <v>40844</v>
      </c>
      <c r="B1414" s="161" t="s">
        <v>1127</v>
      </c>
      <c r="C1414" s="98" t="s">
        <v>855</v>
      </c>
      <c r="D1414" s="98" t="s">
        <v>715</v>
      </c>
      <c r="E1414" s="175">
        <v>1</v>
      </c>
      <c r="F1414" s="175">
        <v>595</v>
      </c>
      <c r="G1414" s="176">
        <v>595</v>
      </c>
      <c r="H1414" s="101" t="s">
        <v>692</v>
      </c>
      <c r="K1414"/>
    </row>
    <row r="1415" spans="1:11" ht="30" x14ac:dyDescent="0.25">
      <c r="A1415" s="174">
        <v>40844</v>
      </c>
      <c r="B1415" s="161" t="s">
        <v>1128</v>
      </c>
      <c r="C1415" s="98" t="s">
        <v>855</v>
      </c>
      <c r="D1415" s="98" t="s">
        <v>715</v>
      </c>
      <c r="E1415" s="175">
        <v>6.62</v>
      </c>
      <c r="F1415" s="175">
        <v>19.678000000000001</v>
      </c>
      <c r="G1415" s="176">
        <v>130.26836</v>
      </c>
      <c r="H1415" s="101" t="s">
        <v>692</v>
      </c>
      <c r="K1415"/>
    </row>
    <row r="1416" spans="1:11" x14ac:dyDescent="0.25">
      <c r="A1416" s="174">
        <v>40896</v>
      </c>
      <c r="B1416" s="161" t="s">
        <v>1129</v>
      </c>
      <c r="C1416" s="98" t="s">
        <v>905</v>
      </c>
      <c r="D1416" s="98" t="s">
        <v>715</v>
      </c>
      <c r="E1416" s="175">
        <v>1</v>
      </c>
      <c r="F1416" s="175">
        <v>914.96</v>
      </c>
      <c r="G1416" s="176">
        <v>914.96</v>
      </c>
      <c r="H1416" s="101" t="s">
        <v>692</v>
      </c>
      <c r="K1416"/>
    </row>
    <row r="1417" spans="1:11" x14ac:dyDescent="0.25">
      <c r="A1417" s="174">
        <v>40917</v>
      </c>
      <c r="B1417" s="161" t="s">
        <v>1130</v>
      </c>
      <c r="C1417" s="98" t="s">
        <v>855</v>
      </c>
      <c r="D1417" s="98" t="s">
        <v>715</v>
      </c>
      <c r="E1417" s="175">
        <v>48.58</v>
      </c>
      <c r="F1417" s="175">
        <v>13.64</v>
      </c>
      <c r="G1417" s="176">
        <v>662.63120000000004</v>
      </c>
      <c r="H1417" s="101" t="s">
        <v>692</v>
      </c>
      <c r="K1417"/>
    </row>
    <row r="1418" spans="1:11" x14ac:dyDescent="0.25">
      <c r="A1418" s="174">
        <v>40919</v>
      </c>
      <c r="B1418" s="161" t="s">
        <v>1131</v>
      </c>
      <c r="C1418" s="98" t="s">
        <v>855</v>
      </c>
      <c r="D1418" s="98" t="s">
        <v>715</v>
      </c>
      <c r="E1418" s="175">
        <v>23.43</v>
      </c>
      <c r="F1418" s="175">
        <v>13.64</v>
      </c>
      <c r="G1418" s="176">
        <v>319.58519999999999</v>
      </c>
      <c r="H1418" s="101" t="s">
        <v>692</v>
      </c>
      <c r="K1418"/>
    </row>
    <row r="1419" spans="1:11" x14ac:dyDescent="0.25">
      <c r="A1419" s="174">
        <v>40931</v>
      </c>
      <c r="B1419" s="161" t="s">
        <v>1131</v>
      </c>
      <c r="C1419" s="98" t="s">
        <v>855</v>
      </c>
      <c r="D1419" s="98" t="s">
        <v>715</v>
      </c>
      <c r="E1419" s="175">
        <v>2.2000000000000002</v>
      </c>
      <c r="F1419" s="175">
        <v>36.368000000000002</v>
      </c>
      <c r="G1419" s="176">
        <v>80.009600000000006</v>
      </c>
      <c r="H1419" s="101" t="s">
        <v>692</v>
      </c>
      <c r="K1419"/>
    </row>
    <row r="1420" spans="1:11" x14ac:dyDescent="0.25">
      <c r="A1420" s="177" t="s">
        <v>643</v>
      </c>
      <c r="B1420" s="178" t="s">
        <v>1132</v>
      </c>
      <c r="C1420" s="179" t="s">
        <v>643</v>
      </c>
      <c r="D1420" s="179" t="s">
        <v>643</v>
      </c>
      <c r="E1420" s="180"/>
      <c r="F1420" s="180"/>
      <c r="G1420" s="181">
        <v>4651.94542</v>
      </c>
      <c r="H1420" s="188" t="s">
        <v>643</v>
      </c>
      <c r="K1420"/>
    </row>
    <row r="1421" spans="1:11" x14ac:dyDescent="0.25">
      <c r="A1421" s="174" t="s">
        <v>643</v>
      </c>
      <c r="B1421" s="161" t="s">
        <v>643</v>
      </c>
      <c r="C1421" s="98" t="s">
        <v>643</v>
      </c>
      <c r="D1421" s="98" t="s">
        <v>643</v>
      </c>
      <c r="E1421" s="175"/>
      <c r="F1421" s="175"/>
      <c r="G1421" s="176"/>
      <c r="H1421" s="101" t="s">
        <v>643</v>
      </c>
      <c r="K1421"/>
    </row>
    <row r="1422" spans="1:11" x14ac:dyDescent="0.25">
      <c r="A1422" s="171" t="s">
        <v>643</v>
      </c>
      <c r="B1422" s="164" t="s">
        <v>1207</v>
      </c>
      <c r="C1422" s="100" t="s">
        <v>643</v>
      </c>
      <c r="D1422" s="100" t="s">
        <v>643</v>
      </c>
      <c r="E1422" s="172"/>
      <c r="F1422" s="172"/>
      <c r="G1422" s="173"/>
      <c r="H1422" s="187" t="s">
        <v>643</v>
      </c>
      <c r="K1422"/>
    </row>
    <row r="1423" spans="1:11" x14ac:dyDescent="0.25">
      <c r="A1423" s="174">
        <v>40806</v>
      </c>
      <c r="B1423" s="161" t="s">
        <v>1143</v>
      </c>
      <c r="C1423" s="98" t="s">
        <v>1144</v>
      </c>
      <c r="D1423" s="98" t="s">
        <v>715</v>
      </c>
      <c r="E1423" s="175">
        <v>1</v>
      </c>
      <c r="F1423" s="175">
        <v>3246.36</v>
      </c>
      <c r="G1423" s="176">
        <v>3246.36</v>
      </c>
      <c r="H1423" s="101" t="s">
        <v>695</v>
      </c>
      <c r="K1423"/>
    </row>
    <row r="1424" spans="1:11" x14ac:dyDescent="0.25">
      <c r="A1424" s="174">
        <v>40812</v>
      </c>
      <c r="B1424" s="161" t="s">
        <v>1145</v>
      </c>
      <c r="C1424" s="98" t="s">
        <v>1146</v>
      </c>
      <c r="D1424" s="98" t="s">
        <v>715</v>
      </c>
      <c r="E1424" s="175">
        <v>1</v>
      </c>
      <c r="F1424" s="175">
        <v>5904.9</v>
      </c>
      <c r="G1424" s="176">
        <v>5904.9</v>
      </c>
      <c r="H1424" s="101" t="s">
        <v>695</v>
      </c>
      <c r="K1424"/>
    </row>
    <row r="1425" spans="1:11" x14ac:dyDescent="0.25">
      <c r="A1425" s="174">
        <v>40815</v>
      </c>
      <c r="B1425" s="161" t="s">
        <v>1147</v>
      </c>
      <c r="C1425" s="98" t="s">
        <v>1146</v>
      </c>
      <c r="D1425" s="98" t="s">
        <v>715</v>
      </c>
      <c r="E1425" s="175">
        <v>1</v>
      </c>
      <c r="F1425" s="175">
        <v>441.72</v>
      </c>
      <c r="G1425" s="176">
        <v>441.72</v>
      </c>
      <c r="H1425" s="101" t="s">
        <v>695</v>
      </c>
      <c r="K1425"/>
    </row>
    <row r="1426" spans="1:11" x14ac:dyDescent="0.25">
      <c r="A1426" s="174">
        <v>40815</v>
      </c>
      <c r="B1426" s="161" t="s">
        <v>1148</v>
      </c>
      <c r="C1426" s="98" t="s">
        <v>1146</v>
      </c>
      <c r="D1426" s="98" t="s">
        <v>715</v>
      </c>
      <c r="E1426" s="175">
        <v>1</v>
      </c>
      <c r="F1426" s="175">
        <v>1431.81</v>
      </c>
      <c r="G1426" s="176">
        <v>1431.81</v>
      </c>
      <c r="H1426" s="101" t="s">
        <v>695</v>
      </c>
      <c r="K1426"/>
    </row>
    <row r="1427" spans="1:11" x14ac:dyDescent="0.25">
      <c r="A1427" s="174">
        <v>40829</v>
      </c>
      <c r="B1427" s="161" t="s">
        <v>1149</v>
      </c>
      <c r="C1427" s="98" t="s">
        <v>1144</v>
      </c>
      <c r="D1427" s="98" t="s">
        <v>715</v>
      </c>
      <c r="E1427" s="175">
        <v>1</v>
      </c>
      <c r="F1427" s="175">
        <v>580</v>
      </c>
      <c r="G1427" s="176">
        <v>580</v>
      </c>
      <c r="H1427" s="101" t="s">
        <v>695</v>
      </c>
      <c r="K1427"/>
    </row>
    <row r="1428" spans="1:11" x14ac:dyDescent="0.25">
      <c r="A1428" s="174">
        <v>40932</v>
      </c>
      <c r="B1428" s="161" t="s">
        <v>1150</v>
      </c>
      <c r="C1428" s="98" t="s">
        <v>1151</v>
      </c>
      <c r="D1428" s="98" t="s">
        <v>715</v>
      </c>
      <c r="E1428" s="175">
        <v>1</v>
      </c>
      <c r="F1428" s="175">
        <v>1742.5</v>
      </c>
      <c r="G1428" s="176">
        <v>1742.5</v>
      </c>
      <c r="H1428" s="101" t="s">
        <v>695</v>
      </c>
      <c r="K1428"/>
    </row>
    <row r="1429" spans="1:11" x14ac:dyDescent="0.25">
      <c r="A1429" s="174">
        <v>40948</v>
      </c>
      <c r="B1429" s="161" t="s">
        <v>1152</v>
      </c>
      <c r="C1429" s="98" t="s">
        <v>1151</v>
      </c>
      <c r="D1429" s="98" t="s">
        <v>715</v>
      </c>
      <c r="E1429" s="175">
        <v>1</v>
      </c>
      <c r="F1429" s="175">
        <v>867</v>
      </c>
      <c r="G1429" s="176">
        <v>867</v>
      </c>
      <c r="H1429" s="101" t="s">
        <v>695</v>
      </c>
      <c r="K1429"/>
    </row>
    <row r="1430" spans="1:11" x14ac:dyDescent="0.25">
      <c r="A1430" s="174">
        <v>40954</v>
      </c>
      <c r="B1430" s="161" t="s">
        <v>1153</v>
      </c>
      <c r="C1430" s="98" t="s">
        <v>1151</v>
      </c>
      <c r="D1430" s="98" t="s">
        <v>715</v>
      </c>
      <c r="E1430" s="175">
        <v>1</v>
      </c>
      <c r="F1430" s="175">
        <v>293.10000000000002</v>
      </c>
      <c r="G1430" s="176">
        <v>293.10000000000002</v>
      </c>
      <c r="H1430" s="101" t="s">
        <v>695</v>
      </c>
      <c r="K1430"/>
    </row>
    <row r="1431" spans="1:11" x14ac:dyDescent="0.25">
      <c r="A1431" s="174">
        <v>40961</v>
      </c>
      <c r="B1431" s="161" t="s">
        <v>1154</v>
      </c>
      <c r="C1431" s="98" t="s">
        <v>1151</v>
      </c>
      <c r="D1431" s="98" t="s">
        <v>715</v>
      </c>
      <c r="E1431" s="175">
        <v>1</v>
      </c>
      <c r="F1431" s="175">
        <v>937.6</v>
      </c>
      <c r="G1431" s="176">
        <v>937.6</v>
      </c>
      <c r="H1431" s="101" t="s">
        <v>695</v>
      </c>
      <c r="K1431"/>
    </row>
    <row r="1432" spans="1:11" x14ac:dyDescent="0.25">
      <c r="A1432" s="177" t="s">
        <v>643</v>
      </c>
      <c r="B1432" s="178" t="s">
        <v>1155</v>
      </c>
      <c r="C1432" s="179" t="s">
        <v>643</v>
      </c>
      <c r="D1432" s="179" t="s">
        <v>643</v>
      </c>
      <c r="E1432" s="180"/>
      <c r="F1432" s="180"/>
      <c r="G1432" s="181">
        <v>15444.99</v>
      </c>
      <c r="H1432" s="188" t="s">
        <v>643</v>
      </c>
      <c r="K1432"/>
    </row>
    <row r="1433" spans="1:11" x14ac:dyDescent="0.25">
      <c r="A1433" s="174" t="s">
        <v>643</v>
      </c>
      <c r="B1433" s="161" t="s">
        <v>643</v>
      </c>
      <c r="C1433" s="98" t="s">
        <v>643</v>
      </c>
      <c r="D1433" s="98" t="s">
        <v>643</v>
      </c>
      <c r="E1433" s="175"/>
      <c r="F1433" s="175"/>
      <c r="G1433" s="176"/>
      <c r="H1433" s="101" t="s">
        <v>643</v>
      </c>
      <c r="K1433"/>
    </row>
    <row r="1434" spans="1:11" x14ac:dyDescent="0.25">
      <c r="A1434" s="171" t="s">
        <v>643</v>
      </c>
      <c r="B1434" s="164" t="s">
        <v>1208</v>
      </c>
      <c r="C1434" s="100" t="s">
        <v>643</v>
      </c>
      <c r="D1434" s="100" t="s">
        <v>643</v>
      </c>
      <c r="E1434" s="172"/>
      <c r="F1434" s="172"/>
      <c r="G1434" s="173"/>
      <c r="H1434" s="187" t="s">
        <v>643</v>
      </c>
      <c r="K1434"/>
    </row>
    <row r="1435" spans="1:11" x14ac:dyDescent="0.25">
      <c r="A1435" s="174">
        <v>41124</v>
      </c>
      <c r="B1435" s="161" t="s">
        <v>1156</v>
      </c>
      <c r="C1435" s="98" t="s">
        <v>1157</v>
      </c>
      <c r="D1435" s="98" t="s">
        <v>715</v>
      </c>
      <c r="E1435" s="175">
        <v>2</v>
      </c>
      <c r="F1435" s="175">
        <v>460</v>
      </c>
      <c r="G1435" s="176">
        <v>920</v>
      </c>
      <c r="H1435" s="101" t="s">
        <v>698</v>
      </c>
      <c r="K1435"/>
    </row>
    <row r="1436" spans="1:11" x14ac:dyDescent="0.25">
      <c r="A1436" s="177" t="s">
        <v>643</v>
      </c>
      <c r="B1436" s="178" t="s">
        <v>1158</v>
      </c>
      <c r="C1436" s="179" t="s">
        <v>643</v>
      </c>
      <c r="D1436" s="179" t="s">
        <v>643</v>
      </c>
      <c r="E1436" s="180"/>
      <c r="F1436" s="180"/>
      <c r="G1436" s="181">
        <v>920</v>
      </c>
      <c r="H1436" s="188" t="s">
        <v>643</v>
      </c>
      <c r="K1436"/>
    </row>
    <row r="1437" spans="1:11" x14ac:dyDescent="0.25">
      <c r="A1437" s="174" t="s">
        <v>643</v>
      </c>
      <c r="B1437" s="161" t="s">
        <v>643</v>
      </c>
      <c r="C1437" s="98" t="s">
        <v>643</v>
      </c>
      <c r="D1437" s="98" t="s">
        <v>643</v>
      </c>
      <c r="E1437" s="175"/>
      <c r="F1437" s="175"/>
      <c r="G1437" s="176"/>
      <c r="H1437" s="101" t="s">
        <v>643</v>
      </c>
      <c r="K1437"/>
    </row>
    <row r="1438" spans="1:11" x14ac:dyDescent="0.25">
      <c r="A1438" s="171" t="s">
        <v>643</v>
      </c>
      <c r="B1438" s="164" t="s">
        <v>1209</v>
      </c>
      <c r="C1438" s="100" t="s">
        <v>643</v>
      </c>
      <c r="D1438" s="100" t="s">
        <v>643</v>
      </c>
      <c r="E1438" s="172"/>
      <c r="F1438" s="172"/>
      <c r="G1438" s="173"/>
      <c r="H1438" s="187" t="s">
        <v>643</v>
      </c>
      <c r="K1438"/>
    </row>
    <row r="1439" spans="1:11" x14ac:dyDescent="0.25">
      <c r="A1439" s="174">
        <v>41053</v>
      </c>
      <c r="B1439" s="161" t="s">
        <v>1159</v>
      </c>
      <c r="C1439" s="98" t="s">
        <v>1160</v>
      </c>
      <c r="D1439" s="98" t="s">
        <v>715</v>
      </c>
      <c r="E1439" s="175">
        <v>1</v>
      </c>
      <c r="F1439" s="175">
        <v>551.80999999999995</v>
      </c>
      <c r="G1439" s="176">
        <v>551.80999999999995</v>
      </c>
      <c r="H1439" s="101" t="s">
        <v>699</v>
      </c>
      <c r="K1439"/>
    </row>
    <row r="1440" spans="1:11" x14ac:dyDescent="0.25">
      <c r="A1440" s="174">
        <v>41080</v>
      </c>
      <c r="B1440" s="161" t="s">
        <v>1161</v>
      </c>
      <c r="C1440" s="98" t="s">
        <v>1160</v>
      </c>
      <c r="D1440" s="98" t="s">
        <v>715</v>
      </c>
      <c r="E1440" s="175">
        <v>1</v>
      </c>
      <c r="F1440" s="175">
        <v>590</v>
      </c>
      <c r="G1440" s="176">
        <v>590</v>
      </c>
      <c r="H1440" s="101" t="s">
        <v>699</v>
      </c>
      <c r="K1440"/>
    </row>
    <row r="1441" spans="1:11" x14ac:dyDescent="0.25">
      <c r="A1441" s="177" t="s">
        <v>643</v>
      </c>
      <c r="B1441" s="178" t="s">
        <v>1162</v>
      </c>
      <c r="C1441" s="179" t="s">
        <v>643</v>
      </c>
      <c r="D1441" s="179" t="s">
        <v>643</v>
      </c>
      <c r="E1441" s="180"/>
      <c r="F1441" s="180"/>
      <c r="G1441" s="181">
        <v>1141.81</v>
      </c>
      <c r="H1441" s="188" t="s">
        <v>643</v>
      </c>
      <c r="K1441"/>
    </row>
    <row r="1442" spans="1:11" x14ac:dyDescent="0.25">
      <c r="A1442" s="174" t="s">
        <v>643</v>
      </c>
      <c r="B1442" s="161" t="s">
        <v>643</v>
      </c>
      <c r="C1442" s="98" t="s">
        <v>643</v>
      </c>
      <c r="D1442" s="98" t="s">
        <v>643</v>
      </c>
      <c r="E1442" s="175"/>
      <c r="F1442" s="175"/>
      <c r="G1442" s="176"/>
      <c r="H1442" s="101" t="s">
        <v>643</v>
      </c>
      <c r="K1442"/>
    </row>
    <row r="1443" spans="1:11" x14ac:dyDescent="0.25">
      <c r="A1443" s="171" t="s">
        <v>643</v>
      </c>
      <c r="B1443" s="164" t="s">
        <v>1210</v>
      </c>
      <c r="C1443" s="100" t="s">
        <v>643</v>
      </c>
      <c r="D1443" s="100" t="s">
        <v>643</v>
      </c>
      <c r="E1443" s="172"/>
      <c r="F1443" s="172"/>
      <c r="G1443" s="173"/>
      <c r="H1443" s="187" t="s">
        <v>643</v>
      </c>
      <c r="K1443"/>
    </row>
    <row r="1444" spans="1:11" x14ac:dyDescent="0.25">
      <c r="A1444" s="174">
        <v>40809</v>
      </c>
      <c r="B1444" s="161" t="s">
        <v>1163</v>
      </c>
      <c r="C1444" s="98" t="s">
        <v>938</v>
      </c>
      <c r="D1444" s="98" t="s">
        <v>715</v>
      </c>
      <c r="E1444" s="175">
        <v>1</v>
      </c>
      <c r="F1444" s="175">
        <v>4679.5</v>
      </c>
      <c r="G1444" s="176">
        <v>4679.5</v>
      </c>
      <c r="H1444" s="101" t="s">
        <v>696</v>
      </c>
      <c r="K1444"/>
    </row>
    <row r="1445" spans="1:11" x14ac:dyDescent="0.25">
      <c r="A1445" s="174">
        <v>40840</v>
      </c>
      <c r="B1445" s="161" t="s">
        <v>1164</v>
      </c>
      <c r="C1445" s="98" t="s">
        <v>1057</v>
      </c>
      <c r="D1445" s="98" t="s">
        <v>715</v>
      </c>
      <c r="E1445" s="175">
        <v>1</v>
      </c>
      <c r="F1445" s="175">
        <v>480</v>
      </c>
      <c r="G1445" s="176">
        <v>480</v>
      </c>
      <c r="H1445" s="101" t="s">
        <v>696</v>
      </c>
      <c r="K1445"/>
    </row>
    <row r="1446" spans="1:11" x14ac:dyDescent="0.25">
      <c r="A1446" s="174">
        <v>40850</v>
      </c>
      <c r="B1446" s="161" t="s">
        <v>1165</v>
      </c>
      <c r="C1446" s="98" t="s">
        <v>1166</v>
      </c>
      <c r="D1446" s="98" t="s">
        <v>715</v>
      </c>
      <c r="E1446" s="175">
        <v>1</v>
      </c>
      <c r="F1446" s="175">
        <v>417</v>
      </c>
      <c r="G1446" s="176">
        <v>417</v>
      </c>
      <c r="H1446" s="101" t="s">
        <v>696</v>
      </c>
      <c r="K1446"/>
    </row>
    <row r="1447" spans="1:11" x14ac:dyDescent="0.25">
      <c r="A1447" s="177" t="s">
        <v>643</v>
      </c>
      <c r="B1447" s="178" t="s">
        <v>1167</v>
      </c>
      <c r="C1447" s="179" t="s">
        <v>643</v>
      </c>
      <c r="D1447" s="179" t="s">
        <v>643</v>
      </c>
      <c r="E1447" s="180"/>
      <c r="F1447" s="180"/>
      <c r="G1447" s="181">
        <v>5576.5</v>
      </c>
      <c r="H1447" s="188" t="s">
        <v>643</v>
      </c>
      <c r="K1447"/>
    </row>
    <row r="1448" spans="1:11" x14ac:dyDescent="0.25">
      <c r="A1448" s="174" t="s">
        <v>643</v>
      </c>
      <c r="B1448" s="161" t="s">
        <v>643</v>
      </c>
      <c r="C1448" s="98" t="s">
        <v>643</v>
      </c>
      <c r="D1448" s="98" t="s">
        <v>643</v>
      </c>
      <c r="E1448" s="175"/>
      <c r="F1448" s="175"/>
      <c r="G1448" s="176"/>
      <c r="H1448" s="101" t="s">
        <v>643</v>
      </c>
      <c r="K1448"/>
    </row>
    <row r="1449" spans="1:11" x14ac:dyDescent="0.25">
      <c r="A1449" s="182" t="s">
        <v>643</v>
      </c>
      <c r="B1449" s="183" t="s">
        <v>1168</v>
      </c>
      <c r="C1449" s="184" t="s">
        <v>643</v>
      </c>
      <c r="D1449" s="184" t="s">
        <v>643</v>
      </c>
      <c r="E1449" s="185"/>
      <c r="F1449" s="185"/>
      <c r="G1449" s="186">
        <v>1021520.0917700001</v>
      </c>
      <c r="H1449" s="189" t="s">
        <v>643</v>
      </c>
    </row>
  </sheetData>
  <sortState xmlns:xlrd2="http://schemas.microsoft.com/office/spreadsheetml/2017/richdata2" ref="A991:H1021">
    <sortCondition ref="A991:A1021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Estimate</vt:lpstr>
      <vt:lpstr>Resources</vt:lpstr>
      <vt:lpstr>Model Inputs</vt:lpstr>
      <vt:lpstr>Non-Work Days</vt:lpstr>
      <vt:lpstr>Program Links</vt:lpstr>
      <vt:lpstr>Budget &amp; Revenue</vt:lpstr>
      <vt:lpstr>Portfolio WBS</vt:lpstr>
      <vt:lpstr>Actual Costs</vt:lpstr>
      <vt:lpstr>GCF</vt:lpstr>
      <vt:lpstr>Workhrs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Thiele</dc:creator>
  <cp:lastModifiedBy>Brett Thiele</cp:lastModifiedBy>
  <dcterms:created xsi:type="dcterms:W3CDTF">2019-10-23T08:38:44Z</dcterms:created>
  <dcterms:modified xsi:type="dcterms:W3CDTF">2020-09-25T04:39:48Z</dcterms:modified>
</cp:coreProperties>
</file>